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showInkAnnotation="0" codeName="ThisWorkbook" defaultThemeVersion="124226"/>
  <mc:AlternateContent xmlns:mc="http://schemas.openxmlformats.org/markup-compatibility/2006">
    <mc:Choice Requires="x15">
      <x15ac:absPath xmlns:x15ac="http://schemas.microsoft.com/office/spreadsheetml/2010/11/ac" url="C:\Program Files (x86)\Caseware\Data\SEP000 - Brandon Place Apartments LIHTC TCAC CDLAC Application 2024 (Sync)\"/>
    </mc:Choice>
  </mc:AlternateContent>
  <xr:revisionPtr revIDLastSave="0" documentId="13_ncr:1_{883FD6FF-E11B-439F-8584-03B3EC835DB3}" xr6:coauthVersionLast="47" xr6:coauthVersionMax="47" xr10:uidLastSave="{00000000-0000-0000-0000-000000000000}"/>
  <bookViews>
    <workbookView xWindow="28680" yWindow="-870" windowWidth="29040" windowHeight="15720" tabRatio="841" firstSheet="2"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948" i="3" l="1"/>
  <c r="AA917" i="3"/>
  <c r="AM558" i="3"/>
  <c r="AO632" i="3"/>
  <c r="Z597" i="3"/>
  <c r="Z596" i="3"/>
  <c r="Z595" i="3"/>
  <c r="Z594" i="3"/>
  <c r="AF627" i="3"/>
  <c r="AA582" i="3"/>
  <c r="AA590" i="3"/>
  <c r="AA598" i="3"/>
  <c r="S65" i="4"/>
  <c r="E47" i="4"/>
  <c r="T99" i="4"/>
  <c r="C46" i="4"/>
  <c r="C45" i="4"/>
  <c r="J45" i="4" s="1"/>
  <c r="J79" i="4" s="1"/>
  <c r="E79" i="4" s="1"/>
  <c r="AI554" i="3" l="1"/>
  <c r="C9" i="4"/>
  <c r="T9" i="4" s="1"/>
  <c r="C4" i="4"/>
  <c r="F4" i="4" s="1"/>
  <c r="B144" i="20"/>
  <c r="E66" i="4"/>
  <c r="S93" i="4"/>
  <c r="S92" i="4"/>
  <c r="S91" i="4"/>
  <c r="S90" i="4"/>
  <c r="S86" i="4"/>
  <c r="S84" i="4"/>
  <c r="E94" i="4"/>
  <c r="E93" i="4"/>
  <c r="E92" i="4"/>
  <c r="E91" i="4"/>
  <c r="E90" i="4"/>
  <c r="E86" i="4"/>
  <c r="E84" i="4"/>
  <c r="E75" i="4"/>
  <c r="E65" i="4"/>
  <c r="E57" i="4"/>
  <c r="E49" i="4"/>
  <c r="E46" i="4"/>
  <c r="S45" i="4"/>
  <c r="S41" i="4"/>
  <c r="S40" i="4"/>
  <c r="E41" i="4"/>
  <c r="E40" i="4"/>
  <c r="S27" i="4"/>
  <c r="S25" i="4"/>
  <c r="S24" i="4"/>
  <c r="S23" i="4"/>
  <c r="S21" i="4"/>
  <c r="S20" i="4"/>
  <c r="S19" i="4"/>
  <c r="E25" i="4"/>
  <c r="E24" i="4"/>
  <c r="E23" i="4"/>
  <c r="E21" i="4"/>
  <c r="E20" i="4"/>
  <c r="E19" i="4"/>
  <c r="S18" i="4"/>
  <c r="E18" i="4"/>
  <c r="AA664" i="3"/>
  <c r="H664" i="3"/>
  <c r="AA656" i="3"/>
  <c r="H656" i="3"/>
  <c r="AA648" i="3"/>
  <c r="H648" i="3"/>
  <c r="H598" i="3"/>
  <c r="H590" i="3"/>
  <c r="H582" i="3"/>
  <c r="H573" i="3"/>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D92" i="11" s="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D24" i="11" s="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AH726" i="3" s="1"/>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H11" i="13" s="1"/>
  <c r="R10" i="4"/>
  <c r="R91" i="4"/>
  <c r="R84" i="4"/>
  <c r="B59" i="4"/>
  <c r="C80" i="11"/>
  <c r="B80" i="11"/>
  <c r="I96" i="13"/>
  <c r="J96" i="13"/>
  <c r="J81" i="13"/>
  <c r="I81" i="13"/>
  <c r="G81" i="13"/>
  <c r="F81" i="13"/>
  <c r="D81" i="13"/>
  <c r="C81" i="13"/>
  <c r="H80" i="13"/>
  <c r="E80" i="13"/>
  <c r="S70" i="4"/>
  <c r="E70" i="13" s="1"/>
  <c r="D81" i="4"/>
  <c r="E81" i="4"/>
  <c r="F81" i="4"/>
  <c r="G81" i="4"/>
  <c r="H81" i="4"/>
  <c r="I81" i="4"/>
  <c r="K81" i="4"/>
  <c r="L81" i="4"/>
  <c r="M81" i="4"/>
  <c r="N81" i="4"/>
  <c r="O81" i="4"/>
  <c r="P81" i="4"/>
  <c r="Q81" i="4"/>
  <c r="T81" i="4"/>
  <c r="H81" i="13"/>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65" i="13"/>
  <c r="E53" i="13"/>
  <c r="E52" i="13"/>
  <c r="E51"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76" i="4"/>
  <c r="R75" i="4"/>
  <c r="R77" i="4" s="1"/>
  <c r="R72" i="4"/>
  <c r="R73" i="4"/>
  <c r="R74" i="4"/>
  <c r="R69" i="4"/>
  <c r="R65" i="4"/>
  <c r="R61" i="4"/>
  <c r="R60" i="4"/>
  <c r="R59" i="4"/>
  <c r="R58" i="4"/>
  <c r="R57" i="4"/>
  <c r="R56" i="4"/>
  <c r="R53" i="4"/>
  <c r="R52" i="4"/>
  <c r="R51" i="4"/>
  <c r="R50" i="4"/>
  <c r="S50" i="4" s="1"/>
  <c r="E50" i="13" s="1"/>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7" i="4"/>
  <c r="R6" i="4"/>
  <c r="R5" i="4"/>
  <c r="R4" i="4"/>
  <c r="B5" i="11"/>
  <c r="C5" i="11"/>
  <c r="B6" i="11"/>
  <c r="C6" i="11"/>
  <c r="B7" i="11"/>
  <c r="C7" i="11"/>
  <c r="C8" i="11"/>
  <c r="B8" i="11"/>
  <c r="B10" i="11"/>
  <c r="B11" i="11"/>
  <c r="C10" i="11"/>
  <c r="C12" i="11" s="1"/>
  <c r="C11" i="11"/>
  <c r="B14" i="11"/>
  <c r="C14" i="11"/>
  <c r="B15" i="11"/>
  <c r="C15" i="11"/>
  <c r="B16" i="11"/>
  <c r="C16" i="11"/>
  <c r="B18" i="11"/>
  <c r="C18" i="11"/>
  <c r="B19" i="11"/>
  <c r="C19" i="11"/>
  <c r="B20" i="11"/>
  <c r="C20" i="11"/>
  <c r="D20" i="11" s="1"/>
  <c r="B21" i="11"/>
  <c r="C21" i="11"/>
  <c r="B22" i="11"/>
  <c r="C22" i="11"/>
  <c r="B23" i="11"/>
  <c r="C23" i="11"/>
  <c r="B24" i="11"/>
  <c r="B28" i="11"/>
  <c r="D28" i="11" s="1"/>
  <c r="C28" i="11"/>
  <c r="B30" i="11"/>
  <c r="C30" i="11"/>
  <c r="D30" i="11"/>
  <c r="D33" i="11"/>
  <c r="D34" i="11"/>
  <c r="B41" i="11"/>
  <c r="C41" i="11"/>
  <c r="C43" i="11" s="1"/>
  <c r="D43" i="11" s="1"/>
  <c r="C42" i="11"/>
  <c r="B42" i="11"/>
  <c r="B44" i="11"/>
  <c r="C44" i="11"/>
  <c r="B46" i="11"/>
  <c r="C46" i="11"/>
  <c r="B47" i="11"/>
  <c r="C47" i="11"/>
  <c r="D47" i="11" s="1"/>
  <c r="B48" i="11"/>
  <c r="B49" i="11"/>
  <c r="B50" i="11"/>
  <c r="B51" i="11"/>
  <c r="D51" i="11" s="1"/>
  <c r="B52" i="11"/>
  <c r="B53" i="11"/>
  <c r="C48" i="11"/>
  <c r="C49" i="11"/>
  <c r="C50" i="11"/>
  <c r="C51" i="11"/>
  <c r="C52" i="11"/>
  <c r="C53" i="11"/>
  <c r="B57" i="11"/>
  <c r="C57" i="11"/>
  <c r="B58" i="11"/>
  <c r="B63" i="11" s="1"/>
  <c r="C58" i="11"/>
  <c r="B59" i="11"/>
  <c r="C59" i="11"/>
  <c r="B60" i="11"/>
  <c r="C60" i="11"/>
  <c r="B61" i="11"/>
  <c r="C61" i="11"/>
  <c r="B62" i="11"/>
  <c r="C62" i="11"/>
  <c r="B66" i="11"/>
  <c r="C66" i="11"/>
  <c r="C71" i="11" s="1"/>
  <c r="B73" i="11"/>
  <c r="C73" i="11"/>
  <c r="B74" i="11"/>
  <c r="C74" i="11"/>
  <c r="B75" i="11"/>
  <c r="C75" i="11"/>
  <c r="B76" i="11"/>
  <c r="C76" i="11"/>
  <c r="B77" i="11"/>
  <c r="C77" i="11"/>
  <c r="B84" i="11"/>
  <c r="B97" i="11" s="1"/>
  <c r="C84" i="11"/>
  <c r="D84"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T26" i="4"/>
  <c r="H26" i="13"/>
  <c r="T38" i="4"/>
  <c r="H38" i="13"/>
  <c r="T42" i="4"/>
  <c r="H42" i="13"/>
  <c r="T54" i="4"/>
  <c r="H54" i="13"/>
  <c r="T70" i="4"/>
  <c r="H70" i="13"/>
  <c r="T96" i="4"/>
  <c r="H96" i="13"/>
  <c r="C11" i="4"/>
  <c r="B11" i="4" s="1"/>
  <c r="C38" i="4"/>
  <c r="B38" i="13"/>
  <c r="C54" i="4"/>
  <c r="B54" i="13" s="1"/>
  <c r="C62" i="4"/>
  <c r="B62" i="13" s="1"/>
  <c r="C77" i="4"/>
  <c r="B77" i="13" s="1"/>
  <c r="C96" i="4"/>
  <c r="D8" i="4"/>
  <c r="D11" i="4"/>
  <c r="D26" i="4"/>
  <c r="D38" i="4"/>
  <c r="D42" i="4"/>
  <c r="D54" i="4"/>
  <c r="D62" i="4"/>
  <c r="D77" i="4"/>
  <c r="D96" i="4"/>
  <c r="D104" i="4"/>
  <c r="S38" i="4"/>
  <c r="E38" i="13"/>
  <c r="S42" i="4"/>
  <c r="E42" i="13" s="1"/>
  <c r="S54" i="4"/>
  <c r="E54" i="13" s="1"/>
  <c r="S96" i="4"/>
  <c r="E96" i="13" s="1"/>
  <c r="F2" i="4"/>
  <c r="G2" i="4"/>
  <c r="H2" i="4"/>
  <c r="I2" i="4"/>
  <c r="J2" i="4"/>
  <c r="K2" i="4"/>
  <c r="L2" i="4"/>
  <c r="M2" i="4"/>
  <c r="N2" i="4"/>
  <c r="O2" i="4"/>
  <c r="P2" i="4"/>
  <c r="Q2" i="4"/>
  <c r="B4" i="4"/>
  <c r="B5" i="4"/>
  <c r="B6" i="4"/>
  <c r="B7" i="4"/>
  <c r="E8" i="4"/>
  <c r="F8" i="4"/>
  <c r="G8" i="4"/>
  <c r="G11" i="4"/>
  <c r="G12" i="4" s="1"/>
  <c r="H8" i="4"/>
  <c r="H11" i="4"/>
  <c r="H12" i="4" s="1"/>
  <c r="I8" i="4"/>
  <c r="J8" i="4"/>
  <c r="J11" i="4"/>
  <c r="J26" i="4"/>
  <c r="J38" i="4"/>
  <c r="J42" i="4"/>
  <c r="J54" i="4"/>
  <c r="J63" i="4" s="1"/>
  <c r="J62" i="4"/>
  <c r="J70" i="4"/>
  <c r="J77" i="4"/>
  <c r="J104" i="4"/>
  <c r="K8" i="4"/>
  <c r="K11" i="4"/>
  <c r="L8" i="4"/>
  <c r="L11" i="4"/>
  <c r="M8" i="4"/>
  <c r="M11" i="4"/>
  <c r="N8" i="4"/>
  <c r="O8" i="4"/>
  <c r="Q8" i="4"/>
  <c r="Q11" i="4"/>
  <c r="B9" i="4"/>
  <c r="B10"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F96" i="4"/>
  <c r="G96" i="4"/>
  <c r="H96" i="4"/>
  <c r="I96" i="4"/>
  <c r="K96" i="4"/>
  <c r="L96" i="4"/>
  <c r="Q96" i="4"/>
  <c r="B101" i="4"/>
  <c r="B102" i="4"/>
  <c r="B103" i="4"/>
  <c r="F104" i="4"/>
  <c r="G104" i="4"/>
  <c r="H104" i="4"/>
  <c r="I104" i="4"/>
  <c r="L104" i="4"/>
  <c r="Q104" i="4"/>
  <c r="E108" i="4"/>
  <c r="F108" i="4"/>
  <c r="F9" i="4" s="1"/>
  <c r="G108" i="4"/>
  <c r="H108" i="4"/>
  <c r="J108" i="4"/>
  <c r="E83" i="4" s="1"/>
  <c r="E96" i="4" s="1"/>
  <c r="L108" i="4"/>
  <c r="M108" i="4"/>
  <c r="N108" i="4"/>
  <c r="O108" i="4"/>
  <c r="P108" i="4"/>
  <c r="Q108" i="4"/>
  <c r="B131" i="4"/>
  <c r="I184" i="3"/>
  <c r="W418" i="3"/>
  <c r="AF418" i="3" s="1"/>
  <c r="AP571"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AH720" i="3" s="1"/>
  <c r="BA670" i="3"/>
  <c r="AH721" i="3" s="1"/>
  <c r="G667" i="3"/>
  <c r="Z667" i="3"/>
  <c r="BA671" i="3"/>
  <c r="AH722" i="3" s="1"/>
  <c r="BA672" i="3"/>
  <c r="AH723" i="3" s="1"/>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D49" i="11"/>
  <c r="D50" i="11"/>
  <c r="I63" i="13"/>
  <c r="I97" i="13"/>
  <c r="I105" i="13"/>
  <c r="I107" i="13"/>
  <c r="D54" i="11"/>
  <c r="D53" i="11"/>
  <c r="J63" i="13"/>
  <c r="J97" i="13"/>
  <c r="J105" i="13"/>
  <c r="J107" i="13"/>
  <c r="L12" i="4"/>
  <c r="D48" i="11"/>
  <c r="D93" i="11"/>
  <c r="D5" i="11"/>
  <c r="D70" i="11"/>
  <c r="D52" i="11"/>
  <c r="D6" i="11"/>
  <c r="L63" i="4"/>
  <c r="L97" i="4"/>
  <c r="L105" i="4"/>
  <c r="Q12" i="4"/>
  <c r="O63" i="4"/>
  <c r="O97" i="4"/>
  <c r="O105" i="4"/>
  <c r="D18" i="11"/>
  <c r="B8" i="4"/>
  <c r="N187" i="27" s="1"/>
  <c r="D36" i="11"/>
  <c r="G63" i="13"/>
  <c r="G97" i="13"/>
  <c r="G105" i="13"/>
  <c r="G107" i="13"/>
  <c r="D61" i="11"/>
  <c r="D8" i="11"/>
  <c r="D85" i="11"/>
  <c r="B43" i="11"/>
  <c r="D102" i="11"/>
  <c r="D94" i="11"/>
  <c r="K12" i="4"/>
  <c r="C12" i="13"/>
  <c r="B78" i="11"/>
  <c r="D7" i="11"/>
  <c r="J12" i="4"/>
  <c r="D22" i="11"/>
  <c r="O12" i="4"/>
  <c r="D95" i="11"/>
  <c r="D25" i="11"/>
  <c r="D12" i="4"/>
  <c r="B9" i="11"/>
  <c r="D9" i="11" s="1"/>
  <c r="C39" i="11"/>
  <c r="D39" i="11" s="1"/>
  <c r="D23" i="11"/>
  <c r="D89" i="11"/>
  <c r="D73" i="11"/>
  <c r="D44" i="11"/>
  <c r="D35" i="11"/>
  <c r="D76" i="11"/>
  <c r="D31" i="11"/>
  <c r="D32" i="11"/>
  <c r="D15" i="11"/>
  <c r="D63" i="13"/>
  <c r="D97" i="13"/>
  <c r="D105" i="13"/>
  <c r="D14" i="11"/>
  <c r="Q63" i="4"/>
  <c r="Q97" i="4"/>
  <c r="Q105" i="4"/>
  <c r="D87" i="11"/>
  <c r="N63" i="4"/>
  <c r="N97" i="4"/>
  <c r="N105" i="4"/>
  <c r="N12" i="4"/>
  <c r="D60" i="11"/>
  <c r="M12" i="4"/>
  <c r="R8" i="4"/>
  <c r="D74" i="11"/>
  <c r="D59" i="11"/>
  <c r="D38" i="11"/>
  <c r="R42" i="4"/>
  <c r="P63" i="4"/>
  <c r="P97" i="4"/>
  <c r="P105" i="4"/>
  <c r="B38" i="4"/>
  <c r="C9" i="11"/>
  <c r="D12" i="13"/>
  <c r="D58" i="11"/>
  <c r="D62" i="11"/>
  <c r="D101" i="11"/>
  <c r="D90" i="11"/>
  <c r="D66" i="11"/>
  <c r="R38" i="4"/>
  <c r="C63" i="13"/>
  <c r="C97" i="13"/>
  <c r="C105" i="13"/>
  <c r="D75" i="11"/>
  <c r="B71" i="11"/>
  <c r="B39" i="11"/>
  <c r="D103" i="11"/>
  <c r="D88" i="11"/>
  <c r="C78" i="11"/>
  <c r="D42" i="11"/>
  <c r="D16" i="11"/>
  <c r="B12" i="11"/>
  <c r="D86" i="11"/>
  <c r="F63" i="13"/>
  <c r="F97" i="13"/>
  <c r="F105" i="13"/>
  <c r="F107" i="13"/>
  <c r="AD199" i="20"/>
  <c r="D77" i="11"/>
  <c r="M63" i="4"/>
  <c r="M97" i="4"/>
  <c r="M105" i="4"/>
  <c r="D91" i="11"/>
  <c r="K63" i="4"/>
  <c r="K97" i="4"/>
  <c r="D104" i="11"/>
  <c r="T63" i="4"/>
  <c r="T97" i="4" s="1"/>
  <c r="D11" i="11"/>
  <c r="D78" i="11"/>
  <c r="D96" i="11"/>
  <c r="AZ846" i="3"/>
  <c r="K40" i="7" l="1"/>
  <c r="W40" i="7"/>
  <c r="U40" i="7"/>
  <c r="S40" i="7"/>
  <c r="Q40" i="7"/>
  <c r="Q43" i="7" s="1"/>
  <c r="Y40" i="7"/>
  <c r="Y43" i="7" s="1"/>
  <c r="C55" i="11"/>
  <c r="C64" i="11" s="1"/>
  <c r="D46" i="11"/>
  <c r="R83" i="4"/>
  <c r="J96" i="4"/>
  <c r="N193" i="27"/>
  <c r="R96" i="4"/>
  <c r="D71" i="11"/>
  <c r="R62" i="4"/>
  <c r="AH719" i="3"/>
  <c r="F11" i="4"/>
  <c r="B96" i="13"/>
  <c r="D80" i="11"/>
  <c r="S79" i="4"/>
  <c r="D10" i="11"/>
  <c r="D19" i="11"/>
  <c r="R26" i="4"/>
  <c r="C97" i="11"/>
  <c r="D97" i="11" s="1"/>
  <c r="B96" i="4"/>
  <c r="R70" i="4"/>
  <c r="R54" i="4"/>
  <c r="B77" i="4"/>
  <c r="C63" i="11"/>
  <c r="D63" i="11" s="1"/>
  <c r="B62" i="4"/>
  <c r="D57" i="11"/>
  <c r="B55" i="11"/>
  <c r="D55" i="11" s="1"/>
  <c r="B54" i="4"/>
  <c r="S63" i="4"/>
  <c r="E63" i="13" s="1"/>
  <c r="B42" i="4"/>
  <c r="D41" i="11"/>
  <c r="E26" i="13"/>
  <c r="B26" i="4"/>
  <c r="D63" i="4"/>
  <c r="D97" i="4" s="1"/>
  <c r="D105" i="4" s="1"/>
  <c r="D21" i="11"/>
  <c r="C27" i="11"/>
  <c r="B26" i="13"/>
  <c r="T105" i="4"/>
  <c r="H97" i="13"/>
  <c r="H63" i="13"/>
  <c r="H63" i="4"/>
  <c r="H97" i="4" s="1"/>
  <c r="H105" i="4" s="1"/>
  <c r="G63" i="4"/>
  <c r="G97" i="4" s="1"/>
  <c r="G105" i="4" s="1"/>
  <c r="D12" i="11"/>
  <c r="C13" i="11"/>
  <c r="C12" i="4"/>
  <c r="B12" i="13" s="1"/>
  <c r="B11" i="13"/>
  <c r="B12" i="4"/>
  <c r="B13"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K29" i="7"/>
  <c r="S29" i="7"/>
  <c r="AG28" i="7"/>
  <c r="Y28" i="7"/>
  <c r="U28" i="7"/>
  <c r="S28" i="7"/>
  <c r="Q28" i="7"/>
  <c r="W28" i="7"/>
  <c r="I28" i="7"/>
  <c r="O28" i="7"/>
  <c r="AA28" i="7"/>
  <c r="G28" i="7"/>
  <c r="M28" i="7"/>
  <c r="K28" i="7"/>
  <c r="AG40" i="7"/>
  <c r="AG43" i="7" s="1"/>
  <c r="O30" i="21"/>
  <c r="S43" i="7"/>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3" i="7"/>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P30" i="21" a="1"/>
  <c r="P30" i="21" s="1"/>
  <c r="DR632" i="3"/>
  <c r="S24" i="21"/>
  <c r="B27" i="11"/>
  <c r="D26" i="11"/>
  <c r="D27" i="11" s="1"/>
  <c r="S30" i="21"/>
  <c r="O40" i="21"/>
  <c r="T7" i="15"/>
  <c r="E43" i="7"/>
  <c r="AC29" i="7"/>
  <c r="M29" i="7"/>
  <c r="Q44" i="21" a="1"/>
  <c r="Q44" i="21" s="1"/>
  <c r="U43" i="7"/>
  <c r="G29" i="7"/>
  <c r="Q29" i="7"/>
  <c r="O36" i="21"/>
  <c r="AA40" i="7"/>
  <c r="AA43" i="7" s="1"/>
  <c r="M40" i="7"/>
  <c r="M43" i="7" s="1"/>
  <c r="AE29" i="7"/>
  <c r="P36" i="21" a="1"/>
  <c r="P36" i="21" s="1"/>
  <c r="S28" i="21"/>
  <c r="AE40" i="7"/>
  <c r="AE43" i="7" s="1"/>
  <c r="W43" i="7"/>
  <c r="W29" i="7"/>
  <c r="P40" i="21" a="1"/>
  <c r="P40" i="21" s="1"/>
  <c r="O40" i="7"/>
  <c r="O43" i="7" s="1"/>
  <c r="U29" i="7"/>
  <c r="P31" i="21" a="1"/>
  <c r="P31" i="21" s="1"/>
  <c r="Q25" i="21" a="1"/>
  <c r="Q25" i="21" s="1"/>
  <c r="S36" i="21"/>
  <c r="T38" i="21"/>
  <c r="S42" i="21"/>
  <c r="T27" i="21"/>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F12" i="4" l="1"/>
  <c r="F63" i="4"/>
  <c r="F97" i="4" s="1"/>
  <c r="F105" i="4" s="1"/>
  <c r="J80" i="4"/>
  <c r="R80" i="4" s="1"/>
  <c r="C81" i="11"/>
  <c r="B80" i="13"/>
  <c r="B81" i="11"/>
  <c r="B82" i="11" s="1"/>
  <c r="B80" i="4"/>
  <c r="C81" i="4"/>
  <c r="E79" i="13"/>
  <c r="S81" i="4"/>
  <c r="E81" i="13" s="1"/>
  <c r="R79" i="4"/>
  <c r="B64" i="11"/>
  <c r="B63" i="4"/>
  <c r="T107" i="4"/>
  <c r="H105" i="13"/>
  <c r="D13" i="1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J81" i="4" l="1"/>
  <c r="J97" i="4" s="1"/>
  <c r="J105" i="4" s="1"/>
  <c r="B98" i="11"/>
  <c r="R81" i="4"/>
  <c r="O24" i="21"/>
  <c r="P24" i="21" s="1" a="1"/>
  <c r="P24" i="21" s="1"/>
  <c r="R24" i="21" s="1"/>
  <c r="O28" i="21"/>
  <c r="P28" i="21" s="1" a="1"/>
  <c r="P28" i="21" s="1"/>
  <c r="R28" i="21" s="1"/>
  <c r="O27" i="21"/>
  <c r="P27" i="21" s="1" a="1"/>
  <c r="P27" i="21" s="1"/>
  <c r="R27" i="21" s="1"/>
  <c r="O26" i="21"/>
  <c r="P26" i="21" s="1" a="1"/>
  <c r="P26" i="21" s="1"/>
  <c r="R26" i="21" s="1"/>
  <c r="B81" i="13"/>
  <c r="B81" i="4"/>
  <c r="C82" i="11"/>
  <c r="C98" i="11" s="1"/>
  <c r="D81" i="11"/>
  <c r="C97" i="4"/>
  <c r="S97" i="4"/>
  <c r="E97" i="13"/>
  <c r="D64" i="11"/>
  <c r="H107" i="13"/>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99" i="4" l="1"/>
  <c r="D98" i="11"/>
  <c r="D82" i="11"/>
  <c r="B97" i="13"/>
  <c r="B97" i="4"/>
  <c r="AD11" i="15"/>
  <c r="AD23" i="15" s="1"/>
  <c r="AD26" i="15" s="1"/>
  <c r="AD28" i="15" s="1"/>
  <c r="AI11" i="15"/>
  <c r="AI23" i="15" s="1"/>
  <c r="AI26" i="15" s="1"/>
  <c r="AI28" i="15" s="1"/>
  <c r="AD64" i="15" s="1"/>
  <c r="AD68" i="15" s="1"/>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C99" i="4" l="1"/>
  <c r="S104" i="4"/>
  <c r="E99" i="13"/>
  <c r="B1059" i="3"/>
  <c r="AJ1048" i="3"/>
  <c r="AP542" i="20" s="1"/>
  <c r="AP539" i="20"/>
  <c r="K4" i="7"/>
  <c r="M4" i="7" s="1"/>
  <c r="E45" i="7"/>
  <c r="E48" i="7" s="1"/>
  <c r="G45" i="7"/>
  <c r="G49" i="7"/>
  <c r="K6" i="7"/>
  <c r="I7" i="7"/>
  <c r="I11" i="7" s="1"/>
  <c r="I37" i="7" s="1"/>
  <c r="G24" i="21"/>
  <c r="F27" i="21"/>
  <c r="G27" i="21"/>
  <c r="O22" i="7"/>
  <c r="O35" i="7" s="1"/>
  <c r="Q15" i="7"/>
  <c r="O9" i="7"/>
  <c r="Q8" i="7"/>
  <c r="K108" i="4" l="1"/>
  <c r="K99" i="4" s="1"/>
  <c r="K104" i="4" s="1"/>
  <c r="K105" i="4" s="1"/>
  <c r="E104" i="13"/>
  <c r="S105" i="4"/>
  <c r="C104" i="4"/>
  <c r="B99" i="13"/>
  <c r="B99" i="4"/>
  <c r="B100" i="11"/>
  <c r="B105" i="11" s="1"/>
  <c r="B106" i="11" s="1"/>
  <c r="C100" i="11"/>
  <c r="AJ1052" i="3"/>
  <c r="AP546" i="20" s="1"/>
  <c r="AP545" i="20"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99" i="4" l="1"/>
  <c r="R99" i="4" s="1"/>
  <c r="R104" i="4" s="1"/>
  <c r="C105" i="11"/>
  <c r="D100" i="11"/>
  <c r="B104" i="4"/>
  <c r="B104" i="13"/>
  <c r="C105" i="4"/>
  <c r="S107" i="4"/>
  <c r="E105" i="13"/>
  <c r="AP548" i="20"/>
  <c r="AF541" i="20" s="1"/>
  <c r="T24" i="15"/>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E104" i="4" l="1"/>
  <c r="E107" i="13"/>
  <c r="AC456" i="3"/>
  <c r="AF540" i="20"/>
  <c r="AF542" i="20" s="1"/>
  <c r="AK548" i="20" s="1"/>
  <c r="T807" i="20" s="1"/>
  <c r="AF807" i="20" s="1"/>
  <c r="AC455" i="3"/>
  <c r="B105" i="4"/>
  <c r="B105" i="13"/>
  <c r="AG258" i="20"/>
  <c r="D105" i="11"/>
  <c r="C106" i="11"/>
  <c r="D106" i="11"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O639" i="3" l="1"/>
  <c r="I108" i="4"/>
  <c r="I9" i="4" s="1"/>
  <c r="AB255" i="20"/>
  <c r="AB47" i="15"/>
  <c r="AC454" i="3"/>
  <c r="F457" i="3" s="1"/>
  <c r="N183" i="27"/>
  <c r="AD200" i="20"/>
  <c r="T11" i="15"/>
  <c r="T23" i="15" s="1"/>
  <c r="Y11" i="15"/>
  <c r="Y23" i="15" s="1"/>
  <c r="Y26" i="15" s="1"/>
  <c r="Y28" i="15" s="1"/>
  <c r="Y68" i="15" s="1"/>
  <c r="Y69" i="15" s="1"/>
  <c r="U4" i="7"/>
  <c r="S5" i="7"/>
  <c r="M48" i="7"/>
  <c r="M47" i="7"/>
  <c r="M60" i="7"/>
  <c r="O45" i="7"/>
  <c r="O49" i="7"/>
  <c r="K66" i="7"/>
  <c r="K67" i="7"/>
  <c r="K62" i="7"/>
  <c r="Q7" i="7"/>
  <c r="Q11" i="7" s="1"/>
  <c r="Q37" i="7" s="1"/>
  <c r="S6" i="7"/>
  <c r="I70" i="7"/>
  <c r="I72" i="7" s="1"/>
  <c r="W22" i="7"/>
  <c r="W35" i="7" s="1"/>
  <c r="Y15" i="7"/>
  <c r="W9" i="7"/>
  <c r="Y8" i="7"/>
  <c r="AG257" i="20" l="1"/>
  <c r="AG259" i="20" s="1"/>
  <c r="AK262" i="20" s="1"/>
  <c r="T801" i="20" s="1"/>
  <c r="AF801" i="20" s="1"/>
  <c r="E9" i="4"/>
  <c r="I11" i="4"/>
  <c r="AB48" i="15"/>
  <c r="AB49" i="15" s="1"/>
  <c r="AB54" i="15" s="1"/>
  <c r="AB55" i="15" s="1"/>
  <c r="AO641" i="3"/>
  <c r="T26" i="15"/>
  <c r="T28" i="15" s="1"/>
  <c r="T29" i="15" s="1"/>
  <c r="AD38" i="15"/>
  <c r="AD40" i="15" s="1"/>
  <c r="N184" i="27"/>
  <c r="N194" i="27"/>
  <c r="U5" i="7"/>
  <c r="W4" i="7"/>
  <c r="Q49" i="7"/>
  <c r="Q45" i="7"/>
  <c r="M62" i="7"/>
  <c r="M67" i="7"/>
  <c r="M66" i="7"/>
  <c r="O47" i="7"/>
  <c r="O48" i="7"/>
  <c r="O60" i="7"/>
  <c r="K70" i="7"/>
  <c r="K72" i="7" s="1"/>
  <c r="S7" i="7"/>
  <c r="S11" i="7" s="1"/>
  <c r="S37" i="7" s="1"/>
  <c r="U6" i="7"/>
  <c r="Y22" i="7"/>
  <c r="Y35" i="7" s="1"/>
  <c r="AA15" i="7"/>
  <c r="Y9" i="7"/>
  <c r="AA8" i="7"/>
  <c r="Y38" i="15" l="1"/>
  <c r="Y40" i="15" s="1"/>
  <c r="Y41" i="15" s="1"/>
  <c r="AB56" i="15" s="1"/>
  <c r="M26" i="3" s="1"/>
  <c r="P204" i="3" s="1"/>
  <c r="I63" i="4"/>
  <c r="I97" i="4" s="1"/>
  <c r="I105" i="4" s="1"/>
  <c r="I12" i="4"/>
  <c r="R9" i="4"/>
  <c r="R11" i="4" s="1"/>
  <c r="E11" i="4"/>
  <c r="M70" i="7"/>
  <c r="M72" i="7" s="1"/>
  <c r="W5" i="7"/>
  <c r="Y4" i="7"/>
  <c r="U7" i="7"/>
  <c r="U11" i="7" s="1"/>
  <c r="U37" i="7" s="1"/>
  <c r="W6" i="7"/>
  <c r="O67" i="7"/>
  <c r="O66" i="7"/>
  <c r="O62" i="7"/>
  <c r="Q60" i="7"/>
  <c r="Q48" i="7"/>
  <c r="Q47" i="7"/>
  <c r="S49" i="7"/>
  <c r="S45" i="7"/>
  <c r="AC15" i="7"/>
  <c r="AA22" i="7"/>
  <c r="AA35" i="7" s="1"/>
  <c r="AC8" i="7"/>
  <c r="AA9" i="7"/>
  <c r="AB57" i="15" l="1"/>
  <c r="AB59" i="15" s="1"/>
  <c r="AB77" i="15" s="1"/>
  <c r="AB78" i="15" s="1"/>
  <c r="AB79" i="15" s="1"/>
  <c r="AB81" i="15" s="1"/>
  <c r="J82" i="15" s="1"/>
  <c r="R12" i="4"/>
  <c r="R63" i="4"/>
  <c r="R97" i="4" s="1"/>
  <c r="R105" i="4" s="1"/>
  <c r="E12" i="4"/>
  <c r="E63" i="4"/>
  <c r="E97" i="4" s="1"/>
  <c r="E105" i="4" s="1"/>
  <c r="AA4" i="7"/>
  <c r="Y5" i="7"/>
  <c r="Y6" i="7"/>
  <c r="W7" i="7"/>
  <c r="W11" i="7" s="1"/>
  <c r="W37" i="7" s="1"/>
  <c r="U45" i="7"/>
  <c r="U49" i="7"/>
  <c r="Q66" i="7"/>
  <c r="Q67" i="7"/>
  <c r="Q62" i="7"/>
  <c r="S48" i="7"/>
  <c r="S47" i="7"/>
  <c r="S60" i="7"/>
  <c r="O70" i="7"/>
  <c r="O72" i="7" s="1"/>
  <c r="AE15" i="7"/>
  <c r="AC22" i="7"/>
  <c r="AC35" i="7" s="1"/>
  <c r="AC9" i="7"/>
  <c r="AE8" i="7"/>
  <c r="M27" i="3" l="1"/>
  <c r="P205" i="3" s="1"/>
  <c r="I10" i="21"/>
  <c r="I11" i="21" s="1"/>
  <c r="I16" i="21" s="1"/>
  <c r="H4" i="21" s="1"/>
  <c r="H5" i="21" s="1"/>
  <c r="AA5" i="7"/>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 r="AM56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<sst xmlns="http://schemas.openxmlformats.org/spreadsheetml/2006/main" count="5337" uniqueCount="2767">
  <si>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</si>
  <si>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</si>
  <si>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</si>
  <si>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</si>
  <si>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</si>
  <si>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</si>
  <si>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</si>
  <si>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</si>
  <si>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</si>
  <si>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</si>
  <si>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</si>
  <si>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</si>
  <si>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</si>
  <si>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</si>
  <si>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</si>
  <si>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</si>
  <si>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</si>
  <si>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</si>
  <si>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</si>
  <si>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</si>
  <si>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</si>
  <si>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</si>
  <si>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</si>
  <si>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</si>
  <si>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</si>
  <si>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</si>
  <si>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</si>
  <si>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</si>
  <si>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</si>
  <si>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</si>
  <si>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</si>
  <si>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</si>
  <si>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</si>
  <si>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</si>
  <si>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</si>
  <si>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</si>
  <si>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</si>
  <si>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</si>
  <si>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</si>
  <si>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</si>
  <si>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</si>
  <si>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</si>
  <si>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</si>
  <si>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</si>
  <si>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</si>
  <si>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</si>
  <si>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</si>
  <si>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</si>
  <si>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</si>
  <si>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</si>
  <si>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</si>
  <si>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</si>
  <si>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</si>
  <si>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</si>
  <si>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</si>
  <si>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</si>
  <si>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</si>
  <si>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</si>
  <si>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</si>
  <si>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</si>
  <si>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</si>
  <si>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</si>
  <si>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</si>
  <si>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</si>
  <si>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</si>
  <si>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</si>
  <si>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</si>
  <si>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</si>
  <si>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</si>
  <si>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</si>
  <si>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</si>
  <si>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</si>
  <si>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</si>
  <si>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</si>
  <si>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</si>
  <si>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</si>
  <si>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</si>
  <si>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</si>
  <si>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</si>
  <si>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</si>
  <si>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</si>
  <si>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</si>
  <si>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</si>
  <si>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</si>
  <si>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</si>
  <si>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</si>
  <si>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</si>
  <si>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</si>
  <si>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</si>
  <si>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</si>
  <si>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</si>
  <si>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</si>
  <si>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</si>
  <si>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</si>
  <si>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</si>
  <si>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</si>
  <si>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</si>
  <si>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</si>
  <si>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</si>
  <si>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</si>
  <si>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</si>
  <si>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</si>
  <si>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</si>
  <si>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</si>
  <si>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</si>
  <si>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</si>
  <si>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</si>
  <si>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</si>
  <si>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</si>
  <si>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</si>
  <si>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</si>
  <si>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</si>
  <si>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</si>
  <si>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</si>
  <si>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</si>
  <si>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</si>
  <si>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</si>
  <si>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</si>
  <si>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</si>
  <si>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</si>
  <si>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</si>
  <si>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</si>
  <si>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</si>
  <si>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</si>
  <si>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</si>
  <si>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</si>
  <si>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</si>
  <si>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</si>
  <si>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</si>
  <si>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</si>
  <si>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</si>
  <si>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</si>
  <si>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</si>
  <si>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</si>
  <si>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</si>
  <si>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</si>
  <si>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</si>
  <si>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</si>
  <si>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</si>
  <si>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</si>
  <si>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</si>
  <si>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</si>
  <si>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</si>
  <si>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</si>
  <si>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</si>
  <si>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</si>
  <si>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</si>
  <si>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</si>
  <si>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</si>
  <si>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</si>
  <si>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</si>
  <si>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</si>
  <si>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</si>
  <si>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</si>
  <si>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</si>
  <si>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</si>
  <si>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</si>
  <si>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</si>
  <si>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</si>
  <si>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</si>
  <si>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</si>
  <si>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</si>
  <si>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</si>
  <si>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</si>
  <si>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</si>
  <si>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</si>
  <si>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</si>
  <si>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</si>
  <si>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</si>
  <si>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</si>
  <si>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</si>
  <si>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</si>
  <si>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</si>
  <si>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</si>
  <si>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</si>
  <si>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</si>
  <si>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</si>
  <si>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</si>
  <si>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</si>
  <si>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</si>
  <si>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</si>
  <si>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</si>
  <si>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</si>
  <si>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</si>
  <si>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</si>
  <si>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</si>
  <si>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</si>
  <si>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</si>
  <si>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</si>
  <si>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</si>
  <si>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</si>
  <si>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</si>
  <si>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</si>
  <si>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</si>
  <si>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</si>
  <si>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</si>
  <si>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</si>
  <si>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</si>
  <si>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</si>
  <si>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</si>
  <si>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</si>
  <si>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</si>
  <si>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</si>
  <si>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</si>
  <si>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</si>
  <si>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</si>
  <si>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</si>
  <si>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</si>
  <si>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</si>
  <si>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</si>
  <si>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</si>
  <si>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</si>
  <si>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</si>
  <si>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</si>
  <si>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</si>
  <si>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</si>
  <si>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</si>
  <si>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</si>
  <si>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</si>
  <si>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</si>
  <si>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</si>
  <si>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</si>
  <si>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</si>
  <si>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</si>
  <si>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</si>
  <si>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</si>
  <si>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</si>
  <si>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</si>
  <si>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</si>
  <si>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</si>
  <si>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</si>
  <si>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</si>
  <si>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</si>
  <si>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</si>
  <si>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</si>
  <si>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</si>
  <si>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</si>
  <si>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</si>
  <si>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</si>
  <si>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</si>
  <si>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</si>
  <si>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</si>
  <si>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</si>
  <si>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</si>
  <si>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</si>
  <si>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</si>
  <si>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</si>
  <si>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</si>
  <si>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</si>
  <si>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</si>
  <si>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</si>
  <si>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</si>
  <si>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</si>
  <si>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</si>
  <si>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</si>
  <si>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</si>
  <si>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</si>
  <si>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</si>
  <si>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</si>
  <si>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</si>
  <si>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</si>
  <si>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</si>
  <si>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</si>
  <si>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</si>
  <si>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</si>
  <si>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</si>
  <si>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</si>
  <si>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</si>
  <si>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</si>
  <si>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</si>
  <si>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</si>
  <si>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</si>
  <si>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</si>
  <si>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</si>
  <si>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</si>
  <si>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</si>
  <si>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</si>
  <si>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</si>
  <si>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</si>
  <si>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</si>
  <si>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</si>
  <si>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</si>
  <si>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</si>
  <si>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</si>
  <si>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</si>
  <si>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</si>
  <si>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</si>
  <si>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</si>
  <si>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</si>
  <si>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</si>
  <si>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</si>
  <si>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</si>
  <si>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</si>
  <si>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</si>
  <si>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</si>
  <si>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</si>
  <si>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</si>
  <si>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</si>
  <si>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</si>
  <si>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</si>
  <si>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</si>
  <si>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</si>
  <si>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</si>
  <si>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</si>
  <si>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</si>
  <si>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</si>
  <si>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</si>
  <si>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</si>
  <si>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</si>
  <si>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</si>
  <si>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</si>
  <si>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</si>
  <si>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</si>
  <si>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</si>
  <si>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</si>
  <si>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</si>
  <si>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</si>
  <si>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</si>
  <si>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</si>
  <si>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</si>
  <si>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</si>
  <si>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</si>
  <si>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</si>
  <si>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</si>
  <si>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</si>
  <si>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</si>
  <si>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</si>
  <si>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</si>
  <si>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</si>
  <si>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</si>
  <si>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</si>
  <si>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</si>
  <si>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</si>
  <si>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</si>
  <si>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</si>
  <si>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</si>
  <si>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</si>
  <si>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</si>
  <si>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</si>
  <si>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</si>
  <si>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</si>
  <si>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</si>
  <si>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</si>
  <si>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</si>
  <si>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</si>
  <si>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</si>
  <si>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</si>
  <si>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</si>
  <si>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</si>
  <si>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</si>
  <si>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</si>
  <si>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</si>
  <si>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</si>
  <si>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</si>
  <si>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</si>
  <si>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</si>
  <si>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</si>
  <si>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</si>
  <si>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</si>
  <si>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</si>
  <si>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</si>
  <si>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</si>
  <si>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</si>
  <si>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</si>
  <si>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</si>
  <si>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</si>
  <si>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</si>
  <si>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</si>
  <si>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</si>
  <si>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</si>
  <si>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</si>
  <si>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</si>
  <si>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</si>
  <si>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</si>
  <si>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</si>
  <si>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</si>
  <si>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</si>
  <si>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</si>
  <si>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</si>
  <si>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</si>
  <si>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</si>
  <si>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</si>
  <si>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</si>
  <si>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</si>
  <si>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</si>
  <si>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</si>
  <si>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</si>
  <si>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</si>
  <si>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</si>
  <si>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</si>
  <si>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</si>
  <si>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</si>
  <si>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</si>
  <si>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</si>
  <si>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</si>
  <si>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</si>
  <si>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</si>
  <si>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</si>
  <si>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</si>
  <si>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</si>
  <si>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</si>
  <si>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</si>
  <si>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</si>
  <si>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</si>
  <si>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</si>
  <si>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</si>
  <si>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</si>
  <si>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</si>
  <si>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</si>
  <si>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</si>
  <si>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</si>
  <si>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</si>
  <si>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</si>
  <si>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</si>
  <si>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</si>
  <si>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</si>
  <si>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</si>
  <si>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</si>
  <si>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</si>
  <si>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</si>
  <si>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</si>
  <si>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</si>
  <si>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</si>
  <si>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</si>
  <si>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</si>
  <si>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</si>
  <si>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</si>
  <si>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</si>
  <si>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</si>
  <si>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</si>
  <si>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</si>
  <si>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</si>
  <si>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</si>
  <si>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</si>
  <si>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</si>
  <si>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</si>
  <si>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</si>
  <si>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</si>
  <si>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</si>
  <si>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</si>
  <si>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</si>
  <si>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</si>
  <si>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</si>
  <si>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</si>
  <si>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</si>
  <si>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</si>
  <si>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</si>
  <si>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</si>
  <si>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</si>
  <si>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</si>
  <si>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</si>
  <si>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</si>
  <si>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</si>
  <si>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</si>
  <si>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</si>
  <si>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</si>
  <si>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</si>
  <si>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</si>
  <si>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</si>
  <si>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</si>
  <si>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</si>
  <si>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</si>
  <si>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</si>
  <si>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</si>
  <si>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</si>
  <si>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</si>
  <si>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</si>
  <si>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</si>
  <si>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</si>
  <si>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</si>
  <si>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</si>
  <si>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</si>
  <si>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</si>
  <si>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</si>
  <si>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</si>
  <si>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</si>
  <si>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</si>
  <si>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</si>
  <si>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</si>
  <si>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</si>
  <si>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</si>
  <si>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</si>
  <si>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</si>
  <si>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</si>
  <si>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</si>
  <si>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</si>
  <si>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</si>
  <si>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</si>
  <si>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</si>
  <si>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</si>
  <si>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</si>
  <si>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</si>
  <si>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</si>
  <si>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</si>
  <si>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</si>
  <si>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</si>
  <si>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</si>
  <si>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</si>
  <si>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</si>
  <si>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</si>
  <si>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</si>
  <si>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</si>
  <si>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</si>
  <si>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</si>
  <si>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</si>
  <si>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</si>
  <si>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</si>
  <si>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</si>
  <si>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</si>
  <si>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</si>
  <si>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</si>
  <si>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</si>
  <si>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</si>
  <si>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</si>
  <si>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</si>
  <si>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</si>
  <si>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</si>
  <si>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</si>
  <si>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</si>
  <si>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</si>
  <si>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</si>
  <si>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</si>
  <si>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</si>
  <si>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</si>
  <si>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</si>
  <si>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</si>
  <si>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</si>
  <si>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</si>
  <si>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</si>
  <si>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</si>
  <si>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</si>
  <si>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</si>
  <si>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</si>
  <si>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</si>
  <si>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</si>
  <si>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</si>
  <si>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</si>
  <si>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</si>
  <si>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</si>
  <si>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</si>
  <si>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</si>
  <si>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</si>
  <si>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</si>
  <si>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</si>
  <si>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</si>
  <si>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</si>
  <si>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</si>
  <si>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</si>
  <si>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</si>
  <si>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</si>
  <si>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</si>
  <si>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</si>
  <si>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</si>
  <si>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</si>
  <si>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</si>
  <si>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</si>
  <si>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</si>
  <si>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</si>
  <si>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</si>
  <si>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</si>
  <si>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</si>
  <si>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</si>
  <si>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</si>
  <si>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</si>
  <si>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</si>
  <si>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</si>
  <si>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</si>
  <si>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</si>
  <si>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</si>
  <si>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</si>
  <si>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</si>
  <si>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</si>
  <si>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</si>
  <si>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</si>
  <si>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</si>
  <si>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</si>
  <si>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</si>
  <si>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</si>
  <si>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</si>
  <si>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</si>
  <si>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</si>
  <si>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</si>
  <si>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</si>
  <si>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</si>
  <si>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</si>
  <si>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</si>
  <si>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</si>
  <si>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</si>
  <si>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</si>
  <si>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</si>
  <si>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</si>
  <si>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</si>
  <si>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</si>
  <si>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</si>
  <si>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</si>
  <si>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</si>
  <si>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</si>
  <si>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</si>
  <si>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</si>
  <si>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</si>
  <si>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</si>
  <si>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</si>
  <si>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</si>
  <si>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</si>
  <si>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</si>
  <si>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</si>
  <si>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</si>
  <si>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</si>
  <si>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</si>
  <si>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</si>
  <si>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</si>
  <si>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</si>
  <si>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</si>
  <si>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</si>
  <si>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</si>
  <si>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</si>
  <si>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</si>
  <si>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</si>
  <si>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</si>
  <si>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</si>
  <si>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</si>
  <si>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</si>
  <si>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</si>
  <si>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</si>
  <si>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</si>
  <si>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</si>
  <si>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</si>
  <si>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</si>
  <si>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</si>
  <si>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</si>
  <si>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</si>
  <si>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</si>
  <si>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</si>
  <si>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</si>
  <si>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</si>
  <si>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</si>
  <si>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</si>
  <si>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</si>
  <si>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</si>
  <si>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</si>
  <si>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</si>
  <si>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</si>
  <si>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</si>
  <si>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</si>
  <si>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</si>
  <si>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</si>
  <si>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</si>
  <si>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</si>
  <si>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</si>
  <si>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</si>
  <si>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</si>
  <si>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</si>
  <si>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</si>
  <si>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</si>
  <si>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</si>
  <si>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</si>
  <si>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</si>
  <si>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</si>
  <si>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</si>
  <si>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</si>
  <si>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</si>
  <si>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</si>
  <si>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</si>
  <si>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</si>
  <si>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</si>
  <si>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</si>
  <si>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</si>
  <si>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</si>
  <si>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</si>
  <si>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</si>
  <si>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</si>
  <si>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</si>
  <si>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</si>
  <si>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</si>
  <si>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</si>
  <si>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</si>
  <si>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</si>
  <si>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</si>
  <si>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</si>
  <si>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</si>
  <si>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</si>
  <si>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</si>
  <si>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</si>
  <si>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</si>
  <si>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</si>
  <si>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</si>
  <si>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</si>
  <si>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</si>
  <si>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</si>
  <si>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</si>
  <si>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</si>
  <si>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</si>
  <si>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</si>
  <si>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</si>
  <si>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</si>
  <si>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</si>
  <si>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</si>
  <si>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</si>
  <si>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</si>
  <si>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</si>
  <si>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</si>
  <si>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</si>
  <si>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</si>
  <si>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</si>
  <si>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</si>
  <si>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</si>
  <si>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</si>
  <si>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</si>
  <si>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</si>
  <si>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</si>
  <si>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</si>
  <si>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</si>
  <si>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</si>
  <si>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</si>
  <si>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</si>
  <si>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</si>
  <si>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</si>
  <si>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</si>
  <si>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</si>
  <si>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</si>
  <si>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</si>
  <si>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</si>
  <si>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</si>
  <si>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</si>
  <si>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</si>
  <si>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</si>
  <si>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</si>
  <si>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</si>
  <si>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</si>
  <si>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</si>
  <si>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</si>
  <si>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</si>
  <si>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</si>
  <si>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</si>
  <si>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</si>
  <si>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</si>
  <si>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</si>
  <si>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</si>
  <si>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</si>
  <si>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</si>
  <si>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</si>
  <si>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</si>
  <si>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</si>
  <si>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</si>
  <si>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</si>
  <si>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</si>
  <si>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</si>
  <si>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</si>
  <si>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</si>
  <si>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</si>
  <si>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</si>
  <si>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</si>
  <si>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</si>
  <si>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</si>
  <si>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</si>
  <si>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</si>
  <si>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</si>
  <si>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</si>
  <si>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</si>
  <si>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</si>
  <si>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</si>
  <si>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</si>
  <si>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</si>
  <si>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</si>
  <si>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</si>
  <si>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</si>
  <si>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</si>
  <si>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</si>
  <si>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</si>
  <si>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</si>
  <si>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</si>
  <si>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</si>
  <si>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</si>
  <si>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</si>
  <si>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</si>
  <si>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</si>
  <si>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</si>
  <si>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</si>
  <si>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</si>
  <si>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</si>
  <si>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</si>
  <si>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</si>
  <si>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</si>
  <si>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</si>
  <si>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</si>
  <si>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</si>
  <si>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</si>
  <si>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</si>
  <si>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</si>
  <si>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</si>
  <si>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</si>
  <si>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</si>
  <si>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</si>
  <si>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</si>
  <si>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</si>
  <si>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</si>
  <si>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</si>
  <si>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</si>
  <si>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</si>
  <si>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</si>
  <si>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</si>
  <si>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</si>
  <si>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</si>
  <si>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</si>
  <si>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</si>
  <si>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</si>
  <si>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</si>
  <si>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</si>
  <si>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</si>
  <si>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</si>
  <si>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</si>
  <si>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</si>
  <si>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</si>
  <si>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</si>
  <si>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</si>
  <si>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</si>
  <si>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</si>
  <si>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</si>
  <si>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</si>
  <si>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</si>
  <si>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</si>
  <si>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</si>
  <si>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</si>
  <si>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</si>
  <si>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</si>
  <si>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</si>
  <si>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</si>
  <si>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</si>
  <si>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</si>
  <si>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</si>
  <si>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</si>
  <si>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</si>
  <si>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</si>
  <si>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</si>
  <si>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</si>
  <si>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</si>
  <si>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</si>
  <si>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</si>
  <si>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</si>
  <si>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</si>
  <si>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</si>
  <si>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</si>
  <si>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</si>
  <si>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</si>
  <si>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</si>
  <si>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</si>
  <si>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</si>
  <si>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</si>
  <si>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</si>
  <si>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</si>
  <si>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</si>
  <si>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</si>
  <si>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</si>
  <si>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</si>
  <si>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</si>
  <si>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</si>
  <si>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</si>
  <si>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</si>
  <si>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</si>
  <si>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</si>
  <si>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</si>
  <si>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</si>
  <si>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</si>
  <si>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</si>
  <si>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</si>
  <si>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</si>
  <si>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</si>
  <si>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</si>
  <si>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</si>
  <si>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</si>
  <si>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</si>
  <si>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</si>
  <si>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</si>
  <si>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</si>
  <si>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</si>
  <si>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</si>
  <si>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</si>
  <si>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</si>
  <si>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</si>
  <si>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</si>
  <si>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</si>
  <si>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</si>
  <si>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</si>
  <si>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</si>
  <si>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</si>
  <si>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</si>
  <si>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</si>
  <si>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</si>
  <si>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</si>
  <si>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</si>
  <si>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</si>
  <si>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</si>
  <si>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</si>
  <si>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</si>
  <si>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</si>
  <si>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</si>
  <si>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</si>
  <si>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</si>
  <si>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</si>
  <si>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</si>
  <si>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</si>
  <si>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</si>
  <si>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</si>
  <si>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</si>
  <si>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</si>
  <si>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</si>
  <si>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</si>
  <si>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</si>
  <si>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</si>
  <si>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</si>
  <si>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</si>
  <si>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</si>
  <si>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</si>
  <si>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</si>
  <si>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</si>
  <si>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</si>
  <si>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</si>
  <si>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</si>
  <si>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</si>
  <si>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</si>
  <si>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</si>
  <si>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</si>
  <si>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</si>
  <si>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</si>
  <si>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</si>
  <si>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</si>
  <si>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</si>
  <si>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</si>
  <si>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</si>
  <si>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</si>
  <si>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</si>
  <si>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</si>
  <si>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</si>
  <si>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</si>
  <si>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</si>
  <si>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</si>
  <si>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</si>
  <si>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</si>
  <si>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</si>
  <si>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</si>
  <si>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</si>
  <si>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</si>
  <si>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</si>
  <si>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</si>
  <si>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</si>
  <si>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</si>
  <si>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</si>
  <si>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</si>
  <si>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</si>
  <si>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</si>
  <si>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</si>
  <si>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</si>
  <si>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</si>
  <si>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</si>
  <si>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</si>
  <si>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</si>
  <si>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</si>
  <si>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</si>
  <si>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</si>
  <si>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</si>
  <si>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</si>
  <si>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</si>
  <si>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</si>
  <si>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</si>
  <si>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</si>
  <si>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</si>
  <si>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</si>
  <si>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</si>
  <si>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</si>
  <si>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</si>
  <si>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</si>
  <si>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</si>
  <si>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</si>
  <si>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</si>
  <si>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</si>
  <si>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</si>
  <si>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</si>
  <si>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</si>
  <si>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</si>
  <si>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</si>
  <si>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</si>
  <si>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</si>
  <si>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</si>
  <si>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</si>
  <si>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</si>
  <si>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</si>
  <si>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</si>
  <si>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</si>
  <si>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</si>
  <si>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</si>
  <si>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</si>
  <si>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</si>
  <si>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</si>
  <si>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</si>
  <si>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</si>
  <si>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</si>
  <si>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</si>
  <si>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</si>
  <si>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</si>
  <si>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</si>
  <si>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</si>
  <si>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</si>
  <si>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</si>
  <si>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</si>
  <si>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</si>
  <si>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</si>
  <si>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</si>
  <si>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</si>
  <si>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</si>
  <si>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</si>
  <si>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</si>
  <si>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</si>
  <si>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</si>
  <si>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</si>
  <si>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</si>
  <si>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</si>
  <si>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</si>
  <si>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</si>
  <si>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</si>
  <si>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</si>
  <si>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</si>
  <si>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</si>
  <si>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</si>
  <si>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</si>
  <si>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</si>
  <si>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</si>
  <si>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</si>
  <si>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</si>
  <si>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</si>
  <si>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</si>
  <si>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</si>
  <si>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</si>
  <si>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</si>
  <si>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</si>
  <si>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</si>
  <si>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</si>
  <si>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</si>
  <si>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</si>
  <si>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</si>
  <si>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</si>
  <si>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</si>
  <si>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</si>
  <si>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</si>
  <si>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</si>
  <si>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</si>
  <si>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</si>
  <si>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</si>
  <si>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</si>
  <si>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</si>
  <si>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</si>
  <si>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</si>
  <si>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</si>
  <si>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</si>
  <si>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</si>
  <si>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</si>
  <si>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</si>
  <si>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</si>
  <si>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</si>
  <si>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</si>
  <si>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</si>
  <si>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</si>
  <si>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</si>
  <si>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</si>
  <si>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</si>
  <si>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</si>
  <si>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</si>
  <si>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</si>
  <si>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</si>
  <si>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</si>
  <si>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</si>
  <si>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</si>
  <si>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</si>
  <si>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</si>
  <si>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</si>
  <si>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</si>
  <si>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</si>
  <si>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</si>
  <si>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</si>
  <si>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</si>
  <si>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</si>
  <si>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</si>
  <si>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</si>
  <si>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</si>
  <si>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</si>
  <si>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</si>
  <si>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</si>
  <si>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</si>
  <si>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</si>
  <si>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</si>
  <si>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</si>
  <si>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</si>
  <si>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</si>
  <si>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</si>
  <si>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</si>
  <si>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</si>
  <si>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</si>
  <si>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</si>
  <si>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</si>
  <si>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</si>
  <si>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</si>
  <si>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</si>
  <si>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</si>
  <si>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</si>
  <si>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</si>
  <si>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</si>
  <si>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</si>
  <si>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</si>
  <si>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</si>
  <si>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</si>
  <si>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</si>
  <si>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</si>
  <si>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</si>
  <si>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</si>
  <si>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</si>
  <si>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</si>
  <si>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</si>
  <si>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</si>
  <si>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</si>
  <si>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</si>
  <si>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</si>
  <si>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</si>
  <si>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</si>
  <si>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</si>
  <si>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</si>
  <si>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</si>
  <si>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</si>
  <si>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</si>
  <si>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</si>
  <si>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</si>
  <si>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</si>
  <si>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</si>
  <si>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</si>
  <si>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</si>
  <si>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</si>
  <si>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</si>
  <si>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</si>
  <si>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</si>
  <si>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</si>
  <si>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</si>
  <si>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</si>
  <si>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</si>
  <si>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</si>
  <si>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</si>
  <si>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</si>
  <si>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</si>
  <si>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</si>
  <si>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</si>
  <si>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</si>
  <si>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</si>
  <si>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</si>
  <si>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</si>
  <si>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</si>
  <si>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</si>
  <si>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</si>
  <si>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</si>
  <si>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</si>
  <si>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</si>
  <si>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</si>
  <si>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</si>
  <si>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</si>
  <si>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</si>
  <si>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</si>
  <si>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</si>
  <si>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</si>
  <si>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</si>
  <si>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</si>
  <si>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</si>
  <si>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</si>
  <si>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</si>
  <si>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</si>
  <si>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</si>
  <si>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</si>
  <si>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</si>
  <si>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</si>
  <si>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</si>
  <si>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</si>
  <si>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</si>
  <si>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</si>
  <si>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</si>
  <si>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</si>
  <si>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</si>
  <si>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</si>
  <si>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</si>
  <si>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</si>
  <si>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</si>
  <si>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</si>
  <si>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</si>
  <si>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</si>
  <si>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</si>
  <si>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</si>
  <si>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</si>
  <si>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</si>
  <si>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</si>
  <si>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</si>
  <si>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</si>
  <si>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</si>
  <si>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</si>
  <si>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</si>
  <si>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</si>
  <si>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</si>
  <si>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</si>
  <si>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</si>
  <si>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</si>
  <si>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</si>
  <si>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</si>
  <si>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</si>
  <si>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</si>
  <si>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</si>
  <si>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</si>
  <si>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</si>
  <si>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</si>
  <si>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</si>
  <si>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</si>
  <si>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</si>
  <si>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</si>
  <si>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</si>
  <si>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</si>
  <si>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</si>
  <si>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</si>
  <si>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</si>
  <si>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</si>
  <si>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</si>
  <si>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</si>
  <si>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</si>
  <si>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</si>
  <si>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</si>
  <si>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</si>
  <si>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</si>
  <si>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</si>
  <si>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</si>
  <si>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</si>
  <si>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</si>
  <si>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</si>
  <si>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</si>
  <si>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</si>
  <si>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</si>
  <si>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</si>
  <si>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</si>
  <si>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</si>
  <si>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</si>
  <si>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</si>
  <si>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</si>
  <si>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</si>
  <si>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</si>
  <si>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</si>
  <si>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</si>
  <si>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</si>
  <si>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</si>
  <si>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</si>
  <si>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</si>
  <si>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</si>
  <si>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</si>
  <si>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</si>
  <si>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</si>
  <si>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</si>
  <si>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</si>
  <si>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</si>
  <si>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</si>
  <si>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</si>
  <si>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</si>
  <si>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</si>
  <si>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</si>
  <si>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</si>
  <si>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</si>
  <si>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</si>
  <si>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</si>
  <si>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</si>
  <si>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</si>
  <si>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</si>
  <si>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</si>
  <si>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</si>
  <si>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</si>
  <si>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</si>
  <si>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</si>
  <si>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</si>
  <si>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</si>
  <si>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</si>
  <si>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</si>
  <si>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</si>
  <si>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</si>
  <si>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</si>
  <si>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</si>
  <si>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</si>
  <si>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</si>
  <si>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</si>
  <si>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</si>
  <si>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</si>
  <si>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</si>
  <si>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</si>
  <si>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</si>
  <si>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</si>
  <si>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</si>
  <si>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</si>
  <si>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</si>
  <si>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</si>
  <si>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</si>
  <si>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</si>
  <si>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</si>
  <si>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</si>
  <si>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</si>
  <si>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</si>
  <si>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</si>
  <si>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</si>
  <si>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</si>
  <si>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</si>
  <si>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</si>
  <si>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</si>
  <si>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</si>
  <si>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</si>
  <si>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</si>
  <si>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</si>
  <si>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</si>
  <si>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</si>
  <si>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</si>
  <si>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</si>
  <si>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</si>
  <si>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</si>
  <si>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</si>
  <si>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</si>
  <si>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</si>
  <si>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</si>
  <si>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</si>
  <si>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</si>
  <si>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</si>
  <si>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</si>
  <si>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</si>
  <si>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</si>
  <si>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</si>
  <si>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</si>
  <si>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</si>
  <si>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</si>
  <si>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</si>
  <si>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</si>
  <si>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</si>
  <si>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</si>
  <si>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</si>
  <si>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</si>
  <si>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</si>
  <si>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</si>
  <si>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</si>
  <si>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</si>
  <si>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</si>
  <si>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</si>
  <si>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</si>
  <si>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</si>
  <si>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</si>
  <si>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</si>
  <si>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</si>
  <si>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</si>
  <si>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</si>
  <si>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</si>
  <si>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</si>
  <si>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</si>
  <si>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</si>
  <si>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</si>
  <si>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</si>
  <si>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</si>
  <si>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</si>
  <si>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</si>
  <si>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</si>
  <si>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</si>
  <si>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</si>
  <si>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</si>
  <si>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</si>
  <si>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</si>
  <si>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</si>
  <si>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</si>
  <si>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</si>
  <si>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</si>
  <si>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</si>
  <si>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</si>
  <si>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</si>
  <si>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</si>
  <si>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</si>
  <si>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</si>
  <si>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</si>
  <si>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</si>
  <si>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</si>
  <si>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</si>
  <si>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</si>
  <si>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</si>
  <si>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</si>
  <si>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</si>
  <si>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</si>
  <si>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</si>
  <si>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</si>
  <si>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</si>
  <si>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</si>
  <si>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</si>
  <si>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</si>
  <si>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</si>
  <si>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</si>
  <si>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</si>
  <si>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</si>
  <si>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</si>
  <si>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</si>
  <si>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</si>
  <si>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</si>
  <si>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</si>
  <si>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</si>
  <si>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</si>
  <si>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</si>
  <si>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</si>
  <si>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</si>
  <si>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</si>
  <si>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</si>
  <si>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</si>
  <si>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</si>
  <si>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</si>
  <si>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</si>
  <si>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</si>
  <si>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</si>
  <si>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</si>
  <si>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</si>
  <si>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</si>
  <si>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</si>
  <si>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</si>
  <si>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</si>
  <si>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</si>
  <si>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</si>
  <si>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</si>
  <si>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</si>
  <si>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</si>
  <si>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</si>
  <si>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</si>
  <si>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</si>
  <si>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</si>
  <si>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</si>
  <si>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</si>
  <si>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</si>
  <si>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</si>
  <si>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</si>
  <si>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</si>
  <si>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</si>
  <si>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</si>
  <si>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</si>
  <si>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</si>
  <si>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</si>
  <si>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</si>
  <si>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</si>
  <si>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</si>
  <si>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</si>
  <si>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</si>
  <si>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</si>
  <si>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</si>
  <si>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</si>
  <si>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</si>
  <si>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</si>
  <si>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</si>
  <si>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</si>
  <si>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</si>
  <si>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</si>
  <si>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</si>
  <si>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</si>
  <si>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</si>
  <si>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</si>
  <si>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</si>
  <si>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</si>
  <si>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</si>
  <si>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</si>
  <si>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</si>
  <si>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</si>
  <si>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</si>
  <si>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</si>
  <si>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</si>
  <si>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</si>
  <si>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</si>
  <si>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</si>
  <si>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</si>
  <si>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</si>
  <si>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</si>
  <si>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</si>
  <si>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</si>
  <si>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</si>
  <si>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</si>
  <si>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</si>
  <si>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</si>
  <si>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</si>
  <si>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</si>
  <si>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</si>
  <si>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</si>
  <si>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</si>
  <si>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</si>
  <si>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</si>
  <si>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</si>
  <si>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</si>
  <si>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</si>
  <si>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</si>
  <si>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</si>
  <si>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</si>
  <si>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</si>
  <si>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</si>
  <si>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</si>
  <si>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</si>
  <si>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</si>
  <si>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</si>
  <si>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</si>
  <si>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</si>
  <si>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</si>
  <si>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</si>
  <si>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</si>
  <si>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</si>
  <si>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</si>
  <si>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</si>
  <si>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</si>
  <si>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</si>
  <si>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</si>
  <si>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</si>
  <si>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</si>
  <si>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</si>
  <si>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</si>
  <si>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</si>
  <si>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</si>
  <si>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</si>
  <si>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</si>
  <si>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</si>
  <si>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</si>
  <si>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</si>
  <si>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</si>
  <si>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</si>
  <si>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</si>
  <si>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</si>
  <si>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</si>
  <si>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</si>
  <si>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</si>
  <si>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</si>
  <si>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</si>
  <si>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</si>
  <si>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</si>
  <si>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</si>
  <si>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</si>
  <si>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</si>
  <si>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</si>
  <si>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</si>
  <si>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</si>
  <si>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</si>
  <si>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</si>
  <si>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</si>
  <si>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</si>
  <si>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</si>
  <si>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</si>
  <si>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</si>
  <si>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</si>
  <si>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</si>
  <si>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</si>
  <si>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</si>
  <si>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</si>
  <si>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</si>
  <si>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</si>
  <si>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</si>
  <si>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</si>
  <si>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</si>
  <si>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</si>
  <si>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</si>
  <si>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</si>
  <si>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</si>
  <si>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</si>
  <si>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</si>
  <si>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</si>
  <si>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</si>
  <si>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</si>
  <si>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</si>
  <si>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</si>
  <si>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</si>
  <si>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</si>
  <si>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</si>
  <si>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</si>
  <si>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</si>
  <si>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</si>
  <si>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</si>
  <si>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</si>
  <si>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</si>
  <si>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</si>
  <si>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</si>
  <si>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</si>
  <si>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</si>
  <si>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</si>
  <si>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</si>
  <si>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</si>
  <si>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</si>
  <si>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</si>
  <si>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</si>
  <si>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</si>
  <si>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</si>
  <si>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</si>
  <si>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</si>
  <si>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</si>
  <si>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</si>
  <si>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</si>
  <si>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</si>
  <si>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</si>
  <si>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</si>
  <si>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</si>
  <si>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</si>
  <si>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</si>
  <si>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</si>
  <si>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</si>
  <si>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</si>
  <si>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</si>
  <si>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</si>
  <si>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</si>
  <si>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</si>
  <si>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</si>
  <si>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</si>
  <si>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</si>
  <si>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</si>
  <si>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</si>
  <si>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</si>
  <si>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</si>
  <si>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</si>
  <si>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</si>
  <si>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</si>
  <si>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</si>
  <si>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</si>
  <si>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</si>
  <si>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</si>
  <si>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</si>
  <si>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</si>
  <si>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</si>
  <si>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</si>
  <si>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</si>
  <si>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</si>
  <si>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</si>
  <si>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</si>
  <si>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</si>
  <si>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</si>
  <si>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</si>
  <si>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</si>
  <si>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</si>
  <si>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</si>
  <si>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</si>
  <si>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</si>
  <si>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</si>
  <si>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</si>
  <si>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</si>
  <si>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</si>
  <si>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</si>
  <si>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</si>
  <si>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</si>
  <si>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</si>
  <si>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</si>
  <si>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</si>
  <si>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</si>
  <si>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</si>
  <si>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</si>
  <si>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</si>
  <si>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</si>
  <si>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</si>
  <si>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</si>
  <si>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</si>
  <si>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</si>
  <si>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</si>
  <si>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</si>
  <si>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</si>
  <si>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</si>
  <si>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</si>
  <si>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</si>
  <si>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</si>
  <si>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</si>
  <si>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</si>
  <si>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</si>
  <si>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</si>
  <si>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</si>
  <si>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</si>
  <si>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</si>
  <si>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</si>
  <si>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</si>
  <si>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</si>
  <si>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</si>
  <si>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</si>
  <si>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</si>
  <si>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</si>
  <si>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</si>
  <si>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</si>
  <si>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</si>
  <si>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</si>
  <si>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</si>
  <si>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</si>
  <si>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</si>
  <si>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</si>
  <si>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</si>
  <si>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</si>
  <si>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</si>
  <si>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</si>
  <si>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</si>
  <si>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</si>
  <si>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</si>
  <si>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</si>
  <si>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</si>
  <si>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</si>
  <si>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</si>
  <si>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</si>
  <si>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</si>
  <si>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</si>
  <si>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</si>
  <si>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</si>
  <si>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</si>
  <si>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</si>
  <si>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</si>
  <si>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</si>
  <si>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</si>
  <si>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</si>
  <si>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</si>
  <si>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</si>
  <si>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</si>
  <si>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</si>
  <si>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</si>
  <si>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</si>
  <si>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</si>
  <si>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</si>
  <si>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</si>
  <si>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</si>
  <si>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</si>
  <si>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</si>
  <si>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</si>
  <si>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</si>
  <si>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</si>
  <si>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</si>
  <si>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</si>
  <si>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</si>
  <si>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</si>
  <si>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</si>
  <si>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</si>
  <si>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</si>
  <si>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</si>
  <si>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</si>
  <si>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</si>
  <si>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</si>
  <si>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</si>
  <si>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</si>
  <si>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</si>
  <si>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</si>
  <si>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</si>
  <si>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</si>
  <si>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</si>
  <si>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</si>
  <si>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</si>
  <si>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</si>
  <si>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</si>
  <si>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</si>
  <si>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</si>
  <si>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</si>
  <si>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</si>
  <si>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</si>
  <si>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</si>
  <si>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</si>
  <si>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</si>
  <si>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</si>
  <si>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</si>
  <si>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</si>
  <si>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</si>
  <si>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</si>
  <si>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</si>
  <si>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</si>
  <si>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</si>
  <si>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</si>
  <si>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</si>
  <si>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</si>
  <si>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</si>
  <si>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</si>
  <si>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</si>
  <si>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</si>
  <si>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</si>
  <si>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</si>
  <si>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</si>
  <si>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</si>
  <si>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</si>
  <si>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</si>
  <si>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</si>
  <si>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</si>
  <si>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</si>
  <si>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</si>
  <si>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</si>
  <si>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</si>
  <si>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</si>
  <si>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</si>
  <si>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</si>
  <si>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</si>
  <si>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</si>
  <si>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</si>
  <si>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</si>
  <si>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</si>
  <si>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</si>
  <si>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</si>
  <si>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</si>
  <si>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</si>
  <si>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</si>
  <si>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</si>
  <si>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</si>
  <si>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</si>
  <si>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</si>
  <si>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</si>
  <si>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</si>
  <si>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</si>
  <si>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</si>
  <si>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</si>
  <si>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</si>
  <si>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</si>
  <si>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</si>
  <si>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</si>
  <si>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</si>
  <si>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</si>
  <si>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</si>
  <si>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</si>
  <si>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</si>
  <si>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</si>
  <si>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</si>
  <si>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</si>
  <si>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</si>
  <si>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</si>
  <si>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</si>
  <si>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</si>
  <si>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</si>
  <si>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</si>
  <si>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</si>
  <si>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</si>
  <si>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</si>
  <si>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</si>
  <si>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</si>
  <si>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</si>
  <si>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</si>
  <si>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</si>
  <si>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</si>
  <si>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</si>
  <si>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</si>
  <si>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</si>
  <si>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</si>
  <si>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</si>
  <si>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</si>
  <si>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</si>
  <si>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</si>
  <si>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</si>
  <si>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</si>
  <si>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</si>
  <si>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</si>
  <si>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</si>
  <si>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</si>
  <si>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</si>
  <si>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</si>
  <si>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</si>
  <si>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</si>
  <si>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</si>
  <si>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</si>
  <si>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</si>
  <si>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</si>
  <si>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</si>
  <si>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</si>
  <si>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</si>
  <si>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</si>
  <si>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</si>
  <si>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</si>
  <si>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</si>
  <si>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</si>
  <si>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</si>
  <si>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</si>
  <si>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</si>
  <si>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</si>
  <si>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</si>
  <si>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</si>
  <si>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</si>
  <si>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</si>
  <si>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</si>
  <si>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</si>
  <si>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</si>
  <si>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</si>
  <si>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</si>
  <si>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</si>
  <si>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</si>
  <si>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</si>
  <si>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</si>
  <si>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</si>
  <si>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</si>
  <si>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</si>
  <si>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</si>
  <si>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</si>
  <si>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</si>
  <si>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</si>
  <si>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</si>
  <si>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</si>
  <si>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</si>
  <si>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</si>
  <si>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</si>
  <si>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</si>
  <si>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</si>
  <si>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</si>
  <si>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</si>
  <si>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</si>
  <si>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</si>
  <si>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</si>
  <si>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</si>
  <si>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</si>
  <si>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</si>
  <si>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</si>
  <si>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</si>
  <si>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</si>
  <si>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</si>
  <si>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</si>
  <si>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</si>
  <si>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</si>
  <si>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</si>
  <si>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</si>
  <si>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</si>
  <si>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</si>
  <si>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</si>
  <si>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</si>
  <si>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</si>
  <si>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</si>
  <si>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</si>
  <si>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</si>
  <si>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</si>
  <si>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</si>
  <si>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</si>
  <si>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</si>
  <si>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</si>
  <si>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</si>
  <si>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</si>
  <si>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</si>
  <si>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</si>
  <si>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</si>
  <si>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</si>
  <si>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</si>
  <si>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</si>
  <si>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</si>
  <si>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</si>
  <si>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</si>
  <si>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</si>
  <si>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</si>
  <si>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</si>
  <si>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</si>
  <si>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</si>
  <si>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</si>
  <si>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</si>
  <si>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</si>
  <si>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</si>
  <si>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</si>
  <si>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</si>
  <si>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</si>
  <si>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</si>
  <si>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</si>
  <si>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</si>
  <si>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</si>
  <si>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</si>
  <si>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</si>
  <si>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</si>
  <si>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</si>
  <si>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</si>
  <si>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</si>
  <si>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</si>
  <si>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</si>
  <si>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</si>
  <si>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</si>
  <si>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</si>
  <si>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</si>
  <si>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</si>
  <si>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</si>
  <si>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</si>
  <si>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</si>
  <si>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</si>
  <si>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</si>
  <si>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</si>
  <si>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</si>
  <si>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</si>
  <si>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</si>
  <si>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</si>
  <si>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</si>
  <si>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</si>
  <si>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</si>
  <si>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</si>
  <si>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</si>
  <si>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</si>
  <si>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</si>
  <si>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</si>
  <si>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</si>
  <si>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</si>
  <si>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</si>
  <si>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</si>
  <si>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</si>
  <si>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</si>
  <si>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</si>
  <si>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</si>
  <si>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</si>
  <si>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</si>
  <si>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</si>
  <si>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</si>
  <si>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</si>
  <si>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</si>
  <si>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</si>
  <si>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</si>
  <si>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</si>
  <si>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</si>
  <si>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</si>
  <si>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</si>
  <si>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</si>
  <si>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</si>
  <si>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</si>
  <si>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</si>
  <si>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</si>
  <si>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</si>
  <si>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</si>
  <si>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</si>
  <si>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</si>
  <si>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</si>
  <si>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</si>
  <si>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</si>
  <si>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</si>
  <si>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</si>
  <si>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</si>
  <si>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</si>
  <si>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</si>
  <si>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</si>
  <si>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</si>
  <si>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</si>
  <si>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</si>
  <si>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</si>
  <si>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</si>
  <si>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</si>
  <si>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</si>
  <si>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</si>
  <si>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</si>
  <si>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</si>
  <si>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</si>
  <si>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</si>
  <si>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</si>
  <si>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</si>
  <si>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</si>
  <si>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</si>
  <si>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</si>
  <si>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</si>
  <si>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</si>
  <si>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</si>
  <si>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</si>
  <si>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</si>
  <si>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</si>
  <si>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</si>
  <si>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</si>
  <si>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</si>
  <si>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</si>
  <si>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</si>
  <si>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</si>
  <si>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</si>
  <si>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</si>
  <si>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</si>
  <si>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</si>
  <si>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</si>
  <si>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</si>
  <si>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</si>
  <si>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</si>
  <si>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</si>
  <si>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</si>
  <si>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</si>
  <si>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</si>
  <si>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</si>
  <si>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</si>
  <si>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</si>
  <si>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</si>
  <si>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</si>
  <si>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</si>
  <si>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</si>
  <si>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</si>
  <si>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</si>
  <si>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</si>
  <si>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</si>
  <si>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</si>
  <si>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</si>
  <si>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</si>
  <si>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</si>
  <si>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</si>
  <si>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</si>
  <si>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</si>
  <si>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</si>
  <si>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</si>
  <si>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</si>
  <si>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</si>
  <si>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</si>
  <si>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</si>
  <si>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</si>
  <si>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</si>
  <si>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</si>
  <si>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</si>
  <si>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</si>
  <si>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</si>
  <si>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</si>
  <si>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</si>
  <si>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</si>
  <si>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</si>
  <si>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</si>
  <si>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</si>
  <si>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</si>
  <si>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</si>
  <si>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</si>
  <si>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</si>
  <si>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</si>
  <si>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</si>
  <si>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</si>
  <si>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</si>
  <si>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</si>
  <si>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</si>
  <si>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</si>
  <si>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</si>
  <si>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</si>
  <si>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</si>
  <si>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</si>
  <si>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</si>
  <si>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</si>
  <si>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</si>
  <si>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</si>
  <si>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</si>
  <si>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</si>
  <si>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</si>
  <si>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</si>
  <si>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</si>
  <si>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</si>
  <si>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</si>
  <si>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</si>
  <si>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</si>
  <si>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</si>
  <si>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</si>
  <si>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</si>
  <si>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</si>
  <si>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</si>
  <si>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</si>
  <si>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</si>
  <si>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</si>
  <si>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</si>
  <si>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</si>
  <si>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</si>
  <si>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</si>
  <si>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</si>
  <si>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</si>
  <si>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</si>
  <si>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</si>
  <si>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</si>
  <si>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</si>
  <si>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</si>
  <si>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</si>
  <si>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</si>
  <si>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</si>
  <si>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</si>
  <si>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</si>
  <si>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</si>
  <si>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</si>
  <si>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</si>
  <si>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</si>
  <si>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</si>
  <si>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</si>
  <si>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</si>
  <si>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</si>
  <si>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</si>
  <si>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</si>
  <si>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</si>
  <si>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</si>
  <si>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</si>
  <si>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</si>
  <si>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</si>
  <si>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</si>
  <si>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</si>
  <si>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</si>
  <si>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</si>
  <si>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</si>
  <si>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</si>
  <si>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</si>
  <si>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</si>
  <si>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</si>
  <si>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</si>
  <si>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</si>
  <si>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</si>
  <si>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</si>
  <si>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</si>
  <si>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</si>
  <si>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</si>
  <si>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</si>
  <si>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</si>
  <si>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</si>
  <si>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</si>
  <si>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</si>
  <si>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</si>
  <si>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</si>
  <si>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</si>
  <si>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</si>
  <si>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</si>
  <si>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</si>
  <si>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</si>
  <si>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</si>
  <si>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</si>
  <si>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</si>
  <si>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</si>
  <si>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</si>
  <si>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</si>
  <si>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</si>
  <si>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</si>
  <si>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</si>
  <si>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</si>
  <si>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</si>
  <si>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</si>
  <si>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</si>
  <si>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</si>
  <si>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</si>
  <si>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</si>
  <si>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</si>
  <si>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</si>
  <si>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</si>
  <si>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</si>
  <si>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</si>
  <si>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</si>
  <si>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</si>
  <si>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</si>
  <si>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</si>
  <si>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</si>
  <si>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</si>
  <si>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</si>
  <si>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</si>
  <si>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</si>
  <si>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</si>
  <si>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</si>
  <si>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</si>
  <si>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</si>
  <si>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</si>
  <si>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</si>
  <si>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</si>
  <si>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</si>
  <si>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</si>
  <si>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</si>
  <si>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</si>
  <si>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</si>
  <si>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</si>
  <si>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</si>
  <si>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</si>
  <si>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</si>
  <si>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</si>
  <si>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</si>
  <si>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</si>
  <si>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</si>
  <si>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</si>
  <si>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</si>
  <si>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</si>
  <si>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</si>
  <si>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</si>
  <si>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</si>
  <si>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</si>
  <si>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</si>
  <si>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</si>
  <si>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</si>
  <si>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</si>
  <si>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</si>
  <si>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</si>
  <si>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</si>
  <si>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</si>
  <si>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</si>
  <si>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</si>
  <si>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</si>
  <si>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</si>
  <si>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</si>
  <si>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</si>
  <si>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</si>
  <si>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</si>
  <si>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</si>
  <si>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</si>
  <si>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</si>
  <si>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</si>
  <si>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</si>
  <si>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</si>
  <si>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</si>
  <si>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</si>
  <si>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</si>
  <si>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</si>
  <si>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</si>
  <si>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</si>
  <si>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</si>
  <si>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</si>
  <si>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</si>
  <si>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</si>
  <si>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</si>
  <si>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</si>
  <si>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</si>
  <si>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</si>
  <si>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</si>
  <si>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</si>
  <si>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</si>
  <si>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</si>
  <si>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</si>
  <si>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</si>
  <si>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</si>
  <si>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</si>
  <si>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</si>
  <si>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</si>
  <si>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</si>
  <si>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</si>
  <si>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</si>
  <si>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</si>
  <si>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</si>
  <si>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</si>
  <si>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</si>
  <si>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</si>
  <si>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</si>
  <si>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</si>
  <si>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</si>
  <si>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</si>
  <si>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</si>
  <si>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</si>
  <si>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</si>
  <si>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</si>
  <si>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</si>
  <si>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</si>
  <si>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</si>
  <si>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</si>
  <si>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</si>
  <si>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</si>
  <si>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</si>
  <si>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</si>
  <si>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</si>
  <si>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</si>
  <si>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</si>
  <si>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</si>
  <si>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</si>
  <si>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</si>
  <si>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</si>
  <si>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</si>
  <si>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</si>
  <si>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</si>
  <si>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</si>
  <si>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</si>
  <si>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</si>
  <si>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</si>
  <si>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</si>
  <si>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</si>
  <si>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</si>
  <si>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</si>
  <si>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</si>
  <si>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</si>
  <si>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</si>
  <si>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</si>
  <si>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</si>
  <si>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</si>
  <si>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</si>
  <si>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</si>
  <si>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</si>
  <si>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</si>
  <si>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</si>
  <si>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</si>
  <si>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</si>
  <si>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</si>
  <si>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</si>
  <si>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</si>
  <si>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</si>
  <si>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</si>
  <si>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</si>
  <si>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</si>
  <si>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</si>
  <si>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</si>
  <si>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</si>
  <si>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</si>
  <si>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</si>
  <si>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</si>
  <si>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</si>
  <si>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</si>
  <si>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</si>
  <si>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</si>
  <si>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</si>
  <si>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</si>
  <si>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</si>
  <si>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</si>
  <si>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</si>
  <si>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</si>
  <si>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</si>
  <si>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</si>
  <si>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</si>
  <si>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</si>
  <si>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</si>
  <si>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</si>
  <si>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</si>
  <si>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</si>
  <si>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</si>
  <si>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</si>
  <si>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</si>
  <si>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</si>
  <si>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</si>
  <si>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</si>
  <si>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</si>
  <si>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</si>
  <si>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</si>
  <si>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</si>
  <si>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</si>
  <si>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</si>
  <si>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</si>
  <si>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</si>
  <si>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</si>
  <si>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</si>
  <si>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</si>
  <si>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</si>
  <si>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</si>
  <si>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</si>
  <si>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</si>
  <si>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</si>
  <si>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</si>
  <si>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</si>
  <si>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</si>
  <si>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</si>
  <si>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</si>
  <si>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</si>
  <si>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</si>
  <si>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</si>
  <si>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</si>
  <si>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</si>
  <si>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</si>
  <si>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</si>
  <si>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</si>
  <si>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</si>
  <si>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</si>
  <si>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</si>
  <si>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</si>
  <si>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</si>
  <si>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</si>
  <si>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</si>
  <si>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</si>
  <si>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</si>
  <si>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</si>
  <si>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</si>
  <si>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</si>
  <si>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</si>
  <si>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</si>
  <si>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</si>
  <si>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</si>
  <si>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</si>
  <si>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</si>
  <si>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</si>
  <si>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</si>
  <si>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</si>
  <si>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</si>
  <si>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</si>
  <si>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</si>
  <si>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</si>
  <si>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</si>
  <si>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</si>
  <si>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</si>
  <si>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</si>
  <si>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</si>
  <si>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</si>
  <si>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</si>
  <si>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</si>
  <si>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</si>
  <si>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</si>
  <si>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</si>
  <si>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</si>
  <si>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</si>
  <si>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</si>
  <si>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</si>
  <si>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</si>
  <si>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</si>
  <si>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</si>
  <si>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</si>
  <si>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</si>
  <si>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</si>
  <si>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</si>
  <si>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</si>
  <si>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</si>
  <si>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</si>
  <si>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</si>
  <si>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</si>
  <si>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</si>
  <si>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</si>
  <si>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</si>
  <si>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</si>
  <si>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</si>
  <si>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</si>
  <si>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</si>
  <si>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</si>
  <si>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</si>
  <si>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</si>
  <si>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</si>
  <si>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</si>
  <si>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</si>
  <si>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</si>
  <si>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</si>
  <si>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</si>
  <si>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</si>
  <si>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</si>
  <si>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</si>
  <si>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</si>
  <si>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</si>
  <si>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</si>
  <si>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</si>
  <si>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</si>
  <si>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</si>
  <si>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</si>
  <si>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</si>
  <si>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</si>
  <si>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</si>
  <si>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</si>
  <si>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</si>
  <si>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</si>
  <si>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</si>
  <si>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</si>
  <si>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</si>
  <si>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</si>
  <si>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</si>
  <si>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</si>
  <si>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</si>
  <si>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</si>
  <si>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</si>
  <si>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</si>
  <si>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</si>
  <si>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</si>
  <si>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</si>
  <si>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</si>
  <si>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</si>
  <si>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</si>
  <si>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</si>
  <si>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</si>
  <si>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</si>
  <si>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</si>
  <si>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</si>
  <si>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</si>
  <si>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</si>
  <si>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</si>
  <si>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</si>
  <si>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</si>
  <si>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</si>
  <si>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</si>
  <si>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</si>
  <si>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</si>
  <si>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</si>
  <si>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</si>
  <si>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</si>
  <si>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</si>
  <si>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</si>
  <si>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</si>
  <si>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</si>
  <si>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</si>
  <si>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</si>
  <si>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</si>
  <si>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</si>
  <si>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</si>
  <si>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</si>
  <si>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</si>
  <si>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</si>
  <si>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</si>
  <si>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</si>
  <si>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</si>
  <si>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</si>
  <si>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</si>
  <si>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</si>
  <si>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</si>
  <si>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</si>
  <si>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</si>
  <si>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</si>
  <si>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</si>
  <si>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</si>
  <si>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</si>
  <si>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</si>
  <si>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</si>
  <si>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</si>
  <si>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</si>
  <si>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</si>
  <si>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</si>
  <si>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</si>
  <si>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</si>
  <si>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</si>
  <si>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</si>
  <si>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</si>
  <si>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</si>
  <si>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</si>
  <si>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</si>
  <si>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</si>
  <si>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</si>
  <si>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</si>
  <si>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</si>
  <si>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</si>
  <si>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</si>
  <si>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</si>
  <si>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</si>
  <si>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</si>
  <si>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</si>
  <si>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</si>
  <si>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</si>
  <si>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</si>
  <si>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</si>
  <si>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</si>
  <si>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</si>
  <si>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</si>
  <si>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</si>
  <si>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</si>
  <si>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</si>
  <si>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</si>
  <si>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</si>
  <si>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</si>
  <si>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</si>
  <si>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</si>
  <si>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</si>
  <si>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</si>
  <si>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</si>
  <si>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</si>
  <si>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</si>
  <si>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</si>
  <si>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</si>
  <si>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</si>
  <si>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</si>
  <si>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</si>
  <si>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</si>
  <si>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</si>
  <si>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</si>
  <si>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</si>
  <si>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</si>
  <si>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</si>
  <si>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</si>
  <si>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</si>
  <si>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</si>
  <si>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</si>
  <si>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</si>
  <si>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</si>
  <si>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</si>
  <si>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</si>
  <si>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</si>
  <si>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</si>
  <si>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</si>
  <si>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</si>
  <si>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</si>
  <si>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</si>
  <si>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</si>
  <si>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</si>
  <si>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</si>
  <si>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</si>
  <si>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</si>
  <si>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</si>
  <si>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</si>
  <si>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</si>
  <si>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</si>
  <si>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</si>
  <si>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</si>
  <si>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</si>
  <si>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</si>
  <si>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</si>
  <si>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</si>
  <si>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</si>
  <si>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</si>
  <si>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</si>
  <si>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</si>
  <si>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</si>
  <si>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</si>
  <si>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</si>
  <si>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</si>
  <si>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</si>
  <si>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Not Applicable</t>
  </si>
  <si>
    <t>Provided</t>
  </si>
  <si>
    <t>Brandon Place, LP</t>
  </si>
  <si>
    <t>Brandon Place Apartments</t>
  </si>
  <si>
    <t xml:space="preserve">City of Riverside </t>
  </si>
  <si>
    <t>Agripina Neubauer</t>
  </si>
  <si>
    <t>Housing Project Manager</t>
  </si>
  <si>
    <t>3900 Main St., 5th Floor</t>
  </si>
  <si>
    <t>(951) 826-3947</t>
  </si>
  <si>
    <t>(951) 333-6568</t>
  </si>
  <si>
    <t>aneubauer@riversideca.gov</t>
  </si>
  <si>
    <t>3941 Polk St.</t>
  </si>
  <si>
    <t>143-270-025-2</t>
  </si>
  <si>
    <t>40%/60%</t>
  </si>
  <si>
    <t>1015 Fillmore St. PMB 31735</t>
  </si>
  <si>
    <t>CA</t>
  </si>
  <si>
    <t>Robert Lee</t>
  </si>
  <si>
    <t>604-716-6225</t>
  </si>
  <si>
    <t xml:space="preserve">robert@spiraequitypartners.com																		</t>
  </si>
  <si>
    <t xml:space="preserve">Spira Brandon Place, LP										</t>
  </si>
  <si>
    <t>Spira Brandon Place, LP</t>
  </si>
  <si>
    <t>Administrative GP</t>
  </si>
  <si>
    <t>robert@spiraequitypartners.com</t>
  </si>
  <si>
    <t>Spira Brandon Place, LLC</t>
  </si>
  <si>
    <t>FFAH II BP Senior Apartments, LLC</t>
  </si>
  <si>
    <t>Managing GP</t>
  </si>
  <si>
    <t>69 NW Newport Ave</t>
  </si>
  <si>
    <t xml:space="preserve">Bend							</t>
  </si>
  <si>
    <t>Tarun Chandran</t>
  </si>
  <si>
    <t>312-219-8360</t>
  </si>
  <si>
    <t>tarun@ffah.org</t>
  </si>
  <si>
    <t>Foundation for Affordable Housing II, Inc.</t>
  </si>
  <si>
    <t>Administrative General Partner</t>
  </si>
  <si>
    <t>Spira BP Development, LP</t>
  </si>
  <si>
    <t>San Francisco, CA. 94115</t>
  </si>
  <si>
    <t>Pacific Rim Architects</t>
  </si>
  <si>
    <t>5912 Bolsa Ave, Suite 212</t>
  </si>
  <si>
    <t>Huntington Beach, CA  92649</t>
  </si>
  <si>
    <t>Mark Anderson</t>
  </si>
  <si>
    <t>(714) 840-2100</t>
  </si>
  <si>
    <t>(714) 840-2101</t>
  </si>
  <si>
    <t>mark@pacificrimarchitects.com</t>
  </si>
  <si>
    <t>Carle Mackie Power &amp; Ross LLP</t>
  </si>
  <si>
    <t>100 B Street, Suite 400</t>
  </si>
  <si>
    <t>Santa Rosa, CA, 95401</t>
  </si>
  <si>
    <t>Jason C. Vargelis</t>
  </si>
  <si>
    <t>(707) 526-4200</t>
  </si>
  <si>
    <t>(707) 526-4707</t>
  </si>
  <si>
    <t>jvargelis@cmprlaw.com</t>
  </si>
  <si>
    <t>Precision General Commercial Contractors</t>
  </si>
  <si>
    <t>2910 E. Inland Empire Blvd, Suite 106</t>
  </si>
  <si>
    <t>Ontario, CA, 91764</t>
  </si>
  <si>
    <t>Skip Holmes</t>
  </si>
  <si>
    <t>(916) 254-8650</t>
  </si>
  <si>
    <t>(415) 332-8391</t>
  </si>
  <si>
    <t xml:space="preserve">sholmes@precisiongc.com </t>
  </si>
  <si>
    <t>Novogradac &amp; Company LLP</t>
  </si>
  <si>
    <t>1300 114th Avenue SE</t>
  </si>
  <si>
    <t>Bellevue, WA 98004</t>
  </si>
  <si>
    <t>Thomas Stagg</t>
  </si>
  <si>
    <t>(425) 519-1234</t>
  </si>
  <si>
    <t>thomas.stagg@novoco.com</t>
  </si>
  <si>
    <t>Partner Energy, Inc.</t>
  </si>
  <si>
    <t>680 Knox St., Suite 150</t>
  </si>
  <si>
    <t>Los Angeles, CA 90502</t>
  </si>
  <si>
    <t>Molly Coon</t>
  </si>
  <si>
    <t>(310) 220-6274</t>
  </si>
  <si>
    <t>(310) 862-2399</t>
  </si>
  <si>
    <t>mcoon@ptrenergy.com</t>
  </si>
  <si>
    <t>NEF Assignment Corporation</t>
  </si>
  <si>
    <t>500 South Grand Avenue, Suite 2300</t>
  </si>
  <si>
    <t>Los Angeles, CA 90071</t>
  </si>
  <si>
    <t>Dave Musial</t>
  </si>
  <si>
    <t>213-793-4128</t>
  </si>
  <si>
    <t>dmusial@nefinc.org</t>
  </si>
  <si>
    <t>6700 Antioch Road, Suite 450</t>
  </si>
  <si>
    <t>Merriam, KS 66204</t>
  </si>
  <si>
    <t>Rebecca Arthur</t>
  </si>
  <si>
    <t>(913) 677-4600</t>
  </si>
  <si>
    <t>rebecca.arthur@novoco.com</t>
  </si>
  <si>
    <t>Aperto Property Management, Inc.</t>
  </si>
  <si>
    <t>2 Venture, Suite 515</t>
  </si>
  <si>
    <t>Irvine, CA 92618</t>
  </si>
  <si>
    <t>Ed Quigley</t>
  </si>
  <si>
    <t>(949) 873-0160</t>
  </si>
  <si>
    <t>equigley@apertopm.com</t>
  </si>
  <si>
    <t>Appraisal</t>
  </si>
  <si>
    <t>Low-income housing</t>
  </si>
  <si>
    <t>FFAH Brandon Place Senior, LLC</t>
  </si>
  <si>
    <t>Foundation for Affordable Housing, Inc.</t>
  </si>
  <si>
    <t>Vice President</t>
  </si>
  <si>
    <t>Bend, OR  97703</t>
  </si>
  <si>
    <t>One or Two Story Garden</t>
  </si>
  <si>
    <t>MU-V (Mixed Use Village)</t>
  </si>
  <si>
    <t>R-1-7000-SP, 40 units per acre</t>
  </si>
  <si>
    <t>Legal conforming use</t>
  </si>
  <si>
    <t>None noted.</t>
  </si>
  <si>
    <t>Two stories</t>
  </si>
  <si>
    <t>Fixed</t>
  </si>
  <si>
    <t>Special Limited Partner Equity</t>
  </si>
  <si>
    <t>General Partner Equity</t>
  </si>
  <si>
    <t>GP Subordinate Note</t>
  </si>
  <si>
    <t>Cashflow During Operations</t>
  </si>
  <si>
    <t>Investor Tax Credit Equity</t>
  </si>
  <si>
    <t>125 Park Avenue</t>
  </si>
  <si>
    <t>New York</t>
  </si>
  <si>
    <t>Evan Williams</t>
  </si>
  <si>
    <t>917-565-7342</t>
  </si>
  <si>
    <t>Cable income</t>
  </si>
  <si>
    <t>Housing Authority of the County of Riverside</t>
  </si>
  <si>
    <t>Other Administrative Expenses</t>
  </si>
  <si>
    <t>Turnover/Make-Ready</t>
  </si>
  <si>
    <t>Other: Other Construction and Performance Bond</t>
  </si>
  <si>
    <t>Other: Due Dilligence</t>
  </si>
  <si>
    <t>Other: Other Closing Costs</t>
  </si>
  <si>
    <t>CSCDA (Freddie Mac)</t>
  </si>
  <si>
    <t>Recycled Bonds</t>
  </si>
  <si>
    <t>CSCDA Recycled Bonds</t>
  </si>
  <si>
    <t>Freddie Mac - TEL</t>
  </si>
  <si>
    <t>Jon Penkower</t>
  </si>
  <si>
    <t>925-476-5887</t>
  </si>
  <si>
    <t>CSCDA</t>
  </si>
  <si>
    <t>jpenkower@cscda.org</t>
  </si>
  <si>
    <t>1700 North Broadway Suite 405</t>
  </si>
  <si>
    <t>Walnut Creek, CA 94596</t>
  </si>
  <si>
    <t>Recycle 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</si>
</sst>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7170">
    <xf numFmtId="0" fontId="0" fillId="0" borderId="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1"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2"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3"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4"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5"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6"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7"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8"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19"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0"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1"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3"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6" borderId="0" applyNumberFormat="0" applyBorder="0" applyAlignment="0" applyProtection="0"/>
    <xf numFmtId="0" fontId="84" fillId="26" borderId="0" applyNumberFormat="0" applyBorder="0" applyAlignment="0" applyProtection="0"/>
    <xf numFmtId="0" fontId="84" fillId="27"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84" fillId="29" borderId="0" applyNumberFormat="0" applyBorder="0" applyAlignment="0" applyProtection="0"/>
    <xf numFmtId="0" fontId="84" fillId="29" borderId="0" applyNumberFormat="0" applyBorder="0" applyAlignment="0" applyProtection="0"/>
    <xf numFmtId="0" fontId="84" fillId="30" borderId="0" applyNumberFormat="0" applyBorder="0" applyAlignment="0" applyProtection="0"/>
    <xf numFmtId="0" fontId="84" fillId="30" borderId="0" applyNumberFormat="0" applyBorder="0" applyAlignment="0" applyProtection="0"/>
    <xf numFmtId="0" fontId="84" fillId="31" borderId="0" applyNumberFormat="0" applyBorder="0" applyAlignment="0" applyProtection="0"/>
    <xf numFmtId="0" fontId="84" fillId="31" borderId="0" applyNumberFormat="0" applyBorder="0" applyAlignment="0" applyProtection="0"/>
    <xf numFmtId="0" fontId="84" fillId="32" borderId="0" applyNumberFormat="0" applyBorder="0" applyAlignment="0" applyProtection="0"/>
    <xf numFmtId="0" fontId="84" fillId="32" borderId="0" applyNumberFormat="0" applyBorder="0" applyAlignment="0" applyProtection="0"/>
    <xf numFmtId="0" fontId="84" fillId="33" borderId="0" applyNumberFormat="0" applyBorder="0" applyAlignment="0" applyProtection="0"/>
    <xf numFmtId="0" fontId="84"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6" fillId="36" borderId="18" applyNumberFormat="0" applyAlignment="0" applyProtection="0"/>
    <xf numFmtId="0" fontId="86" fillId="36" borderId="18" applyNumberFormat="0" applyAlignment="0" applyProtection="0"/>
    <xf numFmtId="0" fontId="87" fillId="37" borderId="19" applyNumberFormat="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75"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83" fillId="0" borderId="0" applyFont="0" applyFill="0" applyBorder="0" applyAlignment="0" applyProtection="0"/>
    <xf numFmtId="43" fontId="59" fillId="0" borderId="0" applyFont="0" applyFill="0" applyBorder="0" applyAlignment="0" applyProtection="0"/>
    <xf numFmtId="43" fontId="23" fillId="0" borderId="0" applyFont="0" applyFill="0" applyBorder="0" applyAlignment="0" applyProtection="0"/>
    <xf numFmtId="43"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76" fillId="0" borderId="0" applyFont="0" applyFill="0" applyBorder="0" applyAlignment="0" applyProtection="0"/>
    <xf numFmtId="44" fontId="23" fillId="0" borderId="0" applyFont="0" applyFill="0" applyBorder="0" applyAlignment="0" applyProtection="0"/>
    <xf numFmtId="44" fontId="78"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alignment vertical="top"/>
    </xf>
    <xf numFmtId="44" fontId="23" fillId="0" borderId="0" applyFont="0" applyFill="0" applyBorder="0" applyAlignment="0" applyProtection="0"/>
    <xf numFmtId="44" fontId="59" fillId="0" borderId="0" applyFont="0" applyFill="0" applyBorder="0" applyAlignment="0" applyProtection="0">
      <alignment vertical="top"/>
    </xf>
    <xf numFmtId="44" fontId="59"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59" fillId="0" borderId="0" applyFont="0" applyFill="0" applyBorder="0" applyAlignment="0" applyProtection="0"/>
    <xf numFmtId="44" fontId="68"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69" fillId="0" borderId="0" applyFont="0" applyFill="0" applyBorder="0" applyAlignment="0" applyProtection="0"/>
    <xf numFmtId="44" fontId="2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75"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83" fillId="0" borderId="0" applyFont="0" applyFill="0" applyBorder="0" applyAlignment="0" applyProtection="0"/>
    <xf numFmtId="44" fontId="23" fillId="0" borderId="0" applyFont="0" applyFill="0" applyBorder="0" applyAlignment="0" applyProtection="0"/>
    <xf numFmtId="44" fontId="59" fillId="0" borderId="0" applyFont="0" applyFill="0" applyBorder="0" applyAlignment="0" applyProtection="0"/>
    <xf numFmtId="44" fontId="23" fillId="0" borderId="0" applyFont="0" applyFill="0" applyBorder="0" applyAlignment="0" applyProtection="0"/>
    <xf numFmtId="44" fontId="7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74" fillId="0" borderId="0" applyFont="0" applyFill="0" applyBorder="0" applyAlignment="0" applyProtection="0"/>
    <xf numFmtId="44" fontId="23" fillId="0" borderId="0" applyFont="0" applyFill="0" applyBorder="0" applyAlignment="0" applyProtection="0"/>
    <xf numFmtId="0" fontId="88" fillId="0" borderId="0" applyNumberFormat="0" applyFill="0" applyBorder="0" applyAlignment="0" applyProtection="0"/>
    <xf numFmtId="0" fontId="89" fillId="38" borderId="0" applyNumberFormat="0" applyBorder="0" applyAlignment="0" applyProtection="0"/>
    <xf numFmtId="0" fontId="90" fillId="0" borderId="20" applyNumberFormat="0" applyFill="0" applyAlignment="0" applyProtection="0"/>
    <xf numFmtId="0" fontId="90" fillId="0" borderId="20" applyNumberFormat="0" applyFill="0" applyAlignment="0" applyProtection="0"/>
    <xf numFmtId="0" fontId="91" fillId="0" borderId="21" applyNumberFormat="0" applyFill="0" applyAlignment="0" applyProtection="0"/>
    <xf numFmtId="0" fontId="91" fillId="0" borderId="21" applyNumberFormat="0" applyFill="0" applyAlignment="0" applyProtection="0"/>
    <xf numFmtId="0" fontId="92" fillId="0" borderId="22" applyNumberFormat="0" applyFill="0" applyAlignment="0" applyProtection="0"/>
    <xf numFmtId="0" fontId="92" fillId="0" borderId="2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80" fillId="0" borderId="0" applyNumberFormat="0" applyFill="0" applyBorder="0" applyAlignment="0" applyProtection="0">
      <alignment vertical="top"/>
      <protection locked="0"/>
    </xf>
    <xf numFmtId="0" fontId="93" fillId="39" borderId="18" applyNumberFormat="0" applyAlignment="0" applyProtection="0"/>
    <xf numFmtId="0" fontId="16" fillId="0" borderId="0" applyNumberFormat="0" applyBorder="0"/>
    <xf numFmtId="0" fontId="17" fillId="0" borderId="0" applyBorder="0" applyAlignment="0"/>
    <xf numFmtId="0" fontId="18" fillId="0" borderId="0" applyFill="0" applyBorder="0" applyAlignment="0"/>
    <xf numFmtId="0" fontId="94" fillId="0" borderId="23" applyNumberFormat="0" applyFill="0" applyAlignment="0" applyProtection="0"/>
    <xf numFmtId="0" fontId="95" fillId="40" borderId="0" applyNumberFormat="0" applyBorder="0" applyAlignment="0" applyProtection="0"/>
    <xf numFmtId="0" fontId="96" fillId="0" borderId="0"/>
    <xf numFmtId="0" fontId="59" fillId="0" borderId="0"/>
    <xf numFmtId="0" fontId="96" fillId="0" borderId="0"/>
    <xf numFmtId="0" fontId="59" fillId="0" borderId="0"/>
    <xf numFmtId="0" fontId="59"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7" fillId="0" borderId="0"/>
    <xf numFmtId="0" fontId="59" fillId="0" borderId="0"/>
    <xf numFmtId="169" fontId="60" fillId="0" borderId="0"/>
    <xf numFmtId="0" fontId="83" fillId="0" borderId="0"/>
    <xf numFmtId="0" fontId="23" fillId="0" borderId="0"/>
    <xf numFmtId="0" fontId="23" fillId="0" borderId="0"/>
    <xf numFmtId="0" fontId="65" fillId="0" borderId="0"/>
    <xf numFmtId="0" fontId="59" fillId="0" borderId="0"/>
    <xf numFmtId="0" fontId="65" fillId="0" borderId="0"/>
    <xf numFmtId="0" fontId="59" fillId="0" borderId="0"/>
    <xf numFmtId="0" fontId="71" fillId="0" borderId="0"/>
    <xf numFmtId="0" fontId="59"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1" fillId="0" borderId="0"/>
    <xf numFmtId="0" fontId="83" fillId="0" borderId="0"/>
    <xf numFmtId="0" fontId="83" fillId="0" borderId="0"/>
    <xf numFmtId="0" fontId="83"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83" fillId="0" borderId="0"/>
    <xf numFmtId="0" fontId="83" fillId="0" borderId="0"/>
    <xf numFmtId="0" fontId="83" fillId="0" borderId="0"/>
    <xf numFmtId="0" fontId="83" fillId="0" borderId="0"/>
    <xf numFmtId="0" fontId="71" fillId="0" borderId="0"/>
    <xf numFmtId="0" fontId="59" fillId="0" borderId="0">
      <alignment vertical="top"/>
    </xf>
    <xf numFmtId="0" fontId="83" fillId="0" borderId="0"/>
    <xf numFmtId="0" fontId="83" fillId="0" borderId="0"/>
    <xf numFmtId="0" fontId="83" fillId="0" borderId="0"/>
    <xf numFmtId="0" fontId="83" fillId="0" borderId="0"/>
    <xf numFmtId="0" fontId="71" fillId="0" borderId="0"/>
    <xf numFmtId="0" fontId="23" fillId="0" borderId="0"/>
    <xf numFmtId="0" fontId="83" fillId="0" borderId="0"/>
    <xf numFmtId="0" fontId="23" fillId="0" borderId="0"/>
    <xf numFmtId="0" fontId="83" fillId="0" borderId="0"/>
    <xf numFmtId="0" fontId="83" fillId="0" borderId="0"/>
    <xf numFmtId="0" fontId="83" fillId="0" borderId="0"/>
    <xf numFmtId="0" fontId="83" fillId="0" borderId="0"/>
    <xf numFmtId="0" fontId="65" fillId="0" borderId="0"/>
    <xf numFmtId="0" fontId="59" fillId="0" borderId="0">
      <alignment vertical="top"/>
    </xf>
    <xf numFmtId="0" fontId="65" fillId="0" borderId="0"/>
    <xf numFmtId="0" fontId="59" fillId="0" borderId="0">
      <alignment vertical="top"/>
    </xf>
    <xf numFmtId="0" fontId="59" fillId="0" borderId="0">
      <alignment vertical="top"/>
    </xf>
    <xf numFmtId="0" fontId="83" fillId="0" borderId="0"/>
    <xf numFmtId="0" fontId="65" fillId="0" borderId="0"/>
    <xf numFmtId="0" fontId="83" fillId="0" borderId="0"/>
    <xf numFmtId="0" fontId="59" fillId="0" borderId="0">
      <alignment vertical="top"/>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59" fillId="0" borderId="0">
      <alignment vertical="top"/>
    </xf>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9" fillId="0" borderId="0"/>
    <xf numFmtId="0" fontId="59" fillId="0" borderId="0">
      <alignment vertical="top"/>
    </xf>
    <xf numFmtId="0" fontId="59" fillId="0" borderId="0">
      <alignment vertical="top"/>
    </xf>
    <xf numFmtId="0" fontId="59" fillId="0" borderId="0"/>
    <xf numFmtId="0" fontId="59" fillId="0" borderId="0">
      <alignment vertical="top"/>
    </xf>
    <xf numFmtId="0" fontId="59" fillId="0" borderId="0"/>
    <xf numFmtId="0" fontId="5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23" fillId="0" borderId="0"/>
    <xf numFmtId="0" fontId="83" fillId="0" borderId="0"/>
    <xf numFmtId="0" fontId="83" fillId="0" borderId="0"/>
    <xf numFmtId="0" fontId="83" fillId="0" borderId="0"/>
    <xf numFmtId="0" fontId="14" fillId="0" borderId="0" applyProtection="0">
      <protection locked="0"/>
    </xf>
    <xf numFmtId="0" fontId="23" fillId="0" borderId="0" applyProtection="0">
      <protection locked="0"/>
    </xf>
    <xf numFmtId="0" fontId="23" fillId="0" borderId="0" applyProtection="0">
      <protection locked="0"/>
    </xf>
    <xf numFmtId="0" fontId="60" fillId="0" borderId="0"/>
    <xf numFmtId="0" fontId="14" fillId="0" borderId="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75"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83" fillId="41" borderId="24" applyNumberFormat="0" applyFont="0" applyAlignment="0" applyProtection="0"/>
    <xf numFmtId="0" fontId="98" fillId="36" borderId="25" applyNumberFormat="0" applyAlignment="0" applyProtection="0"/>
    <xf numFmtId="0" fontId="98" fillId="36" borderId="25" applyNumberFormat="0" applyAlignment="0" applyProtection="0"/>
    <xf numFmtId="0" fontId="19" fillId="0" borderId="0" applyNumberFormat="0" applyFill="0" applyBorder="0">
      <alignment horizontal="left"/>
    </xf>
    <xf numFmtId="0" fontId="99" fillId="0" borderId="0" applyNumberFormat="0" applyFill="0" applyBorder="0" applyAlignment="0" applyProtection="0"/>
    <xf numFmtId="0" fontId="100" fillId="0" borderId="26" applyNumberFormat="0" applyFill="0" applyAlignment="0" applyProtection="0"/>
    <xf numFmtId="0" fontId="100" fillId="0" borderId="26" applyNumberFormat="0" applyFill="0" applyAlignment="0" applyProtection="0"/>
    <xf numFmtId="0" fontId="101" fillId="0" borderId="0" applyNumberFormat="0" applyFill="0" applyBorder="0" applyAlignment="0" applyProtection="0"/>
    <xf numFmtId="0" fontId="14" fillId="0" borderId="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9" fontId="14" fillId="0" borderId="0" applyFon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6"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1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4" fontId="108"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75" fillId="41" borderId="24" applyNumberFormat="0" applyFont="0" applyAlignment="0" applyProtection="0"/>
    <xf numFmtId="0" fontId="109"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9" fillId="0" borderId="0" applyNumberForma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4" fontId="14" fillId="0" borderId="0" applyFont="0" applyFill="0" applyBorder="0" applyAlignment="0" applyProtection="0"/>
    <xf numFmtId="9" fontId="118" fillId="0" borderId="0" applyFont="0" applyFill="0" applyBorder="0" applyAlignment="0" applyProtection="0"/>
    <xf numFmtId="0" fontId="118" fillId="0" borderId="0"/>
    <xf numFmtId="0" fontId="8" fillId="0" borderId="0"/>
    <xf numFmtId="0" fontId="14" fillId="0" borderId="0"/>
    <xf numFmtId="43"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14" fillId="0" borderId="0" applyBorder="0"/>
    <xf numFmtId="43" fontId="156" fillId="0" borderId="0" applyFont="0" applyFill="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6" fillId="41" borderId="24" applyNumberFormat="0" applyFont="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44" fontId="16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4"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41" borderId="24"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1" fillId="0" borderId="0" xfId="0" applyFont="1"/>
    <xf numFmtId="0" fontId="14" fillId="0" borderId="0" xfId="0" applyFont="1"/>
    <xf numFmtId="0" fontId="23" fillId="0" borderId="0" xfId="0" applyFont="1"/>
    <xf numFmtId="0" fontId="0" fillId="0" borderId="4" xfId="0" applyBorder="1"/>
    <xf numFmtId="0" fontId="23" fillId="0" borderId="0" xfId="0" applyFont="1" applyAlignment="1">
      <alignment horizontal="center"/>
    </xf>
    <xf numFmtId="0" fontId="14"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1" fillId="0" borderId="4" xfId="0" applyFont="1" applyBorder="1"/>
    <xf numFmtId="164" fontId="0" fillId="0" borderId="0" xfId="0" applyNumberFormat="1" applyAlignment="1">
      <alignment horizontal="right"/>
    </xf>
    <xf numFmtId="0" fontId="21" fillId="0" borderId="0" xfId="0" applyFont="1" applyAlignment="1">
      <alignment horizontal="center"/>
    </xf>
    <xf numFmtId="0" fontId="14" fillId="0" borderId="0" xfId="543"/>
    <xf numFmtId="0" fontId="23" fillId="0" borderId="0" xfId="0" applyFont="1" applyAlignment="1">
      <alignment horizontal="left" vertical="top" wrapText="1"/>
    </xf>
    <xf numFmtId="0" fontId="29" fillId="0" borderId="0" xfId="0" applyFont="1"/>
    <xf numFmtId="0" fontId="22" fillId="0" borderId="0" xfId="0" applyFont="1" applyAlignment="1">
      <alignment vertical="top"/>
    </xf>
    <xf numFmtId="0" fontId="22" fillId="0" borderId="0" xfId="0" applyFont="1" applyAlignment="1">
      <alignment vertical="top" wrapText="1"/>
    </xf>
    <xf numFmtId="0" fontId="23" fillId="0" borderId="0" xfId="0" applyFont="1" applyAlignment="1">
      <alignment horizontal="left" indent="4"/>
    </xf>
    <xf numFmtId="0" fontId="22" fillId="0" borderId="0" xfId="0" applyFont="1" applyAlignment="1">
      <alignment horizontal="left" vertical="top"/>
    </xf>
    <xf numFmtId="0" fontId="22" fillId="0" borderId="0" xfId="0" applyFont="1" applyAlignment="1">
      <alignment horizontal="left"/>
    </xf>
    <xf numFmtId="0" fontId="22" fillId="0" borderId="0" xfId="0" applyFont="1"/>
    <xf numFmtId="0" fontId="34" fillId="0" borderId="0" xfId="543" applyFont="1"/>
    <xf numFmtId="1" fontId="22" fillId="0" borderId="0" xfId="0" applyNumberFormat="1" applyFont="1" applyAlignment="1">
      <alignment horizontal="left"/>
    </xf>
    <xf numFmtId="0" fontId="24" fillId="0" borderId="0" xfId="0" applyFont="1"/>
    <xf numFmtId="1" fontId="22" fillId="0" borderId="0" xfId="0" applyNumberFormat="1" applyFont="1" applyAlignment="1">
      <alignment horizontal="right"/>
    </xf>
    <xf numFmtId="0" fontId="0" fillId="0" borderId="0" xfId="0" applyAlignment="1">
      <alignment horizontal="right"/>
    </xf>
    <xf numFmtId="0" fontId="33" fillId="0" borderId="0" xfId="0" applyFont="1"/>
    <xf numFmtId="0" fontId="26" fillId="0" borderId="0" xfId="0" applyFont="1"/>
    <xf numFmtId="172" fontId="14" fillId="0" borderId="0" xfId="543" applyNumberFormat="1"/>
    <xf numFmtId="9" fontId="14" fillId="0" borderId="0" xfId="543" applyNumberFormat="1" applyAlignment="1">
      <alignment horizontal="left"/>
    </xf>
    <xf numFmtId="168" fontId="14" fillId="0" borderId="0" xfId="543" applyNumberFormat="1"/>
    <xf numFmtId="0" fontId="23" fillId="0" borderId="0" xfId="0" applyFont="1" applyAlignment="1">
      <alignment horizontal="right"/>
    </xf>
    <xf numFmtId="0" fontId="37" fillId="0" borderId="0" xfId="0" applyFont="1"/>
    <xf numFmtId="0" fontId="23" fillId="0" borderId="0" xfId="0" applyFont="1" applyAlignment="1">
      <alignment horizontal="left"/>
    </xf>
    <xf numFmtId="0" fontId="25" fillId="0" borderId="0" xfId="0" applyFont="1"/>
    <xf numFmtId="0" fontId="27" fillId="0" borderId="0" xfId="0" applyFont="1"/>
    <xf numFmtId="0" fontId="21"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1" fillId="0" borderId="1" xfId="0" applyFont="1" applyBorder="1" applyAlignment="1">
      <alignment horizontal="center" wrapText="1"/>
    </xf>
    <xf numFmtId="0" fontId="21"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1" fillId="0" borderId="4" xfId="0" applyFont="1" applyBorder="1" applyAlignment="1">
      <alignment horizontal="center"/>
    </xf>
    <xf numFmtId="0" fontId="30" fillId="0" borderId="3" xfId="0" applyFont="1" applyBorder="1" applyAlignment="1">
      <alignment horizontal="left"/>
    </xf>
    <xf numFmtId="0" fontId="30" fillId="0" borderId="9" xfId="0" applyFont="1" applyBorder="1" applyAlignment="1">
      <alignment horizontal="left"/>
    </xf>
    <xf numFmtId="0" fontId="21" fillId="0" borderId="4" xfId="0" applyFont="1" applyBorder="1" applyAlignment="1">
      <alignment horizontal="right"/>
    </xf>
    <xf numFmtId="0" fontId="21" fillId="0" borderId="5" xfId="0" applyFont="1" applyBorder="1" applyAlignment="1">
      <alignment horizontal="right"/>
    </xf>
    <xf numFmtId="0" fontId="30" fillId="0" borderId="0" xfId="0" applyFont="1" applyAlignment="1">
      <alignment horizontal="left"/>
    </xf>
    <xf numFmtId="0" fontId="21" fillId="0" borderId="0" xfId="0" applyFont="1" applyAlignment="1">
      <alignment horizontal="right"/>
    </xf>
    <xf numFmtId="0" fontId="21"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11" xfId="0" applyFont="1" applyBorder="1" applyAlignment="1">
      <alignment horizontal="left"/>
    </xf>
    <xf numFmtId="0" fontId="21" fillId="0" borderId="9" xfId="0" applyFont="1" applyBorder="1"/>
    <xf numFmtId="164" fontId="0" fillId="0" borderId="0" xfId="0" applyNumberFormat="1" applyAlignment="1">
      <alignment horizontal="center"/>
    </xf>
    <xf numFmtId="0" fontId="0" fillId="0" borderId="12" xfId="0" applyBorder="1"/>
    <xf numFmtId="0" fontId="23" fillId="0" borderId="3" xfId="0" applyFont="1" applyBorder="1"/>
    <xf numFmtId="0" fontId="23" fillId="0" borderId="0" xfId="543" applyFont="1"/>
    <xf numFmtId="0" fontId="39" fillId="0" borderId="0" xfId="543" applyFont="1"/>
    <xf numFmtId="49" fontId="14" fillId="0" borderId="0" xfId="543" applyNumberFormat="1"/>
    <xf numFmtId="0" fontId="37" fillId="0" borderId="0" xfId="543" applyFont="1"/>
    <xf numFmtId="168" fontId="34" fillId="0" borderId="6" xfId="543" applyNumberFormat="1" applyFont="1" applyBorder="1" applyAlignment="1">
      <alignment horizontal="left"/>
    </xf>
    <xf numFmtId="168" fontId="34" fillId="0" borderId="6" xfId="543" applyNumberFormat="1" applyFont="1" applyBorder="1" applyAlignment="1">
      <alignment horizontal="center"/>
    </xf>
    <xf numFmtId="0" fontId="14" fillId="0" borderId="8" xfId="543" applyBorder="1"/>
    <xf numFmtId="0" fontId="34" fillId="0" borderId="0" xfId="543" applyFont="1" applyAlignment="1">
      <alignment horizontal="center"/>
    </xf>
    <xf numFmtId="0" fontId="33" fillId="0" borderId="9" xfId="543" applyFont="1" applyBorder="1" applyAlignment="1">
      <alignment horizontal="left" vertical="top" wrapText="1"/>
    </xf>
    <xf numFmtId="0" fontId="33" fillId="0" borderId="6" xfId="543" applyFont="1" applyBorder="1" applyAlignment="1">
      <alignment horizontal="center" vertical="top" wrapText="1"/>
    </xf>
    <xf numFmtId="0" fontId="14" fillId="0" borderId="9" xfId="543" applyBorder="1"/>
    <xf numFmtId="0" fontId="14" fillId="0" borderId="10" xfId="543" applyBorder="1"/>
    <xf numFmtId="0" fontId="14" fillId="0" borderId="1" xfId="543" applyBorder="1"/>
    <xf numFmtId="0" fontId="34" fillId="0" borderId="2" xfId="543" applyFont="1" applyBorder="1" applyAlignment="1">
      <alignment horizontal="center"/>
    </xf>
    <xf numFmtId="0" fontId="36" fillId="0" borderId="8" xfId="543" applyFont="1" applyBorder="1" applyAlignment="1">
      <alignment horizontal="left" vertical="top" wrapText="1"/>
    </xf>
    <xf numFmtId="0" fontId="33" fillId="0" borderId="0" xfId="543" applyFont="1" applyAlignment="1">
      <alignment horizontal="center" vertical="top" wrapText="1"/>
    </xf>
    <xf numFmtId="0" fontId="14" fillId="0" borderId="12" xfId="543" applyBorder="1"/>
    <xf numFmtId="0" fontId="36" fillId="0" borderId="0" xfId="543" applyFont="1" applyAlignment="1">
      <alignment horizontal="center" vertical="top" wrapText="1"/>
    </xf>
    <xf numFmtId="0" fontId="36" fillId="0" borderId="9" xfId="543" applyFont="1" applyBorder="1" applyAlignment="1">
      <alignment horizontal="left" vertical="top" wrapText="1"/>
    </xf>
    <xf numFmtId="0" fontId="14" fillId="0" borderId="2" xfId="543" applyBorder="1"/>
    <xf numFmtId="0" fontId="14" fillId="0" borderId="7" xfId="543" applyBorder="1"/>
    <xf numFmtId="0" fontId="33" fillId="0" borderId="0" xfId="543" applyFont="1"/>
    <xf numFmtId="0" fontId="14" fillId="0" borderId="0" xfId="543" applyAlignment="1">
      <alignment horizontal="center"/>
    </xf>
    <xf numFmtId="0" fontId="22" fillId="0" borderId="6" xfId="543" applyFont="1" applyBorder="1" applyAlignment="1">
      <alignment vertical="top" wrapText="1"/>
    </xf>
    <xf numFmtId="0" fontId="23" fillId="0" borderId="0" xfId="0" applyFont="1" applyAlignment="1">
      <alignment horizontal="left" vertical="top"/>
    </xf>
    <xf numFmtId="0" fontId="0" fillId="2" borderId="2" xfId="0" applyFill="1" applyBorder="1"/>
    <xf numFmtId="0" fontId="0" fillId="2" borderId="7" xfId="0" applyFill="1" applyBorder="1"/>
    <xf numFmtId="0" fontId="21" fillId="0" borderId="6" xfId="0" applyFont="1" applyBorder="1" applyAlignment="1">
      <alignment horizontal="right"/>
    </xf>
    <xf numFmtId="0" fontId="20" fillId="0" borderId="0" xfId="0" applyFont="1" applyAlignment="1">
      <alignment horizontal="center" vertical="center"/>
    </xf>
    <xf numFmtId="0" fontId="21" fillId="0" borderId="0" xfId="0" applyFont="1" applyAlignment="1">
      <alignment vertical="top"/>
    </xf>
    <xf numFmtId="166" fontId="0" fillId="0" borderId="0" xfId="0" applyNumberFormat="1" applyAlignment="1">
      <alignment horizontal="right"/>
    </xf>
    <xf numFmtId="0" fontId="44" fillId="0" borderId="0" xfId="0" applyFont="1"/>
    <xf numFmtId="0" fontId="31" fillId="0" borderId="0" xfId="0" applyFont="1"/>
    <xf numFmtId="0" fontId="15" fillId="0" borderId="0" xfId="244" applyBorder="1" applyProtection="1"/>
    <xf numFmtId="0" fontId="15" fillId="0" borderId="0" xfId="244" applyFill="1" applyBorder="1" applyAlignment="1">
      <alignment horizontal="center" vertical="center"/>
    </xf>
    <xf numFmtId="0" fontId="14" fillId="0" borderId="3" xfId="543" applyBorder="1"/>
    <xf numFmtId="0" fontId="36" fillId="0" borderId="4" xfId="543" applyFont="1" applyBorder="1" applyAlignment="1">
      <alignment horizontal="right" vertical="top" wrapText="1"/>
    </xf>
    <xf numFmtId="0" fontId="23" fillId="0" borderId="6" xfId="0" applyFont="1" applyBorder="1"/>
    <xf numFmtId="0" fontId="23" fillId="0" borderId="2" xfId="0" applyFont="1" applyBorder="1"/>
    <xf numFmtId="0" fontId="23" fillId="0" borderId="7" xfId="0" applyFont="1" applyBorder="1"/>
    <xf numFmtId="0" fontId="23" fillId="0" borderId="12" xfId="0" applyFont="1" applyBorder="1"/>
    <xf numFmtId="0" fontId="23" fillId="0" borderId="9" xfId="0" applyFont="1" applyBorder="1"/>
    <xf numFmtId="0" fontId="23" fillId="0" borderId="10" xfId="0" applyFont="1" applyBorder="1"/>
    <xf numFmtId="0" fontId="28" fillId="0" borderId="6" xfId="0" applyFont="1" applyBorder="1" applyAlignment="1">
      <alignment vertical="top" wrapText="1"/>
    </xf>
    <xf numFmtId="0" fontId="28" fillId="0" borderId="5" xfId="0" applyFont="1" applyBorder="1" applyAlignment="1">
      <alignment vertical="top" wrapText="1"/>
    </xf>
    <xf numFmtId="0" fontId="28" fillId="0" borderId="4" xfId="0" applyFont="1" applyBorder="1" applyAlignment="1">
      <alignment vertical="top" wrapText="1"/>
    </xf>
    <xf numFmtId="0" fontId="28" fillId="2" borderId="6" xfId="0" applyFont="1" applyFill="1" applyBorder="1" applyAlignment="1">
      <alignment vertical="top" wrapText="1"/>
    </xf>
    <xf numFmtId="0" fontId="0" fillId="0" borderId="8" xfId="0" applyBorder="1"/>
    <xf numFmtId="0" fontId="21" fillId="0" borderId="2" xfId="0" applyFont="1" applyBorder="1"/>
    <xf numFmtId="0" fontId="23" fillId="0" borderId="0" xfId="0" applyFont="1" applyAlignment="1">
      <alignment vertical="top"/>
    </xf>
    <xf numFmtId="0" fontId="23" fillId="0" borderId="0" xfId="0" applyFont="1" applyAlignment="1">
      <alignment vertical="top" wrapText="1"/>
    </xf>
    <xf numFmtId="0" fontId="14" fillId="0" borderId="0" xfId="0" applyFont="1" applyAlignment="1">
      <alignment horizontal="left"/>
    </xf>
    <xf numFmtId="0" fontId="14" fillId="0" borderId="0" xfId="0" applyFont="1" applyAlignment="1">
      <alignment vertical="top"/>
    </xf>
    <xf numFmtId="0" fontId="43" fillId="0" borderId="0" xfId="0" applyFont="1"/>
    <xf numFmtId="0" fontId="14" fillId="0" borderId="3" xfId="0" applyFont="1" applyBorder="1"/>
    <xf numFmtId="0" fontId="14"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8" fillId="3" borderId="4" xfId="0" applyFont="1" applyFill="1" applyBorder="1" applyAlignment="1">
      <alignment vertical="top" wrapText="1"/>
    </xf>
    <xf numFmtId="0" fontId="28" fillId="3" borderId="5" xfId="0" applyFont="1" applyFill="1" applyBorder="1" applyAlignment="1">
      <alignment vertical="top" wrapText="1"/>
    </xf>
    <xf numFmtId="0" fontId="46" fillId="0" borderId="0" xfId="0" applyFont="1"/>
    <xf numFmtId="0" fontId="23" fillId="0" borderId="4" xfId="0" applyFont="1" applyBorder="1"/>
    <xf numFmtId="0" fontId="21" fillId="0" borderId="2" xfId="0" applyFont="1" applyBorder="1" applyAlignment="1">
      <alignment horizontal="center"/>
    </xf>
    <xf numFmtId="0" fontId="21" fillId="0" borderId="0" xfId="0" applyFont="1" applyAlignment="1">
      <alignment horizontal="center" vertical="center" wrapText="1"/>
    </xf>
    <xf numFmtId="0" fontId="21" fillId="0" borderId="7" xfId="543" applyFont="1" applyBorder="1" applyAlignment="1">
      <alignment horizontal="right"/>
    </xf>
    <xf numFmtId="0" fontId="22" fillId="0" borderId="9" xfId="543" applyFont="1" applyBorder="1"/>
    <xf numFmtId="0" fontId="23" fillId="0" borderId="6" xfId="543" applyFont="1" applyBorder="1"/>
    <xf numFmtId="0" fontId="22" fillId="0" borderId="6" xfId="543" applyFont="1" applyBorder="1" applyAlignment="1">
      <alignment horizontal="right"/>
    </xf>
    <xf numFmtId="0" fontId="21" fillId="0" borderId="0" xfId="0" applyFont="1" applyAlignment="1">
      <alignment horizontal="center" vertical="center"/>
    </xf>
    <xf numFmtId="0" fontId="23" fillId="0" borderId="0" xfId="0" applyFont="1" applyAlignment="1">
      <alignment horizontal="left" vertical="center"/>
    </xf>
    <xf numFmtId="0" fontId="52" fillId="0" borderId="3" xfId="0" applyFont="1" applyBorder="1" applyAlignment="1">
      <alignment horizontal="left" vertical="top"/>
    </xf>
    <xf numFmtId="0" fontId="52" fillId="0" borderId="13" xfId="0" applyFont="1" applyBorder="1" applyAlignment="1">
      <alignment horizontal="center" wrapText="1"/>
    </xf>
    <xf numFmtId="0" fontId="52" fillId="0" borderId="13" xfId="0" applyFont="1" applyBorder="1" applyAlignment="1">
      <alignment horizontal="center" vertical="top" wrapText="1"/>
    </xf>
    <xf numFmtId="0" fontId="52" fillId="2" borderId="13" xfId="0" applyFont="1" applyFill="1" applyBorder="1" applyAlignment="1">
      <alignment horizontal="center" wrapText="1"/>
    </xf>
    <xf numFmtId="0" fontId="53" fillId="2" borderId="11" xfId="0" applyFont="1" applyFill="1" applyBorder="1" applyAlignment="1">
      <alignment horizontal="left" vertical="top" wrapText="1"/>
    </xf>
    <xf numFmtId="0" fontId="54" fillId="4" borderId="11" xfId="0"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4" fillId="5" borderId="11" xfId="0" applyNumberFormat="1" applyFont="1" applyFill="1" applyBorder="1" applyAlignment="1" applyProtection="1">
      <alignment vertical="top" wrapText="1"/>
      <protection locked="0"/>
    </xf>
    <xf numFmtId="168" fontId="54" fillId="6" borderId="11" xfId="0" applyNumberFormat="1" applyFont="1" applyFill="1" applyBorder="1" applyAlignment="1">
      <alignment horizontal="center" vertical="top" wrapText="1"/>
    </xf>
    <xf numFmtId="0" fontId="52" fillId="0" borderId="11" xfId="0" applyFont="1" applyBorder="1" applyAlignment="1">
      <alignment horizontal="right" vertical="top" wrapText="1"/>
    </xf>
    <xf numFmtId="168" fontId="52" fillId="0" borderId="11" xfId="0" applyNumberFormat="1" applyFont="1" applyBorder="1" applyAlignment="1">
      <alignment vertical="top" wrapText="1"/>
    </xf>
    <xf numFmtId="168" fontId="54" fillId="4" borderId="11" xfId="0" applyNumberFormat="1" applyFont="1" applyFill="1" applyBorder="1" applyAlignment="1">
      <alignment vertical="top" wrapText="1"/>
    </xf>
    <xf numFmtId="0" fontId="52" fillId="2" borderId="11" xfId="0" applyFont="1" applyFill="1" applyBorder="1" applyAlignment="1">
      <alignment vertical="top" wrapText="1"/>
    </xf>
    <xf numFmtId="0" fontId="52" fillId="0" borderId="11" xfId="0" applyFont="1" applyBorder="1" applyAlignment="1">
      <alignment vertical="top" wrapText="1"/>
    </xf>
    <xf numFmtId="0" fontId="17" fillId="0" borderId="11" xfId="0" applyFont="1" applyBorder="1" applyAlignment="1">
      <alignment horizontal="right" vertical="top" wrapText="1"/>
    </xf>
    <xf numFmtId="0" fontId="54" fillId="0" borderId="11" xfId="0" applyFont="1" applyBorder="1" applyAlignment="1" applyProtection="1">
      <alignment horizontal="right" vertical="top" wrapText="1"/>
      <protection locked="0"/>
    </xf>
    <xf numFmtId="0" fontId="52" fillId="0" borderId="0" xfId="0" applyFont="1" applyAlignment="1">
      <alignment horizontal="left" vertical="top"/>
    </xf>
    <xf numFmtId="0" fontId="54" fillId="0" borderId="0" xfId="0" applyFont="1" applyAlignment="1">
      <alignment horizontal="left" vertical="top"/>
    </xf>
    <xf numFmtId="0" fontId="54" fillId="0" borderId="0" xfId="0" applyFont="1" applyAlignment="1">
      <alignment vertical="top" wrapText="1"/>
    </xf>
    <xf numFmtId="0" fontId="54" fillId="0" borderId="0" xfId="0" applyFont="1" applyAlignment="1">
      <alignment vertical="top"/>
    </xf>
    <xf numFmtId="0" fontId="52" fillId="0" borderId="0" xfId="0" applyFont="1" applyAlignment="1">
      <alignment horizontal="right" vertical="top"/>
    </xf>
    <xf numFmtId="0" fontId="54" fillId="2" borderId="0" xfId="0" applyFont="1" applyFill="1" applyAlignment="1">
      <alignment vertical="top" wrapText="1"/>
    </xf>
    <xf numFmtId="0" fontId="52" fillId="0" borderId="0" xfId="0" applyFont="1" applyAlignment="1">
      <alignment vertical="top"/>
    </xf>
    <xf numFmtId="166" fontId="23" fillId="0" borderId="0" xfId="0" applyNumberFormat="1" applyFont="1" applyAlignment="1">
      <alignment horizontal="left"/>
    </xf>
    <xf numFmtId="0" fontId="55" fillId="0" borderId="0" xfId="0" applyFont="1"/>
    <xf numFmtId="0" fontId="14" fillId="0" borderId="0" xfId="244" applyFont="1" applyFill="1" applyBorder="1" applyAlignment="1" applyProtection="1">
      <alignment horizontal="left"/>
    </xf>
    <xf numFmtId="0" fontId="45" fillId="0" borderId="0" xfId="0" applyFont="1"/>
    <xf numFmtId="0" fontId="45" fillId="0" borderId="0" xfId="244" applyFont="1" applyFill="1" applyBorder="1" applyAlignment="1" applyProtection="1">
      <alignment horizontal="left"/>
    </xf>
    <xf numFmtId="0" fontId="20" fillId="3" borderId="11" xfId="0" applyFont="1" applyFill="1" applyBorder="1" applyAlignment="1">
      <alignment vertical="top"/>
    </xf>
    <xf numFmtId="0" fontId="0" fillId="7" borderId="0" xfId="0" applyFill="1"/>
    <xf numFmtId="0" fontId="34" fillId="0" borderId="0" xfId="0" applyFont="1"/>
    <xf numFmtId="0" fontId="57" fillId="0" borderId="0" xfId="0" applyFont="1"/>
    <xf numFmtId="0" fontId="32" fillId="0" borderId="0" xfId="0" applyFont="1" applyAlignment="1">
      <alignment horizontal="center"/>
    </xf>
    <xf numFmtId="0" fontId="32" fillId="0" borderId="0" xfId="0" applyFont="1"/>
    <xf numFmtId="0" fontId="32" fillId="0" borderId="0" xfId="0" applyFont="1" applyAlignment="1">
      <alignment horizontal="left"/>
    </xf>
    <xf numFmtId="49" fontId="21" fillId="0" borderId="0" xfId="0" applyNumberFormat="1" applyFont="1" applyAlignment="1">
      <alignment horizontal="center"/>
    </xf>
    <xf numFmtId="0" fontId="49" fillId="0" borderId="0" xfId="0" applyFont="1" applyAlignment="1">
      <alignment horizontal="center"/>
    </xf>
    <xf numFmtId="0" fontId="48" fillId="0" borderId="0" xfId="244" applyFont="1" applyAlignment="1" applyProtection="1">
      <alignment horizontal="center"/>
    </xf>
    <xf numFmtId="0" fontId="23" fillId="0" borderId="0" xfId="0" quotePrefix="1" applyFont="1" applyAlignment="1">
      <alignment horizontal="left"/>
    </xf>
    <xf numFmtId="49" fontId="23" fillId="0" borderId="0" xfId="0" applyNumberFormat="1" applyFont="1" applyAlignment="1">
      <alignment horizontal="center"/>
    </xf>
    <xf numFmtId="0" fontId="21" fillId="0" borderId="0" xfId="0" quotePrefix="1" applyFont="1" applyAlignment="1">
      <alignment horizontal="center"/>
    </xf>
    <xf numFmtId="49" fontId="0" fillId="0" borderId="0" xfId="0" applyNumberFormat="1"/>
    <xf numFmtId="0" fontId="46" fillId="0" borderId="0" xfId="0" applyFont="1" applyAlignment="1">
      <alignment horizontal="left"/>
    </xf>
    <xf numFmtId="49" fontId="23" fillId="0" borderId="0" xfId="0" applyNumberFormat="1" applyFont="1"/>
    <xf numFmtId="49" fontId="21" fillId="0" borderId="0" xfId="0" applyNumberFormat="1" applyFont="1" applyAlignment="1">
      <alignment horizontal="left"/>
    </xf>
    <xf numFmtId="168" fontId="23" fillId="0" borderId="0" xfId="0" applyNumberFormat="1" applyFont="1" applyAlignment="1">
      <alignment horizontal="center"/>
    </xf>
    <xf numFmtId="168" fontId="33" fillId="0" borderId="0" xfId="0" applyNumberFormat="1" applyFont="1" applyAlignment="1">
      <alignment horizontal="left" vertical="top" wrapText="1"/>
    </xf>
    <xf numFmtId="0" fontId="51" fillId="0" borderId="3" xfId="0" applyFont="1" applyBorder="1"/>
    <xf numFmtId="168" fontId="0" fillId="0" borderId="0" xfId="0" applyNumberFormat="1" applyAlignment="1">
      <alignment horizontal="center"/>
    </xf>
    <xf numFmtId="0" fontId="34" fillId="0" borderId="0" xfId="0" applyFont="1" applyAlignment="1">
      <alignment vertical="top" wrapText="1"/>
    </xf>
    <xf numFmtId="0" fontId="52" fillId="0" borderId="4" xfId="0" applyFont="1" applyBorder="1" applyAlignment="1">
      <alignment horizontal="right"/>
    </xf>
    <xf numFmtId="0" fontId="59" fillId="0" borderId="0" xfId="0" applyFont="1"/>
    <xf numFmtId="3" fontId="23" fillId="0" borderId="0" xfId="0" applyNumberFormat="1" applyFont="1" applyAlignment="1">
      <alignment horizontal="center"/>
    </xf>
    <xf numFmtId="168" fontId="14" fillId="0" borderId="0" xfId="0" applyNumberFormat="1" applyFont="1" applyAlignment="1">
      <alignment horizontal="left" vertical="top"/>
    </xf>
    <xf numFmtId="168" fontId="23" fillId="0" borderId="0" xfId="0" applyNumberFormat="1" applyFont="1" applyAlignment="1">
      <alignment horizontal="left" vertical="top"/>
    </xf>
    <xf numFmtId="0" fontId="23" fillId="0" borderId="0" xfId="0" applyFont="1" applyAlignment="1">
      <alignment horizontal="center" vertical="center"/>
    </xf>
    <xf numFmtId="0" fontId="23" fillId="0" borderId="0" xfId="0" applyFont="1" applyAlignment="1">
      <alignment vertical="center"/>
    </xf>
    <xf numFmtId="0" fontId="0" fillId="0" borderId="0" xfId="0" applyAlignment="1">
      <alignment vertical="center"/>
    </xf>
    <xf numFmtId="0" fontId="54" fillId="0" borderId="11" xfId="0" applyFont="1" applyBorder="1" applyAlignment="1">
      <alignment horizontal="right" vertical="top"/>
    </xf>
    <xf numFmtId="0" fontId="54" fillId="0" borderId="0" xfId="0" applyFont="1" applyAlignment="1">
      <alignment horizontal="right" vertical="top" wrapText="1"/>
    </xf>
    <xf numFmtId="0" fontId="54" fillId="2" borderId="12" xfId="0" applyFont="1" applyFill="1" applyBorder="1" applyAlignment="1">
      <alignment vertical="top" wrapText="1"/>
    </xf>
    <xf numFmtId="0" fontId="54" fillId="0" borderId="14" xfId="0" applyFont="1" applyBorder="1" applyAlignment="1">
      <alignment vertical="top" wrapText="1"/>
    </xf>
    <xf numFmtId="168" fontId="54" fillId="5" borderId="11" xfId="0" applyNumberFormat="1" applyFont="1" applyFill="1" applyBorder="1" applyAlignment="1" applyProtection="1">
      <alignment vertical="top"/>
      <protection locked="0"/>
    </xf>
    <xf numFmtId="0" fontId="54" fillId="2" borderId="11" xfId="0" applyFont="1" applyFill="1" applyBorder="1" applyAlignment="1" applyProtection="1">
      <alignment vertical="top"/>
      <protection locked="0"/>
    </xf>
    <xf numFmtId="0" fontId="54" fillId="0" borderId="11" xfId="0" applyFont="1" applyBorder="1" applyAlignment="1" applyProtection="1">
      <alignment vertical="top"/>
      <protection locked="0"/>
    </xf>
    <xf numFmtId="168" fontId="54" fillId="0" borderId="11" xfId="0" applyNumberFormat="1" applyFont="1" applyBorder="1" applyAlignment="1">
      <alignment vertical="top"/>
    </xf>
    <xf numFmtId="168" fontId="54" fillId="6" borderId="11" xfId="0" applyNumberFormat="1" applyFont="1" applyFill="1" applyBorder="1" applyAlignment="1">
      <alignment horizontal="center" vertical="top"/>
    </xf>
    <xf numFmtId="0" fontId="21" fillId="0" borderId="0" xfId="542" applyFont="1" applyProtection="1">
      <protection locked="0"/>
    </xf>
    <xf numFmtId="0" fontId="14" fillId="0" borderId="0" xfId="539" applyProtection="1"/>
    <xf numFmtId="0" fontId="34" fillId="8" borderId="0" xfId="539" applyFont="1" applyFill="1" applyAlignment="1" applyProtection="1">
      <alignment horizontal="centerContinuous"/>
    </xf>
    <xf numFmtId="4" fontId="23" fillId="0" borderId="0" xfId="0" applyNumberFormat="1" applyFont="1"/>
    <xf numFmtId="0" fontId="21" fillId="0" borderId="0" xfId="543" applyFont="1"/>
    <xf numFmtId="0" fontId="23" fillId="0" borderId="0" xfId="543" applyFont="1" applyAlignment="1">
      <alignment horizontal="left"/>
    </xf>
    <xf numFmtId="0" fontId="23" fillId="0" borderId="15" xfId="0" applyFont="1" applyBorder="1"/>
    <xf numFmtId="0" fontId="23" fillId="0" borderId="11" xfId="0" applyFont="1" applyBorder="1"/>
    <xf numFmtId="2" fontId="37" fillId="0" borderId="11" xfId="0" applyNumberFormat="1" applyFont="1" applyBorder="1"/>
    <xf numFmtId="0" fontId="14" fillId="0" borderId="0" xfId="0" applyFont="1" applyProtection="1">
      <protection locked="0"/>
    </xf>
    <xf numFmtId="0" fontId="62" fillId="0" borderId="0" xfId="0" applyFont="1" applyAlignment="1">
      <alignment horizontal="center"/>
    </xf>
    <xf numFmtId="0" fontId="23" fillId="0" borderId="0" xfId="271"/>
    <xf numFmtId="0" fontId="21" fillId="0" borderId="0" xfId="271" applyFont="1"/>
    <xf numFmtId="0" fontId="23" fillId="0" borderId="0" xfId="271" applyAlignment="1">
      <alignment horizontal="left"/>
    </xf>
    <xf numFmtId="0" fontId="15" fillId="0" borderId="0" xfId="244" applyFill="1" applyBorder="1" applyProtection="1">
      <protection locked="0"/>
    </xf>
    <xf numFmtId="168" fontId="21" fillId="0" borderId="2" xfId="543" applyNumberFormat="1" applyFont="1" applyBorder="1" applyAlignment="1">
      <alignment horizontal="center" vertical="center"/>
    </xf>
    <xf numFmtId="0" fontId="36" fillId="0" borderId="0" xfId="543" applyFont="1" applyAlignment="1">
      <alignment horizontal="right" vertical="top" wrapText="1"/>
    </xf>
    <xf numFmtId="0" fontId="34" fillId="0" borderId="2" xfId="543" applyFont="1" applyBorder="1" applyAlignment="1">
      <alignment horizontal="right" vertical="top" wrapText="1"/>
    </xf>
    <xf numFmtId="0" fontId="19" fillId="0" borderId="0" xfId="0" applyFont="1"/>
    <xf numFmtId="0" fontId="64" fillId="0" borderId="0" xfId="0" applyFont="1"/>
    <xf numFmtId="0" fontId="62" fillId="0" borderId="0" xfId="0" applyFont="1"/>
    <xf numFmtId="0" fontId="34"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1" fillId="0" borderId="0" xfId="0" applyNumberFormat="1" applyFont="1" applyAlignment="1">
      <alignment horizontal="center"/>
    </xf>
    <xf numFmtId="3" fontId="0" fillId="0" borderId="0" xfId="0" applyNumberFormat="1" applyAlignment="1">
      <alignment horizontal="center"/>
    </xf>
    <xf numFmtId="3" fontId="23" fillId="0" borderId="0" xfId="0" applyNumberFormat="1" applyFont="1"/>
    <xf numFmtId="0" fontId="63" fillId="0" borderId="0" xfId="0" applyFont="1"/>
    <xf numFmtId="168" fontId="19" fillId="0" borderId="0" xfId="0" applyNumberFormat="1" applyFont="1"/>
    <xf numFmtId="10" fontId="19" fillId="0" borderId="0" xfId="0" applyNumberFormat="1" applyFont="1" applyAlignment="1">
      <alignment horizontal="center"/>
    </xf>
    <xf numFmtId="3" fontId="66" fillId="0" borderId="0" xfId="0" applyNumberFormat="1" applyFont="1"/>
    <xf numFmtId="3" fontId="19" fillId="0" borderId="0" xfId="0" applyNumberFormat="1" applyFont="1"/>
    <xf numFmtId="168" fontId="63" fillId="0" borderId="0" xfId="0" applyNumberFormat="1" applyFont="1"/>
    <xf numFmtId="168" fontId="63" fillId="0" borderId="0" xfId="0" applyNumberFormat="1" applyFont="1" applyAlignment="1">
      <alignment horizontal="center"/>
    </xf>
    <xf numFmtId="0" fontId="19" fillId="5" borderId="0" xfId="0" applyFont="1" applyFill="1" applyAlignment="1">
      <alignment horizontal="left"/>
    </xf>
    <xf numFmtId="0" fontId="19" fillId="5" borderId="0" xfId="0" applyFont="1" applyFill="1"/>
    <xf numFmtId="10" fontId="19" fillId="0" borderId="0" xfId="0" applyNumberFormat="1" applyFont="1"/>
    <xf numFmtId="172" fontId="19" fillId="0" borderId="0" xfId="0" applyNumberFormat="1" applyFont="1"/>
    <xf numFmtId="172" fontId="19" fillId="0" borderId="0" xfId="0" applyNumberFormat="1" applyFont="1" applyAlignment="1">
      <alignment horizontal="center"/>
    </xf>
    <xf numFmtId="0" fontId="19" fillId="0" borderId="6" xfId="0" applyFont="1" applyBorder="1"/>
    <xf numFmtId="10" fontId="19" fillId="0" borderId="6" xfId="0" applyNumberFormat="1" applyFont="1" applyBorder="1" applyAlignment="1">
      <alignment horizontal="center"/>
    </xf>
    <xf numFmtId="3" fontId="19" fillId="0" borderId="6" xfId="0" applyNumberFormat="1" applyFont="1" applyBorder="1"/>
    <xf numFmtId="10" fontId="23" fillId="0" borderId="0" xfId="0" applyNumberFormat="1" applyFont="1" applyAlignment="1">
      <alignment horizontal="center"/>
    </xf>
    <xf numFmtId="3" fontId="23" fillId="0" borderId="0" xfId="0" applyNumberFormat="1" applyFont="1" applyAlignment="1">
      <alignment vertical="top"/>
    </xf>
    <xf numFmtId="10" fontId="21" fillId="0" borderId="0" xfId="0" applyNumberFormat="1" applyFont="1" applyAlignment="1">
      <alignment horizontal="center"/>
    </xf>
    <xf numFmtId="0" fontId="62" fillId="0" borderId="6" xfId="0" applyFont="1" applyBorder="1" applyAlignment="1">
      <alignment horizontal="center"/>
    </xf>
    <xf numFmtId="172" fontId="23" fillId="0" borderId="0" xfId="0" applyNumberFormat="1" applyFont="1" applyAlignment="1">
      <alignment horizontal="center"/>
    </xf>
    <xf numFmtId="10" fontId="67" fillId="0" borderId="0" xfId="0" applyNumberFormat="1" applyFont="1" applyAlignment="1">
      <alignment horizontal="center"/>
    </xf>
    <xf numFmtId="4" fontId="23" fillId="0" borderId="0" xfId="271" applyNumberFormat="1" applyAlignment="1">
      <alignment horizontal="left"/>
    </xf>
    <xf numFmtId="0" fontId="23" fillId="0" borderId="0" xfId="271" applyAlignment="1">
      <alignment horizontal="center"/>
    </xf>
    <xf numFmtId="0" fontId="23" fillId="9" borderId="6" xfId="0" applyFont="1" applyFill="1" applyBorder="1"/>
    <xf numFmtId="0" fontId="23" fillId="0" borderId="4" xfId="271" applyBorder="1"/>
    <xf numFmtId="0" fontId="23" fillId="0" borderId="6" xfId="271" applyBorder="1"/>
    <xf numFmtId="0" fontId="23" fillId="0" borderId="1" xfId="0" applyFont="1" applyBorder="1"/>
    <xf numFmtId="168" fontId="23" fillId="0" borderId="3" xfId="0" applyNumberFormat="1" applyFont="1" applyBorder="1" applyAlignment="1">
      <alignment vertical="top"/>
    </xf>
    <xf numFmtId="168" fontId="23" fillId="0" borderId="4" xfId="0" applyNumberFormat="1" applyFont="1" applyBorder="1" applyAlignment="1">
      <alignment vertical="top"/>
    </xf>
    <xf numFmtId="168" fontId="23" fillId="0" borderId="5" xfId="0" applyNumberFormat="1" applyFont="1" applyBorder="1" applyAlignment="1">
      <alignment vertical="top"/>
    </xf>
    <xf numFmtId="168" fontId="23" fillId="0" borderId="8" xfId="0" applyNumberFormat="1" applyFont="1" applyBorder="1" applyAlignment="1">
      <alignment vertical="top"/>
    </xf>
    <xf numFmtId="168" fontId="23" fillId="0" borderId="0" xfId="0" applyNumberFormat="1" applyFont="1" applyAlignment="1">
      <alignment vertical="top"/>
    </xf>
    <xf numFmtId="0" fontId="23" fillId="0" borderId="0" xfId="0" applyFont="1" applyAlignment="1">
      <alignment horizontal="right" vertical="top"/>
    </xf>
    <xf numFmtId="0" fontId="23"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3" fillId="5" borderId="4" xfId="0" applyFont="1" applyFill="1" applyBorder="1" applyAlignment="1" applyProtection="1">
      <alignment horizontal="left" vertical="top"/>
      <protection locked="0"/>
    </xf>
    <xf numFmtId="0" fontId="23" fillId="5" borderId="5" xfId="0" applyFont="1" applyFill="1" applyBorder="1" applyAlignment="1" applyProtection="1">
      <alignment horizontal="left" vertical="top"/>
      <protection locked="0"/>
    </xf>
    <xf numFmtId="4" fontId="49" fillId="0" borderId="0" xfId="0" applyNumberFormat="1" applyFont="1" applyAlignment="1">
      <alignment horizontal="center"/>
    </xf>
    <xf numFmtId="4" fontId="23" fillId="0" borderId="0" xfId="0" applyNumberFormat="1" applyFont="1" applyAlignment="1">
      <alignment horizontal="center"/>
    </xf>
    <xf numFmtId="4" fontId="0" fillId="0" borderId="0" xfId="0" applyNumberFormat="1"/>
    <xf numFmtId="0" fontId="33" fillId="0" borderId="1" xfId="543" applyFont="1" applyBorder="1" applyAlignment="1">
      <alignment horizontal="left" vertical="top" wrapText="1"/>
    </xf>
    <xf numFmtId="0" fontId="33" fillId="0" borderId="12" xfId="543" applyFont="1" applyBorder="1" applyAlignment="1">
      <alignment horizontal="center" vertical="top" wrapText="1"/>
    </xf>
    <xf numFmtId="0" fontId="33" fillId="0" borderId="8" xfId="543" applyFont="1" applyBorder="1" applyAlignment="1">
      <alignment horizontal="left" vertical="top" wrapText="1"/>
    </xf>
    <xf numFmtId="0" fontId="28" fillId="3" borderId="4" xfId="271" applyFont="1" applyFill="1" applyBorder="1" applyAlignment="1">
      <alignment vertical="top" wrapText="1"/>
    </xf>
    <xf numFmtId="0" fontId="20" fillId="3" borderId="11" xfId="271" applyFont="1" applyFill="1" applyBorder="1" applyAlignment="1">
      <alignment vertical="top"/>
    </xf>
    <xf numFmtId="0" fontId="21" fillId="0" borderId="9" xfId="271" applyFont="1" applyBorder="1" applyAlignment="1">
      <alignment horizontal="center" wrapText="1"/>
    </xf>
    <xf numFmtId="0" fontId="28" fillId="3" borderId="4" xfId="271" applyFont="1" applyFill="1" applyBorder="1" applyAlignment="1" applyProtection="1">
      <alignment vertical="top" wrapText="1"/>
      <protection locked="0"/>
    </xf>
    <xf numFmtId="0" fontId="28" fillId="3" borderId="5" xfId="271" applyFont="1" applyFill="1" applyBorder="1" applyAlignment="1" applyProtection="1">
      <alignment vertical="top" wrapText="1"/>
      <protection locked="0"/>
    </xf>
    <xf numFmtId="0" fontId="21" fillId="0" borderId="13" xfId="271" applyFont="1" applyBorder="1" applyAlignment="1">
      <alignment horizontal="center" wrapText="1"/>
    </xf>
    <xf numFmtId="0" fontId="46" fillId="2" borderId="11" xfId="271" applyFont="1" applyFill="1" applyBorder="1" applyAlignment="1">
      <alignment horizontal="left" vertical="top" wrapText="1"/>
    </xf>
    <xf numFmtId="0" fontId="23" fillId="0" borderId="11" xfId="271" applyBorder="1" applyAlignment="1" applyProtection="1">
      <alignment vertical="top" wrapText="1"/>
      <protection locked="0"/>
    </xf>
    <xf numFmtId="168" fontId="23" fillId="5" borderId="11" xfId="271" applyNumberFormat="1" applyFill="1" applyBorder="1" applyAlignment="1" applyProtection="1">
      <alignment vertical="top" wrapText="1"/>
      <protection locked="0"/>
    </xf>
    <xf numFmtId="0" fontId="23" fillId="5" borderId="3" xfId="271" applyFill="1" applyBorder="1" applyAlignment="1" applyProtection="1">
      <alignment vertical="top" wrapText="1"/>
      <protection locked="0"/>
    </xf>
    <xf numFmtId="0" fontId="23" fillId="5" borderId="11" xfId="271" applyFill="1" applyBorder="1" applyAlignment="1" applyProtection="1">
      <alignment vertical="top" wrapText="1"/>
      <protection locked="0"/>
    </xf>
    <xf numFmtId="0" fontId="23" fillId="0" borderId="11" xfId="271" applyBorder="1" applyAlignment="1">
      <alignment horizontal="right" vertical="top" wrapText="1"/>
    </xf>
    <xf numFmtId="168" fontId="23" fillId="0" borderId="11" xfId="271" applyNumberFormat="1" applyBorder="1" applyAlignment="1">
      <alignment vertical="top" wrapText="1"/>
    </xf>
    <xf numFmtId="0" fontId="21" fillId="0" borderId="11" xfId="271" applyFont="1" applyBorder="1" applyAlignment="1">
      <alignment horizontal="right" vertical="top" wrapText="1"/>
    </xf>
    <xf numFmtId="0" fontId="23" fillId="5" borderId="11" xfId="271" applyFill="1" applyBorder="1" applyAlignment="1" applyProtection="1">
      <alignment horizontal="right" vertical="top" wrapText="1"/>
      <protection locked="0"/>
    </xf>
    <xf numFmtId="168" fontId="21" fillId="0" borderId="11" xfId="271" applyNumberFormat="1" applyFont="1" applyBorder="1" applyAlignment="1">
      <alignment vertical="top" wrapText="1"/>
    </xf>
    <xf numFmtId="0" fontId="31" fillId="0" borderId="11" xfId="271" applyFont="1" applyBorder="1" applyAlignment="1">
      <alignment horizontal="right" vertical="top" wrapText="1"/>
    </xf>
    <xf numFmtId="0" fontId="28" fillId="0" borderId="0" xfId="271" applyFont="1" applyAlignment="1" applyProtection="1">
      <alignment horizontal="right" vertical="top" wrapText="1"/>
      <protection locked="0"/>
    </xf>
    <xf numFmtId="0" fontId="28" fillId="0" borderId="0" xfId="271" applyFont="1" applyAlignment="1" applyProtection="1">
      <alignment vertical="top" wrapText="1"/>
      <protection locked="0"/>
    </xf>
    <xf numFmtId="0" fontId="23" fillId="0" borderId="5" xfId="271" applyBorder="1" applyAlignment="1" applyProtection="1">
      <alignment vertical="top" wrapText="1"/>
      <protection locked="0"/>
    </xf>
    <xf numFmtId="0" fontId="21" fillId="0" borderId="3" xfId="271" applyFont="1" applyBorder="1" applyAlignment="1">
      <alignment horizontal="left" vertical="top"/>
    </xf>
    <xf numFmtId="0" fontId="23" fillId="0" borderId="4" xfId="271" applyBorder="1" applyAlignment="1" applyProtection="1">
      <alignment horizontal="left" vertical="top"/>
      <protection locked="0"/>
    </xf>
    <xf numFmtId="0" fontId="23" fillId="0" borderId="4" xfId="271" applyBorder="1" applyAlignment="1" applyProtection="1">
      <alignment vertical="top" wrapText="1"/>
      <protection locked="0"/>
    </xf>
    <xf numFmtId="0" fontId="28" fillId="0" borderId="0" xfId="271" applyFont="1" applyAlignment="1">
      <alignment vertical="top" wrapText="1"/>
    </xf>
    <xf numFmtId="0" fontId="23" fillId="0" borderId="4" xfId="271" applyBorder="1" applyAlignment="1">
      <alignment vertical="top" wrapText="1"/>
    </xf>
    <xf numFmtId="0" fontId="46" fillId="2" borderId="11" xfId="271" applyFont="1" applyFill="1" applyBorder="1" applyAlignment="1" applyProtection="1">
      <alignment horizontal="left" vertical="top" wrapText="1"/>
      <protection locked="0"/>
    </xf>
    <xf numFmtId="0" fontId="51" fillId="0" borderId="11" xfId="0" applyFont="1" applyBorder="1" applyAlignment="1">
      <alignment horizontal="right" vertical="top" wrapText="1"/>
    </xf>
    <xf numFmtId="0" fontId="60" fillId="0" borderId="0" xfId="542"/>
    <xf numFmtId="0" fontId="23" fillId="8" borderId="0" xfId="542" quotePrefix="1" applyFont="1" applyFill="1" applyAlignment="1">
      <alignment horizontal="left"/>
    </xf>
    <xf numFmtId="0" fontId="23" fillId="8" borderId="0" xfId="542" applyFont="1" applyFill="1"/>
    <xf numFmtId="0" fontId="31" fillId="8" borderId="0" xfId="542" applyFont="1" applyFill="1"/>
    <xf numFmtId="0" fontId="51" fillId="0" borderId="11" xfId="271" applyFont="1" applyBorder="1" applyAlignment="1">
      <alignment horizontal="right" vertical="top"/>
    </xf>
    <xf numFmtId="0" fontId="51" fillId="0" borderId="11" xfId="271" applyFont="1" applyBorder="1" applyAlignment="1">
      <alignment horizontal="right" vertical="top" wrapText="1"/>
    </xf>
    <xf numFmtId="0" fontId="23" fillId="0" borderId="0" xfId="271" applyAlignment="1">
      <alignment horizontal="left" vertical="top"/>
    </xf>
    <xf numFmtId="0" fontId="21" fillId="0" borderId="0" xfId="271" applyFont="1" applyAlignment="1">
      <alignment horizontal="right"/>
    </xf>
    <xf numFmtId="0" fontId="22" fillId="0" borderId="0" xfId="271" applyFont="1" applyAlignment="1">
      <alignment horizontal="center"/>
    </xf>
    <xf numFmtId="5" fontId="23" fillId="0" borderId="0" xfId="542" applyNumberFormat="1" applyFont="1"/>
    <xf numFmtId="1" fontId="23" fillId="0" borderId="15" xfId="271" applyNumberFormat="1" applyBorder="1"/>
    <xf numFmtId="1" fontId="23" fillId="0" borderId="14" xfId="271" applyNumberFormat="1" applyBorder="1"/>
    <xf numFmtId="0" fontId="22" fillId="0" borderId="6" xfId="271" applyFont="1" applyBorder="1" applyAlignment="1">
      <alignment horizontal="left"/>
    </xf>
    <xf numFmtId="0" fontId="22" fillId="0" borderId="6" xfId="271" applyFont="1" applyBorder="1" applyAlignment="1">
      <alignment horizontal="right"/>
    </xf>
    <xf numFmtId="165" fontId="23" fillId="0" borderId="0" xfId="271" applyNumberFormat="1"/>
    <xf numFmtId="170" fontId="23" fillId="0" borderId="14" xfId="271" applyNumberFormat="1" applyBorder="1"/>
    <xf numFmtId="1" fontId="21" fillId="0" borderId="11" xfId="271" applyNumberFormat="1" applyFont="1" applyBorder="1"/>
    <xf numFmtId="165" fontId="21" fillId="0" borderId="11" xfId="271" applyNumberFormat="1" applyFont="1" applyBorder="1"/>
    <xf numFmtId="3" fontId="54" fillId="0" borderId="11" xfId="0" applyNumberFormat="1" applyFont="1" applyBorder="1" applyAlignment="1">
      <alignment vertical="top" wrapText="1"/>
    </xf>
    <xf numFmtId="166" fontId="23" fillId="0" borderId="0" xfId="0" applyNumberFormat="1" applyFont="1"/>
    <xf numFmtId="0" fontId="0" fillId="0" borderId="0" xfId="0" applyProtection="1">
      <protection locked="0"/>
    </xf>
    <xf numFmtId="0" fontId="21" fillId="0" borderId="0" xfId="271" applyFont="1" applyAlignment="1">
      <alignment horizontal="left"/>
    </xf>
    <xf numFmtId="0" fontId="19" fillId="0" borderId="0" xfId="0" applyFont="1" applyProtection="1">
      <protection locked="0"/>
    </xf>
    <xf numFmtId="0" fontId="19" fillId="0" borderId="0" xfId="271" applyFont="1" applyProtection="1">
      <protection locked="0"/>
    </xf>
    <xf numFmtId="168" fontId="19" fillId="0" borderId="0" xfId="271" applyNumberFormat="1" applyFont="1" applyProtection="1">
      <protection locked="0"/>
    </xf>
    <xf numFmtId="49" fontId="23" fillId="0" borderId="0" xfId="271" applyNumberFormat="1"/>
    <xf numFmtId="0" fontId="27" fillId="0" borderId="1" xfId="0" applyFont="1" applyBorder="1"/>
    <xf numFmtId="0" fontId="14" fillId="0" borderId="2" xfId="0" applyFont="1" applyBorder="1" applyAlignment="1">
      <alignment horizontal="left"/>
    </xf>
    <xf numFmtId="0" fontId="14" fillId="0" borderId="2" xfId="0" applyFont="1" applyBorder="1"/>
    <xf numFmtId="0" fontId="27" fillId="0" borderId="8" xfId="0" applyFont="1" applyBorder="1"/>
    <xf numFmtId="0" fontId="27" fillId="0" borderId="9" xfId="0" applyFont="1" applyBorder="1"/>
    <xf numFmtId="0" fontId="21" fillId="0" borderId="0" xfId="0" applyFont="1" applyAlignment="1">
      <alignment horizontal="left" vertical="top"/>
    </xf>
    <xf numFmtId="0" fontId="72" fillId="0" borderId="0" xfId="0" applyFont="1" applyAlignment="1">
      <alignment vertical="center" wrapText="1"/>
    </xf>
    <xf numFmtId="0" fontId="72" fillId="0" borderId="0" xfId="0" applyFont="1" applyAlignment="1">
      <alignment vertical="center"/>
    </xf>
    <xf numFmtId="0" fontId="72" fillId="0" borderId="0" xfId="0" applyFont="1" applyAlignment="1">
      <alignment horizontal="left" vertical="center" indent="1"/>
    </xf>
    <xf numFmtId="172" fontId="23" fillId="5" borderId="0" xfId="0" applyNumberFormat="1" applyFont="1" applyFill="1" applyAlignment="1">
      <alignment horizontal="center"/>
    </xf>
    <xf numFmtId="0" fontId="23" fillId="0" borderId="0" xfId="271" applyAlignment="1" applyProtection="1">
      <alignment horizontal="left"/>
      <protection locked="0"/>
    </xf>
    <xf numFmtId="0" fontId="23" fillId="0" borderId="0" xfId="0" applyFont="1" applyAlignment="1" applyProtection="1">
      <alignment horizontal="left"/>
      <protection locked="0"/>
    </xf>
    <xf numFmtId="0" fontId="73" fillId="0" borderId="0" xfId="0" applyFont="1" applyAlignment="1">
      <alignment horizontal="left" vertical="center"/>
    </xf>
    <xf numFmtId="0" fontId="33" fillId="0" borderId="2" xfId="543" applyFont="1" applyBorder="1" applyAlignment="1">
      <alignment horizontal="center" vertical="top" wrapText="1"/>
    </xf>
    <xf numFmtId="49" fontId="44" fillId="0" borderId="0" xfId="0" applyNumberFormat="1" applyFont="1" applyAlignment="1">
      <alignment horizontal="center"/>
    </xf>
    <xf numFmtId="0" fontId="49" fillId="0" borderId="0" xfId="271" applyFont="1" applyAlignment="1">
      <alignment horizontal="center"/>
    </xf>
    <xf numFmtId="49" fontId="23" fillId="0" borderId="0" xfId="271" applyNumberFormat="1" applyAlignment="1">
      <alignment horizontal="center"/>
    </xf>
    <xf numFmtId="0" fontId="51" fillId="0" borderId="0" xfId="0" applyFont="1"/>
    <xf numFmtId="5" fontId="77" fillId="0" borderId="11" xfId="541" applyNumberFormat="1" applyFont="1" applyBorder="1" applyAlignment="1" applyProtection="1">
      <alignment horizontal="center"/>
    </xf>
    <xf numFmtId="5" fontId="77" fillId="42" borderId="11" xfId="541" applyNumberFormat="1" applyFont="1" applyFill="1" applyBorder="1" applyAlignment="1" applyProtection="1">
      <alignment horizontal="center"/>
    </xf>
    <xf numFmtId="5" fontId="77" fillId="2" borderId="11" xfId="541" applyNumberFormat="1" applyFont="1" applyFill="1" applyBorder="1" applyAlignment="1" applyProtection="1">
      <alignment horizontal="center"/>
    </xf>
    <xf numFmtId="0" fontId="51" fillId="0" borderId="0" xfId="0" applyFont="1" applyAlignment="1">
      <alignment vertical="top" wrapText="1"/>
    </xf>
    <xf numFmtId="0" fontId="51" fillId="0" borderId="0" xfId="0" applyFont="1" applyAlignment="1">
      <alignment vertical="top"/>
    </xf>
    <xf numFmtId="0" fontId="51" fillId="2" borderId="0" xfId="0" applyFont="1" applyFill="1" applyAlignment="1">
      <alignment vertical="top" wrapText="1"/>
    </xf>
    <xf numFmtId="0" fontId="79" fillId="0" borderId="13" xfId="0" applyFont="1" applyBorder="1" applyAlignment="1">
      <alignment vertical="top" wrapText="1"/>
    </xf>
    <xf numFmtId="0" fontId="28" fillId="0" borderId="0" xfId="0" applyFont="1" applyAlignment="1">
      <alignment vertical="top" wrapText="1"/>
    </xf>
    <xf numFmtId="0" fontId="79" fillId="2" borderId="13" xfId="0" applyFont="1" applyFill="1" applyBorder="1" applyAlignment="1">
      <alignment vertical="top" wrapText="1"/>
    </xf>
    <xf numFmtId="0" fontId="79" fillId="0" borderId="0" xfId="0" applyFont="1" applyAlignment="1">
      <alignment vertical="top" wrapText="1"/>
    </xf>
    <xf numFmtId="0" fontId="79" fillId="2" borderId="0" xfId="0" applyFont="1" applyFill="1" applyAlignment="1">
      <alignment vertical="top" wrapText="1"/>
    </xf>
    <xf numFmtId="0" fontId="51" fillId="0" borderId="0" xfId="0" applyFont="1" applyAlignment="1">
      <alignment horizontal="right" vertical="top" wrapText="1"/>
    </xf>
    <xf numFmtId="168" fontId="51" fillId="5" borderId="6" xfId="0" applyNumberFormat="1" applyFont="1" applyFill="1" applyBorder="1" applyAlignment="1" applyProtection="1">
      <alignment horizontal="right" vertical="top" wrapText="1"/>
      <protection locked="0"/>
    </xf>
    <xf numFmtId="168" fontId="51" fillId="0" borderId="6" xfId="0" applyNumberFormat="1" applyFont="1" applyBorder="1" applyAlignment="1">
      <alignment horizontal="right" vertical="top" wrapText="1"/>
    </xf>
    <xf numFmtId="0" fontId="21" fillId="0" borderId="0" xfId="0" applyFont="1" applyAlignment="1">
      <alignment horizontal="left" vertical="top" wrapText="1"/>
    </xf>
    <xf numFmtId="0" fontId="23" fillId="0" borderId="0" xfId="0" applyFont="1" applyAlignment="1">
      <alignment horizontal="right" vertical="top" wrapText="1"/>
    </xf>
    <xf numFmtId="10" fontId="23" fillId="5" borderId="6" xfId="0" applyNumberFormat="1" applyFont="1" applyFill="1" applyBorder="1" applyAlignment="1" applyProtection="1">
      <alignment horizontal="center" vertical="top" wrapText="1"/>
      <protection locked="0"/>
    </xf>
    <xf numFmtId="0" fontId="62" fillId="0" borderId="0" xfId="0" applyFont="1" applyAlignment="1">
      <alignment horizontal="left" vertical="center"/>
    </xf>
    <xf numFmtId="0" fontId="21" fillId="0" borderId="2" xfId="543" applyFont="1" applyBorder="1" applyAlignment="1">
      <alignment horizontal="center"/>
    </xf>
    <xf numFmtId="0" fontId="0" fillId="0" borderId="0" xfId="543" applyFont="1"/>
    <xf numFmtId="0" fontId="15" fillId="0" borderId="0" xfId="244" quotePrefix="1" applyAlignment="1" applyProtection="1">
      <alignment horizontal="left"/>
    </xf>
    <xf numFmtId="168" fontId="51" fillId="0" borderId="11" xfId="0" applyNumberFormat="1" applyFont="1" applyBorder="1" applyAlignment="1">
      <alignment vertical="top" wrapText="1"/>
    </xf>
    <xf numFmtId="168" fontId="51" fillId="4" borderId="11" xfId="0" applyNumberFormat="1" applyFont="1" applyFill="1" applyBorder="1" applyAlignment="1">
      <alignment vertical="top" wrapText="1"/>
    </xf>
    <xf numFmtId="0" fontId="103" fillId="0" borderId="0" xfId="0" applyFont="1" applyAlignment="1">
      <alignment horizontal="left" vertical="top"/>
    </xf>
    <xf numFmtId="0" fontId="104" fillId="0" borderId="0" xfId="0" applyFont="1" applyAlignment="1">
      <alignment horizontal="left" vertical="top"/>
    </xf>
    <xf numFmtId="0" fontId="72" fillId="0" borderId="0" xfId="0" applyFont="1"/>
    <xf numFmtId="0" fontId="21" fillId="8" borderId="11" xfId="542" applyFont="1" applyFill="1" applyBorder="1" applyAlignment="1">
      <alignment horizontal="left"/>
    </xf>
    <xf numFmtId="0" fontId="21" fillId="8" borderId="11" xfId="542" applyFont="1" applyFill="1" applyBorder="1" applyAlignment="1">
      <alignment horizontal="center"/>
    </xf>
    <xf numFmtId="0" fontId="61" fillId="8" borderId="11" xfId="542" applyFont="1" applyFill="1" applyBorder="1" applyAlignment="1">
      <alignment horizontal="left"/>
    </xf>
    <xf numFmtId="0" fontId="61" fillId="0" borderId="11" xfId="542" applyFont="1" applyBorder="1" applyAlignment="1">
      <alignment horizontal="left"/>
    </xf>
    <xf numFmtId="0" fontId="21" fillId="0" borderId="0" xfId="271" applyFont="1" applyAlignment="1" applyProtection="1">
      <alignment horizontal="center" wrapText="1"/>
      <protection locked="0"/>
    </xf>
    <xf numFmtId="0" fontId="23" fillId="0" borderId="0" xfId="271" applyAlignment="1" applyProtection="1">
      <alignment vertical="top" wrapText="1"/>
      <protection locked="0"/>
    </xf>
    <xf numFmtId="0" fontId="21" fillId="0" borderId="0" xfId="271" applyFont="1" applyAlignment="1" applyProtection="1">
      <alignment vertical="top" wrapText="1"/>
      <protection locked="0"/>
    </xf>
    <xf numFmtId="0" fontId="21" fillId="0" borderId="8" xfId="271" applyFont="1" applyBorder="1" applyAlignment="1" applyProtection="1">
      <alignment horizontal="center" wrapText="1"/>
      <protection locked="0"/>
    </xf>
    <xf numFmtId="0" fontId="23" fillId="0" borderId="8" xfId="271" applyBorder="1" applyAlignment="1" applyProtection="1">
      <alignment vertical="top" wrapText="1"/>
      <protection locked="0"/>
    </xf>
    <xf numFmtId="0" fontId="21" fillId="0" borderId="8" xfId="271" applyFont="1" applyBorder="1" applyAlignment="1" applyProtection="1">
      <alignment vertical="top" wrapText="1"/>
      <protection locked="0"/>
    </xf>
    <xf numFmtId="0" fontId="14" fillId="0" borderId="0" xfId="0" applyFont="1" applyAlignment="1">
      <alignment horizontal="center"/>
    </xf>
    <xf numFmtId="0" fontId="28" fillId="0" borderId="8" xfId="569" applyFont="1" applyBorder="1" applyAlignment="1">
      <alignment vertical="top" wrapText="1"/>
    </xf>
    <xf numFmtId="0" fontId="28" fillId="0" borderId="0" xfId="569" applyFont="1" applyAlignment="1">
      <alignment vertical="top" wrapText="1"/>
    </xf>
    <xf numFmtId="0" fontId="53" fillId="2" borderId="11" xfId="569" applyFont="1" applyFill="1" applyBorder="1" applyAlignment="1">
      <alignment horizontal="left" vertical="top" wrapText="1"/>
    </xf>
    <xf numFmtId="6" fontId="51" fillId="4" borderId="11" xfId="569" applyNumberFormat="1" applyFont="1" applyFill="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6" fontId="51" fillId="0" borderId="11" xfId="569" applyNumberFormat="1" applyFont="1" applyBorder="1" applyAlignment="1">
      <alignment vertical="top" wrapText="1"/>
    </xf>
    <xf numFmtId="6" fontId="51" fillId="5" borderId="11" xfId="569" applyNumberFormat="1" applyFont="1" applyFill="1" applyBorder="1" applyAlignment="1" applyProtection="1">
      <alignment vertical="top" wrapText="1"/>
      <protection locked="0"/>
    </xf>
    <xf numFmtId="6" fontId="51" fillId="6" borderId="11" xfId="569" applyNumberFormat="1" applyFont="1" applyFill="1" applyBorder="1" applyAlignment="1">
      <alignment horizontal="center" vertical="top" wrapText="1"/>
    </xf>
    <xf numFmtId="0" fontId="51" fillId="0" borderId="11" xfId="569" applyFont="1" applyBorder="1" applyAlignment="1">
      <alignment horizontal="right" vertical="top" wrapText="1"/>
    </xf>
    <xf numFmtId="0" fontId="52" fillId="0" borderId="11" xfId="569" applyFont="1" applyBorder="1" applyAlignment="1">
      <alignment horizontal="right" vertical="top" wrapText="1"/>
    </xf>
    <xf numFmtId="0" fontId="51" fillId="0" borderId="11" xfId="569" applyFont="1" applyBorder="1" applyAlignment="1">
      <alignment horizontal="right" vertical="top"/>
    </xf>
    <xf numFmtId="6" fontId="52" fillId="0" borderId="11" xfId="569" applyNumberFormat="1" applyFont="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0" fontId="17" fillId="0" borderId="11" xfId="569" applyFont="1" applyBorder="1" applyAlignment="1">
      <alignment horizontal="right" vertical="top" wrapText="1"/>
    </xf>
    <xf numFmtId="0" fontId="52" fillId="0" borderId="0" xfId="569" applyFont="1" applyAlignment="1">
      <alignment horizontal="left" vertical="top"/>
    </xf>
    <xf numFmtId="6" fontId="51" fillId="0" borderId="0" xfId="569" applyNumberFormat="1" applyFont="1" applyAlignment="1">
      <alignment horizontal="left" vertical="top"/>
    </xf>
    <xf numFmtId="0" fontId="104" fillId="0" borderId="0" xfId="569" applyFont="1" applyAlignment="1">
      <alignment horizontal="left" vertical="top"/>
    </xf>
    <xf numFmtId="6" fontId="51" fillId="0" borderId="0" xfId="569" applyNumberFormat="1" applyFont="1" applyAlignment="1">
      <alignment vertical="top" wrapText="1"/>
    </xf>
    <xf numFmtId="0" fontId="51" fillId="0" borderId="0" xfId="569" applyFont="1" applyAlignment="1">
      <alignment horizontal="left" vertical="top"/>
    </xf>
    <xf numFmtId="0" fontId="51" fillId="0" borderId="12" xfId="569" applyFont="1" applyBorder="1" applyAlignment="1">
      <alignment vertical="top" wrapText="1"/>
    </xf>
    <xf numFmtId="0" fontId="21" fillId="0" borderId="0" xfId="569" applyFont="1" applyAlignment="1">
      <alignment horizontal="left" vertical="top"/>
    </xf>
    <xf numFmtId="0" fontId="107" fillId="0" borderId="0" xfId="569" applyFont="1" applyAlignment="1">
      <alignment horizontal="left" vertical="top"/>
    </xf>
    <xf numFmtId="0" fontId="62" fillId="0" borderId="0" xfId="569" applyFont="1" applyAlignment="1">
      <alignment horizontal="left" vertical="center"/>
    </xf>
    <xf numFmtId="0" fontId="29" fillId="0" borderId="0" xfId="569" applyFont="1" applyAlignment="1">
      <alignment vertical="top" wrapText="1"/>
    </xf>
    <xf numFmtId="0" fontId="29" fillId="0" borderId="12" xfId="569" applyFont="1" applyBorder="1" applyAlignment="1">
      <alignment vertical="top" wrapText="1"/>
    </xf>
    <xf numFmtId="0" fontId="29" fillId="0" borderId="8" xfId="569" applyFont="1" applyBorder="1" applyAlignment="1">
      <alignment vertical="top" wrapText="1"/>
    </xf>
    <xf numFmtId="0" fontId="51" fillId="0" borderId="0" xfId="569" applyFont="1" applyAlignment="1">
      <alignment vertical="top"/>
    </xf>
    <xf numFmtId="168" fontId="51" fillId="0" borderId="0" xfId="569" applyNumberFormat="1" applyFont="1" applyAlignment="1" applyProtection="1">
      <alignment horizontal="right" vertical="top" wrapText="1"/>
      <protection locked="0"/>
    </xf>
    <xf numFmtId="0" fontId="14" fillId="0" borderId="0" xfId="569" applyAlignment="1">
      <alignment vertical="top" wrapText="1"/>
    </xf>
    <xf numFmtId="0" fontId="14" fillId="0" borderId="0" xfId="569" applyAlignment="1">
      <alignment vertical="top"/>
    </xf>
    <xf numFmtId="0" fontId="51" fillId="0" borderId="0" xfId="569" applyFont="1" applyAlignment="1">
      <alignment horizontal="right" vertical="top" wrapText="1"/>
    </xf>
    <xf numFmtId="0" fontId="21" fillId="0" borderId="0" xfId="569" applyFont="1" applyAlignment="1">
      <alignment horizontal="left" vertical="top" wrapText="1"/>
    </xf>
    <xf numFmtId="168" fontId="51" fillId="0" borderId="0" xfId="569" applyNumberFormat="1" applyFont="1" applyAlignment="1">
      <alignment horizontal="right" vertical="top" wrapText="1"/>
    </xf>
    <xf numFmtId="0" fontId="14" fillId="0" borderId="0" xfId="569" applyAlignment="1" applyProtection="1">
      <alignment horizontal="left" vertical="top" wrapText="1"/>
      <protection locked="0"/>
    </xf>
    <xf numFmtId="0" fontId="14" fillId="0" borderId="0" xfId="569" applyAlignment="1">
      <alignment horizontal="right" vertical="top" wrapText="1"/>
    </xf>
    <xf numFmtId="0" fontId="14" fillId="0" borderId="0" xfId="569" applyAlignment="1">
      <alignment horizontal="left" vertical="top"/>
    </xf>
    <xf numFmtId="0" fontId="79" fillId="0" borderId="0" xfId="569" applyFont="1" applyAlignment="1">
      <alignment vertical="top" wrapText="1"/>
    </xf>
    <xf numFmtId="0" fontId="79" fillId="0" borderId="12" xfId="569" applyFont="1" applyBorder="1" applyAlignment="1">
      <alignment vertical="top" wrapText="1"/>
    </xf>
    <xf numFmtId="0" fontId="79" fillId="0" borderId="8" xfId="569" applyFont="1" applyBorder="1" applyAlignment="1">
      <alignment vertical="top" wrapText="1"/>
    </xf>
    <xf numFmtId="0" fontId="28" fillId="0" borderId="0" xfId="569" applyFont="1" applyAlignment="1">
      <alignment horizontal="right" vertical="top" wrapText="1"/>
    </xf>
    <xf numFmtId="0" fontId="79" fillId="0" borderId="0" xfId="569" applyFont="1" applyAlignment="1">
      <alignment horizontal="right" vertical="top" wrapText="1"/>
    </xf>
    <xf numFmtId="0" fontId="52" fillId="0" borderId="3" xfId="569" applyFont="1" applyBorder="1" applyAlignment="1">
      <alignment horizontal="left"/>
    </xf>
    <xf numFmtId="0" fontId="52" fillId="0" borderId="13" xfId="569" applyFont="1" applyBorder="1" applyAlignment="1">
      <alignment horizontal="center" wrapText="1"/>
    </xf>
    <xf numFmtId="0" fontId="52" fillId="0" borderId="8" xfId="569" applyFont="1" applyBorder="1" applyAlignment="1">
      <alignment horizontal="center" wrapText="1"/>
    </xf>
    <xf numFmtId="0" fontId="52" fillId="0" borderId="0" xfId="569" applyFont="1" applyAlignment="1">
      <alignment horizontal="center" wrapText="1"/>
    </xf>
    <xf numFmtId="0" fontId="14" fillId="0" borderId="0" xfId="569"/>
    <xf numFmtId="0" fontId="20" fillId="0" borderId="0" xfId="569" applyFont="1" applyAlignment="1">
      <alignment horizontal="center" vertical="center"/>
    </xf>
    <xf numFmtId="0" fontId="21" fillId="0" borderId="0" xfId="569" applyFont="1"/>
    <xf numFmtId="0" fontId="14" fillId="0" borderId="1" xfId="569" applyBorder="1"/>
    <xf numFmtId="0" fontId="14" fillId="0" borderId="2" xfId="569" applyBorder="1"/>
    <xf numFmtId="0" fontId="14" fillId="0" borderId="8" xfId="569" applyBorder="1"/>
    <xf numFmtId="0" fontId="14" fillId="0" borderId="9" xfId="569" applyBorder="1"/>
    <xf numFmtId="0" fontId="14" fillId="0" borderId="6" xfId="569" applyBorder="1"/>
    <xf numFmtId="0" fontId="22" fillId="0" borderId="0" xfId="569" applyFont="1"/>
    <xf numFmtId="0" fontId="14" fillId="0" borderId="7" xfId="569" applyBorder="1"/>
    <xf numFmtId="0" fontId="14" fillId="0" borderId="12" xfId="569" applyBorder="1"/>
    <xf numFmtId="0" fontId="14" fillId="0" borderId="10" xfId="569" applyBorder="1"/>
    <xf numFmtId="0" fontId="22" fillId="0" borderId="0" xfId="569" applyFont="1" applyAlignment="1">
      <alignment vertical="top" wrapText="1"/>
    </xf>
    <xf numFmtId="0" fontId="14" fillId="0" borderId="0" xfId="569" applyAlignment="1">
      <alignment horizontal="right"/>
    </xf>
    <xf numFmtId="0" fontId="14" fillId="0" borderId="0" xfId="569" applyAlignment="1">
      <alignment wrapText="1"/>
    </xf>
    <xf numFmtId="0" fontId="14" fillId="0" borderId="0" xfId="569" applyAlignment="1">
      <alignment vertical="center"/>
    </xf>
    <xf numFmtId="0" fontId="38" fillId="0" borderId="0" xfId="569" applyFont="1" applyAlignment="1">
      <alignment vertical="center" wrapText="1"/>
    </xf>
    <xf numFmtId="0" fontId="32" fillId="0" borderId="0" xfId="569" applyFont="1" applyAlignment="1">
      <alignment vertical="top" wrapText="1"/>
    </xf>
    <xf numFmtId="0" fontId="21" fillId="0" borderId="0" xfId="569" applyFont="1" applyAlignment="1">
      <alignment vertical="top" wrapText="1"/>
    </xf>
    <xf numFmtId="0" fontId="22" fillId="0" borderId="0" xfId="569" applyFont="1" applyAlignment="1">
      <alignment horizontal="left" vertical="top" wrapText="1"/>
    </xf>
    <xf numFmtId="164" fontId="14" fillId="0" borderId="0" xfId="569" applyNumberFormat="1" applyAlignment="1">
      <alignment horizontal="right"/>
    </xf>
    <xf numFmtId="168" fontId="14" fillId="0" borderId="0" xfId="569" applyNumberFormat="1" applyAlignment="1">
      <alignment horizontal="right"/>
    </xf>
    <xf numFmtId="0" fontId="105" fillId="0" borderId="0" xfId="569" applyFont="1" applyAlignment="1">
      <alignment horizontal="left" vertical="top" wrapText="1"/>
    </xf>
    <xf numFmtId="168" fontId="14" fillId="0" borderId="0" xfId="569" applyNumberFormat="1" applyAlignment="1">
      <alignment wrapText="1"/>
    </xf>
    <xf numFmtId="0" fontId="19" fillId="0" borderId="11" xfId="253" applyFont="1" applyBorder="1" applyAlignment="1">
      <alignment horizontal="center" wrapText="1"/>
    </xf>
    <xf numFmtId="0" fontId="19" fillId="0" borderId="0" xfId="253" applyFont="1" applyAlignment="1">
      <alignment horizontal="center" wrapText="1"/>
    </xf>
    <xf numFmtId="3" fontId="19" fillId="0" borderId="11" xfId="271" applyNumberFormat="1" applyFont="1" applyBorder="1"/>
    <xf numFmtId="3" fontId="19" fillId="0" borderId="0" xfId="271" applyNumberFormat="1" applyFont="1"/>
    <xf numFmtId="0" fontId="63" fillId="0" borderId="0" xfId="271" applyFont="1" applyAlignment="1">
      <alignment horizontal="left"/>
    </xf>
    <xf numFmtId="0" fontId="63" fillId="0" borderId="0" xfId="271" applyFont="1" applyAlignment="1">
      <alignment horizontal="right"/>
    </xf>
    <xf numFmtId="168" fontId="19" fillId="0" borderId="11" xfId="271" applyNumberFormat="1" applyFont="1" applyBorder="1"/>
    <xf numFmtId="168" fontId="19" fillId="0" borderId="0" xfId="271" applyNumberFormat="1" applyFont="1"/>
    <xf numFmtId="0" fontId="19" fillId="0" borderId="0" xfId="271" applyFont="1"/>
    <xf numFmtId="0" fontId="51" fillId="0" borderId="0" xfId="569" applyFont="1" applyAlignment="1">
      <alignment horizontal="left"/>
    </xf>
    <xf numFmtId="0" fontId="14" fillId="0" borderId="3" xfId="569" applyBorder="1"/>
    <xf numFmtId="0" fontId="0" fillId="5" borderId="6" xfId="0" applyFill="1" applyBorder="1" applyProtection="1">
      <protection locked="0"/>
    </xf>
    <xf numFmtId="0" fontId="106" fillId="0" borderId="0" xfId="1834"/>
    <xf numFmtId="0" fontId="0" fillId="0" borderId="0" xfId="0" applyAlignment="1">
      <alignment horizontal="left" vertical="top"/>
    </xf>
    <xf numFmtId="0" fontId="105" fillId="0" borderId="0" xfId="0" applyFont="1" applyAlignment="1">
      <alignment vertical="top" wrapText="1"/>
    </xf>
    <xf numFmtId="0" fontId="51" fillId="0" borderId="0" xfId="271" applyFont="1" applyAlignment="1">
      <alignment vertical="top" wrapText="1"/>
    </xf>
    <xf numFmtId="4" fontId="14" fillId="0" borderId="0" xfId="1192" applyNumberFormat="1" applyAlignment="1">
      <alignment horizontal="left" vertical="top" wrapText="1"/>
    </xf>
    <xf numFmtId="0" fontId="14" fillId="0" borderId="0" xfId="0" applyFont="1" applyAlignment="1">
      <alignment horizontal="left" vertical="top" wrapText="1"/>
    </xf>
    <xf numFmtId="0" fontId="14" fillId="0" borderId="0" xfId="271" applyFont="1" applyAlignment="1">
      <alignment horizontal="left" vertical="top" wrapText="1"/>
    </xf>
    <xf numFmtId="0" fontId="21" fillId="0" borderId="12" xfId="543" applyFont="1" applyBorder="1" applyAlignment="1">
      <alignment horizontal="right"/>
    </xf>
    <xf numFmtId="0" fontId="33" fillId="0" borderId="0" xfId="543" applyFont="1" applyAlignment="1">
      <alignment horizontal="center"/>
    </xf>
    <xf numFmtId="4" fontId="14" fillId="0" borderId="0" xfId="569" applyNumberFormat="1" applyAlignment="1">
      <alignment horizontal="left"/>
    </xf>
    <xf numFmtId="0" fontId="14" fillId="0" borderId="0" xfId="569" applyAlignment="1">
      <alignment horizontal="left" vertical="top" wrapText="1"/>
    </xf>
    <xf numFmtId="0" fontId="14" fillId="0" borderId="0" xfId="569" applyAlignment="1">
      <alignment horizontal="left"/>
    </xf>
    <xf numFmtId="0" fontId="14" fillId="0" borderId="0" xfId="1192" applyAlignment="1">
      <alignment horizontal="left"/>
    </xf>
    <xf numFmtId="0" fontId="21" fillId="0" borderId="0" xfId="569" applyFont="1" applyAlignment="1">
      <alignment horizontal="left"/>
    </xf>
    <xf numFmtId="0" fontId="43" fillId="0" borderId="0" xfId="1192" applyFont="1"/>
    <xf numFmtId="0" fontId="51" fillId="0" borderId="11" xfId="0" applyFont="1" applyBorder="1" applyAlignment="1">
      <alignment horizontal="right" vertical="center"/>
    </xf>
    <xf numFmtId="0" fontId="14" fillId="0" borderId="0" xfId="1192" applyAlignment="1">
      <alignment horizontal="left" vertical="top" wrapText="1"/>
    </xf>
    <xf numFmtId="0" fontId="43" fillId="0" borderId="0" xfId="0" applyFont="1" applyAlignment="1">
      <alignment vertical="top" wrapText="1"/>
    </xf>
    <xf numFmtId="0" fontId="43" fillId="0" borderId="0" xfId="0" applyFont="1" applyAlignment="1">
      <alignment horizontal="left" vertical="top" wrapText="1"/>
    </xf>
    <xf numFmtId="6" fontId="52" fillId="0" borderId="0" xfId="569" applyNumberFormat="1" applyFont="1" applyAlignment="1">
      <alignment horizontal="right" vertical="top"/>
    </xf>
    <xf numFmtId="0" fontId="14" fillId="0" borderId="0" xfId="0" applyFont="1" applyAlignment="1">
      <alignment vertical="top" wrapText="1"/>
    </xf>
    <xf numFmtId="168" fontId="23" fillId="0" borderId="0" xfId="0" applyNumberFormat="1" applyFont="1" applyAlignment="1">
      <alignment horizontal="right"/>
    </xf>
    <xf numFmtId="168" fontId="23" fillId="0" borderId="28" xfId="540" applyNumberFormat="1" applyBorder="1" applyAlignment="1" applyProtection="1">
      <alignment horizontal="center"/>
    </xf>
    <xf numFmtId="168" fontId="23" fillId="0" borderId="29" xfId="540" applyNumberFormat="1" applyBorder="1" applyAlignment="1" applyProtection="1">
      <alignment horizontal="center"/>
    </xf>
    <xf numFmtId="168" fontId="23" fillId="0" borderId="30" xfId="540" applyNumberFormat="1" applyBorder="1" applyAlignment="1" applyProtection="1">
      <alignment horizontal="center"/>
    </xf>
    <xf numFmtId="168" fontId="23" fillId="0" borderId="31" xfId="540" applyNumberFormat="1" applyBorder="1" applyAlignment="1" applyProtection="1">
      <alignment horizontal="center"/>
    </xf>
    <xf numFmtId="168" fontId="23" fillId="0" borderId="32" xfId="540" applyNumberFormat="1" applyBorder="1" applyAlignment="1" applyProtection="1">
      <alignment horizontal="center"/>
    </xf>
    <xf numFmtId="168" fontId="23" fillId="0" borderId="33" xfId="540" applyNumberFormat="1" applyBorder="1" applyAlignment="1" applyProtection="1">
      <alignment horizontal="center"/>
    </xf>
    <xf numFmtId="168" fontId="23" fillId="0" borderId="34" xfId="540" applyNumberFormat="1" applyBorder="1" applyAlignment="1" applyProtection="1">
      <alignment horizontal="center"/>
    </xf>
    <xf numFmtId="168" fontId="23" fillId="0" borderId="35" xfId="540" applyNumberFormat="1" applyBorder="1" applyAlignment="1" applyProtection="1">
      <alignment horizontal="center"/>
    </xf>
    <xf numFmtId="168" fontId="23" fillId="0" borderId="36" xfId="540" applyNumberFormat="1" applyBorder="1" applyAlignment="1" applyProtection="1">
      <alignment horizontal="center"/>
    </xf>
    <xf numFmtId="168" fontId="23" fillId="0" borderId="37" xfId="540" applyNumberFormat="1" applyBorder="1" applyAlignment="1" applyProtection="1">
      <alignment horizontal="center"/>
    </xf>
    <xf numFmtId="168" fontId="23" fillId="0" borderId="38" xfId="540" applyNumberFormat="1" applyBorder="1" applyAlignment="1" applyProtection="1">
      <alignment horizontal="center"/>
    </xf>
    <xf numFmtId="168" fontId="23" fillId="0" borderId="39" xfId="540" applyNumberFormat="1" applyBorder="1" applyAlignment="1" applyProtection="1">
      <alignment horizontal="center"/>
    </xf>
    <xf numFmtId="168" fontId="23" fillId="0" borderId="40" xfId="540" applyNumberFormat="1" applyBorder="1" applyAlignment="1" applyProtection="1">
      <alignment horizontal="center"/>
    </xf>
    <xf numFmtId="168" fontId="23" fillId="0" borderId="0" xfId="540" applyNumberFormat="1" applyAlignment="1" applyProtection="1">
      <alignment horizontal="center"/>
    </xf>
    <xf numFmtId="168" fontId="23" fillId="0" borderId="14" xfId="540" applyNumberFormat="1" applyBorder="1" applyAlignment="1" applyProtection="1">
      <alignment horizontal="center"/>
    </xf>
    <xf numFmtId="168" fontId="23" fillId="0" borderId="41" xfId="540" applyNumberFormat="1" applyBorder="1" applyAlignment="1" applyProtection="1">
      <alignment horizontal="center"/>
    </xf>
    <xf numFmtId="168" fontId="23" fillId="0" borderId="42" xfId="540" applyNumberFormat="1" applyBorder="1" applyAlignment="1" applyProtection="1">
      <alignment horizontal="center"/>
    </xf>
    <xf numFmtId="168" fontId="23" fillId="0" borderId="43" xfId="540" applyNumberFormat="1" applyBorder="1" applyAlignment="1" applyProtection="1">
      <alignment horizontal="center"/>
    </xf>
    <xf numFmtId="168" fontId="23" fillId="0" borderId="44" xfId="540" applyNumberFormat="1" applyBorder="1" applyAlignment="1" applyProtection="1">
      <alignment horizontal="center"/>
    </xf>
    <xf numFmtId="0" fontId="14" fillId="0" borderId="0" xfId="1192"/>
    <xf numFmtId="0" fontId="14" fillId="0" borderId="0" xfId="0" applyFont="1" applyAlignment="1">
      <alignment wrapText="1"/>
    </xf>
    <xf numFmtId="0" fontId="43" fillId="0" borderId="0" xfId="0" applyFont="1" applyAlignment="1">
      <alignment horizontal="left" vertical="top"/>
    </xf>
    <xf numFmtId="0" fontId="43" fillId="0" borderId="0" xfId="0" applyFont="1" applyAlignment="1">
      <alignment vertical="top"/>
    </xf>
    <xf numFmtId="0" fontId="14" fillId="0" borderId="0" xfId="569" applyAlignment="1">
      <alignment horizontal="center"/>
    </xf>
    <xf numFmtId="0" fontId="32" fillId="0" borderId="0" xfId="569" applyFont="1" applyAlignment="1">
      <alignment horizontal="left"/>
    </xf>
    <xf numFmtId="0" fontId="32" fillId="0" borderId="0" xfId="569" applyFont="1" applyAlignment="1">
      <alignment horizontal="center"/>
    </xf>
    <xf numFmtId="49" fontId="21" fillId="0" borderId="0" xfId="569" applyNumberFormat="1" applyFont="1" applyAlignment="1">
      <alignment horizontal="center"/>
    </xf>
    <xf numFmtId="0" fontId="49" fillId="0" borderId="0" xfId="569" applyFont="1" applyAlignment="1">
      <alignment horizontal="center"/>
    </xf>
    <xf numFmtId="0" fontId="14" fillId="5" borderId="6" xfId="569" applyFill="1" applyBorder="1" applyProtection="1">
      <protection locked="0"/>
    </xf>
    <xf numFmtId="0" fontId="15" fillId="0" borderId="0" xfId="244" applyAlignment="1" applyProtection="1">
      <alignment horizontal="center"/>
    </xf>
    <xf numFmtId="49" fontId="14" fillId="0" borderId="0" xfId="569" applyNumberFormat="1" applyAlignment="1">
      <alignment horizontal="center"/>
    </xf>
    <xf numFmtId="0" fontId="14" fillId="0" borderId="0" xfId="569" applyAlignment="1">
      <alignment horizontal="center" vertical="center"/>
    </xf>
    <xf numFmtId="0" fontId="14" fillId="0" borderId="0" xfId="1192" applyAlignment="1">
      <alignment horizontal="center"/>
    </xf>
    <xf numFmtId="0" fontId="21" fillId="0" borderId="0" xfId="569" applyFont="1" applyAlignment="1">
      <alignment horizontal="center"/>
    </xf>
    <xf numFmtId="0" fontId="14" fillId="0" borderId="0" xfId="569" applyAlignment="1">
      <alignment horizontal="left" indent="4"/>
    </xf>
    <xf numFmtId="0" fontId="14" fillId="0" borderId="0" xfId="569" quotePrefix="1" applyAlignment="1">
      <alignment horizontal="left"/>
    </xf>
    <xf numFmtId="0" fontId="32" fillId="0" borderId="0" xfId="569" applyFont="1"/>
    <xf numFmtId="0" fontId="14" fillId="0" borderId="0" xfId="1192" applyAlignment="1" applyProtection="1">
      <alignment horizontal="left"/>
      <protection locked="0"/>
    </xf>
    <xf numFmtId="0" fontId="14" fillId="0" borderId="0" xfId="569" applyAlignment="1" applyProtection="1">
      <alignment horizontal="left"/>
      <protection locked="0"/>
    </xf>
    <xf numFmtId="49" fontId="14" fillId="0" borderId="0" xfId="1192" applyNumberFormat="1" applyAlignment="1">
      <alignment horizontal="center"/>
    </xf>
    <xf numFmtId="0" fontId="49" fillId="0" borderId="0" xfId="1192" applyFont="1" applyAlignment="1">
      <alignment horizontal="center"/>
    </xf>
    <xf numFmtId="0" fontId="21" fillId="0" borderId="0" xfId="1192" applyFont="1" applyAlignment="1">
      <alignment horizontal="left"/>
    </xf>
    <xf numFmtId="4" fontId="14" fillId="0" borderId="0" xfId="1192" applyNumberFormat="1" applyAlignment="1">
      <alignment horizontal="left"/>
    </xf>
    <xf numFmtId="0" fontId="21" fillId="0" borderId="0" xfId="569" quotePrefix="1" applyFont="1" applyAlignment="1">
      <alignment horizontal="center"/>
    </xf>
    <xf numFmtId="49" fontId="14" fillId="0" borderId="0" xfId="569" applyNumberFormat="1"/>
    <xf numFmtId="0" fontId="46" fillId="0" borderId="0" xfId="569" applyFont="1" applyAlignment="1">
      <alignment horizontal="left"/>
    </xf>
    <xf numFmtId="4" fontId="49" fillId="0" borderId="0" xfId="569" applyNumberFormat="1" applyFont="1" applyAlignment="1">
      <alignment horizontal="center"/>
    </xf>
    <xf numFmtId="4" fontId="14" fillId="0" borderId="0" xfId="569" applyNumberFormat="1" applyAlignment="1">
      <alignment horizontal="center"/>
    </xf>
    <xf numFmtId="4" fontId="14" fillId="0" borderId="0" xfId="569" applyNumberFormat="1"/>
    <xf numFmtId="0" fontId="44" fillId="0" borderId="0" xfId="569" applyFont="1" applyAlignment="1">
      <alignment horizontal="left"/>
    </xf>
    <xf numFmtId="0" fontId="15" fillId="0" borderId="0" xfId="244" applyNumberFormat="1" applyFill="1" applyAlignment="1" applyProtection="1">
      <alignment horizontal="left"/>
      <protection locked="0"/>
    </xf>
    <xf numFmtId="0" fontId="51" fillId="0" borderId="11" xfId="0" applyFont="1" applyBorder="1" applyAlignment="1" applyProtection="1">
      <alignment horizontal="right" vertical="top" wrapText="1"/>
      <protection locked="0"/>
    </xf>
    <xf numFmtId="168" fontId="54" fillId="44" borderId="11" xfId="0" applyNumberFormat="1" applyFont="1" applyFill="1" applyBorder="1" applyAlignment="1">
      <alignment vertical="top" wrapText="1"/>
    </xf>
    <xf numFmtId="0" fontId="14" fillId="0" borderId="11" xfId="271" applyFont="1" applyBorder="1" applyAlignment="1">
      <alignment horizontal="right" vertical="top" wrapText="1"/>
    </xf>
    <xf numFmtId="0" fontId="22" fillId="0" borderId="0" xfId="569" applyFont="1" applyAlignment="1">
      <alignment horizontal="left"/>
    </xf>
    <xf numFmtId="0" fontId="103" fillId="0" borderId="0" xfId="0" applyFont="1"/>
    <xf numFmtId="0" fontId="114" fillId="0" borderId="0" xfId="0" applyFont="1" applyAlignment="1">
      <alignment horizontal="left" vertical="top"/>
    </xf>
    <xf numFmtId="0" fontId="115" fillId="0" borderId="0" xfId="0" applyFont="1" applyAlignment="1">
      <alignment horizontal="left" vertical="top"/>
    </xf>
    <xf numFmtId="168" fontId="22" fillId="0" borderId="0" xfId="0" applyNumberFormat="1" applyFont="1" applyAlignment="1">
      <alignment horizontal="left" vertical="top" wrapText="1"/>
    </xf>
    <xf numFmtId="168" fontId="51" fillId="5" borderId="11" xfId="0" applyNumberFormat="1" applyFont="1" applyFill="1" applyBorder="1" applyAlignment="1">
      <alignment vertical="top" wrapText="1"/>
    </xf>
    <xf numFmtId="0" fontId="14" fillId="0" borderId="0" xfId="271" applyFont="1" applyAlignment="1">
      <alignment horizontal="left" vertical="top"/>
    </xf>
    <xf numFmtId="0" fontId="51" fillId="0" borderId="0" xfId="569" applyFont="1"/>
    <xf numFmtId="0" fontId="14" fillId="0" borderId="0" xfId="0" applyFont="1" applyAlignment="1">
      <alignment horizontal="left" vertical="top"/>
    </xf>
    <xf numFmtId="4" fontId="14" fillId="0" borderId="0" xfId="1192" applyNumberFormat="1" applyAlignment="1">
      <alignment vertical="top" wrapText="1"/>
    </xf>
    <xf numFmtId="0" fontId="21" fillId="0" borderId="16" xfId="271" applyFont="1" applyBorder="1"/>
    <xf numFmtId="0" fontId="58" fillId="0" borderId="0" xfId="569" applyFont="1"/>
    <xf numFmtId="0" fontId="38" fillId="0" borderId="0" xfId="569" applyFont="1"/>
    <xf numFmtId="0" fontId="14" fillId="0" borderId="0" xfId="1192" applyAlignment="1">
      <alignment vertical="top" wrapText="1"/>
    </xf>
    <xf numFmtId="49" fontId="14" fillId="0" borderId="0" xfId="1192" applyNumberFormat="1" applyAlignment="1">
      <alignment vertical="top" wrapText="1"/>
    </xf>
    <xf numFmtId="0" fontId="53" fillId="0" borderId="9" xfId="543" applyFont="1" applyBorder="1" applyAlignment="1">
      <alignment vertical="top"/>
    </xf>
    <xf numFmtId="0" fontId="14" fillId="0" borderId="0" xfId="0" applyFont="1" applyAlignment="1">
      <alignment vertical="center"/>
    </xf>
    <xf numFmtId="0" fontId="116" fillId="0" borderId="0" xfId="0" applyFont="1"/>
    <xf numFmtId="3" fontId="103" fillId="0" borderId="0" xfId="0" applyNumberFormat="1" applyFont="1"/>
    <xf numFmtId="0" fontId="103" fillId="0" borderId="0" xfId="0" applyFont="1" applyAlignment="1">
      <alignment horizontal="left"/>
    </xf>
    <xf numFmtId="168" fontId="117" fillId="0" borderId="0" xfId="0" applyNumberFormat="1" applyFont="1" applyAlignment="1">
      <alignment horizontal="left" vertical="top"/>
    </xf>
    <xf numFmtId="0" fontId="103" fillId="0" borderId="0" xfId="0" applyFont="1" applyAlignment="1">
      <alignment horizontal="left" vertical="center"/>
    </xf>
    <xf numFmtId="0" fontId="119" fillId="0" borderId="0" xfId="0" applyFont="1"/>
    <xf numFmtId="172" fontId="14" fillId="0" borderId="8" xfId="543" applyNumberFormat="1" applyBorder="1"/>
    <xf numFmtId="0" fontId="14" fillId="0" borderId="8" xfId="4495" applyFont="1" applyBorder="1"/>
    <xf numFmtId="0" fontId="14" fillId="0" borderId="0" xfId="4495" applyFont="1"/>
    <xf numFmtId="0" fontId="20" fillId="0" borderId="0" xfId="4495" applyFont="1" applyAlignment="1">
      <alignment horizontal="center" vertical="center"/>
    </xf>
    <xf numFmtId="0" fontId="21" fillId="0" borderId="0" xfId="4495" applyFont="1" applyAlignment="1">
      <alignment horizontal="left"/>
    </xf>
    <xf numFmtId="0" fontId="21" fillId="0" borderId="0" xfId="4495" applyFont="1"/>
    <xf numFmtId="0" fontId="24" fillId="0" borderId="0" xfId="4495" applyFont="1" applyAlignment="1">
      <alignment horizontal="center" vertical="center"/>
    </xf>
    <xf numFmtId="0" fontId="24" fillId="0" borderId="27" xfId="4495" applyFont="1" applyBorder="1" applyAlignment="1">
      <alignment horizontal="center" vertical="center"/>
    </xf>
    <xf numFmtId="0" fontId="24" fillId="0" borderId="46" xfId="4495" applyFont="1" applyBorder="1" applyAlignment="1">
      <alignment horizontal="center" vertical="center"/>
    </xf>
    <xf numFmtId="0" fontId="21" fillId="0" borderId="0" xfId="4495" applyFont="1" applyAlignment="1">
      <alignment horizontal="right"/>
    </xf>
    <xf numFmtId="0" fontId="32" fillId="0" borderId="0" xfId="4495" applyFont="1" applyAlignment="1">
      <alignment horizontal="left" vertical="center"/>
    </xf>
    <xf numFmtId="0" fontId="14" fillId="0" borderId="0" xfId="1192" quotePrefix="1" applyAlignment="1">
      <alignment horizontal="center"/>
    </xf>
    <xf numFmtId="0" fontId="44" fillId="0" borderId="0" xfId="4495" applyFont="1" applyAlignment="1">
      <alignment horizontal="left" vertical="center"/>
    </xf>
    <xf numFmtId="49" fontId="22" fillId="0" borderId="0" xfId="4495" applyNumberFormat="1" applyFont="1" applyAlignment="1">
      <alignment horizontal="left" vertical="top"/>
    </xf>
    <xf numFmtId="0" fontId="14" fillId="0" borderId="47" xfId="4495" applyFont="1" applyBorder="1" applyAlignment="1">
      <alignment horizontal="left" vertical="center"/>
    </xf>
    <xf numFmtId="0" fontId="24" fillId="0" borderId="48" xfId="4495" applyFont="1" applyBorder="1" applyAlignment="1">
      <alignment horizontal="center" vertical="center"/>
    </xf>
    <xf numFmtId="0" fontId="22" fillId="0" borderId="0" xfId="4495" applyFont="1"/>
    <xf numFmtId="0" fontId="22" fillId="0" borderId="0" xfId="4495" applyFont="1" applyAlignment="1">
      <alignment horizontal="left" vertical="top"/>
    </xf>
    <xf numFmtId="0" fontId="121" fillId="0" borderId="53" xfId="4496" applyFont="1" applyBorder="1" applyAlignment="1">
      <alignment horizontal="left" vertical="top"/>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4" fillId="0" borderId="0" xfId="4495" applyFont="1" applyAlignment="1">
      <alignment horizontal="left" vertical="center"/>
    </xf>
    <xf numFmtId="0" fontId="122" fillId="0" borderId="0" xfId="4496" applyFont="1" applyAlignment="1">
      <alignment vertical="center"/>
    </xf>
    <xf numFmtId="0" fontId="120" fillId="0" borderId="0" xfId="4496" applyFont="1"/>
    <xf numFmtId="0" fontId="120" fillId="0" borderId="0" xfId="4496" applyFont="1" applyAlignment="1">
      <alignment vertical="center"/>
    </xf>
    <xf numFmtId="0" fontId="123" fillId="0" borderId="0" xfId="4496" applyFont="1" applyAlignment="1">
      <alignment vertical="center"/>
    </xf>
    <xf numFmtId="0" fontId="14" fillId="0" borderId="0" xfId="4496" applyFont="1" applyAlignment="1">
      <alignment vertical="center"/>
    </xf>
    <xf numFmtId="0" fontId="22" fillId="0" borderId="3" xfId="4495" applyFont="1" applyBorder="1" applyAlignment="1">
      <alignment vertical="top" wrapText="1"/>
    </xf>
    <xf numFmtId="0" fontId="22" fillId="0" borderId="4" xfId="4495" applyFont="1" applyBorder="1" applyAlignment="1">
      <alignment vertical="top" wrapText="1"/>
    </xf>
    <xf numFmtId="164" fontId="118" fillId="0" borderId="4" xfId="4495" applyNumberFormat="1" applyBorder="1" applyAlignment="1">
      <alignment horizontal="right"/>
    </xf>
    <xf numFmtId="0" fontId="22" fillId="0" borderId="4" xfId="4495" applyFont="1" applyBorder="1"/>
    <xf numFmtId="0" fontId="21" fillId="0" borderId="5" xfId="4495" applyFont="1" applyBorder="1" applyAlignment="1">
      <alignment horizontal="right"/>
    </xf>
    <xf numFmtId="0" fontId="14" fillId="0" borderId="16" xfId="4495" applyFont="1" applyBorder="1"/>
    <xf numFmtId="0" fontId="14" fillId="0" borderId="16" xfId="4495" applyFont="1" applyBorder="1" applyAlignment="1">
      <alignment horizontal="left" vertical="top"/>
    </xf>
    <xf numFmtId="0" fontId="22" fillId="0" borderId="16" xfId="4495" applyFont="1" applyBorder="1" applyAlignment="1">
      <alignment horizontal="left" vertical="top" wrapText="1"/>
    </xf>
    <xf numFmtId="0" fontId="22" fillId="0" borderId="45" xfId="4495" applyFont="1" applyBorder="1" applyAlignment="1">
      <alignment horizontal="left" vertical="top" wrapText="1"/>
    </xf>
    <xf numFmtId="0" fontId="118" fillId="0" borderId="0" xfId="4495"/>
    <xf numFmtId="0" fontId="15" fillId="0" borderId="0" xfId="244" applyFill="1" applyBorder="1" applyAlignment="1" applyProtection="1">
      <alignment horizontal="left" vertical="top"/>
    </xf>
    <xf numFmtId="0" fontId="15" fillId="0" borderId="0" xfId="244" applyFill="1" applyBorder="1" applyAlignment="1" applyProtection="1">
      <alignment horizontal="left" vertical="top" wrapText="1"/>
    </xf>
    <xf numFmtId="0" fontId="22" fillId="0" borderId="0" xfId="4495" applyFont="1" applyAlignment="1">
      <alignment horizontal="left" vertical="top" wrapText="1"/>
    </xf>
    <xf numFmtId="0" fontId="22" fillId="0" borderId="0" xfId="4495" applyFont="1" applyAlignment="1">
      <alignment horizontal="right" vertical="top"/>
    </xf>
    <xf numFmtId="0" fontId="14" fillId="0" borderId="0" xfId="4495" applyFont="1" applyAlignment="1">
      <alignment vertical="center" wrapText="1"/>
    </xf>
    <xf numFmtId="0" fontId="120" fillId="0" borderId="53" xfId="4496" applyFont="1" applyBorder="1" applyAlignment="1">
      <alignment vertical="top" wrapText="1"/>
    </xf>
    <xf numFmtId="0" fontId="120" fillId="0" borderId="0" xfId="4496" applyFont="1" applyAlignment="1">
      <alignment vertical="top" wrapText="1"/>
    </xf>
    <xf numFmtId="10" fontId="120" fillId="0" borderId="0" xfId="4496" applyNumberFormat="1" applyFont="1" applyAlignment="1">
      <alignment vertical="top" wrapText="1"/>
    </xf>
    <xf numFmtId="0" fontId="120" fillId="0" borderId="54" xfId="4496" applyFont="1" applyBorder="1" applyAlignment="1">
      <alignment vertical="top" wrapText="1"/>
    </xf>
    <xf numFmtId="0" fontId="120" fillId="0" borderId="0" xfId="4496" applyFont="1" applyAlignment="1">
      <alignment vertical="top"/>
    </xf>
    <xf numFmtId="165" fontId="120" fillId="0" borderId="0" xfId="4496" applyNumberFormat="1" applyFont="1" applyAlignment="1">
      <alignment vertical="top" wrapText="1"/>
    </xf>
    <xf numFmtId="0" fontId="21" fillId="0" borderId="57" xfId="4495" applyFont="1" applyBorder="1"/>
    <xf numFmtId="0" fontId="21" fillId="0" borderId="58" xfId="4495" applyFont="1" applyBorder="1"/>
    <xf numFmtId="0" fontId="21" fillId="0" borderId="58" xfId="4495" applyFont="1" applyBorder="1" applyAlignment="1">
      <alignment horizontal="right"/>
    </xf>
    <xf numFmtId="0" fontId="21" fillId="0" borderId="59" xfId="4495" applyFont="1" applyBorder="1" applyAlignment="1">
      <alignment horizontal="right"/>
    </xf>
    <xf numFmtId="0" fontId="120" fillId="0" borderId="53" xfId="4496" applyFont="1" applyBorder="1" applyAlignment="1">
      <alignment horizontal="left" vertical="top" wrapText="1"/>
    </xf>
    <xf numFmtId="0" fontId="120" fillId="0" borderId="0" xfId="4496" applyFont="1" applyAlignment="1">
      <alignment horizontal="left" vertical="top"/>
    </xf>
    <xf numFmtId="0" fontId="24" fillId="0" borderId="57" xfId="4495" applyFont="1" applyBorder="1" applyAlignment="1">
      <alignment horizontal="center" vertical="center"/>
    </xf>
    <xf numFmtId="0" fontId="24" fillId="0" borderId="58" xfId="4495" applyFont="1" applyBorder="1" applyAlignment="1">
      <alignment horizontal="center" vertical="center"/>
    </xf>
    <xf numFmtId="0" fontId="24" fillId="0" borderId="59" xfId="4495" applyFont="1" applyBorder="1" applyAlignment="1">
      <alignment horizontal="center" vertical="center"/>
    </xf>
    <xf numFmtId="0" fontId="21" fillId="0" borderId="0" xfId="4495" applyFont="1" applyAlignment="1">
      <alignment horizontal="center"/>
    </xf>
    <xf numFmtId="0" fontId="21" fillId="0" borderId="8" xfId="4495" applyFont="1" applyBorder="1"/>
    <xf numFmtId="0" fontId="22" fillId="0" borderId="0" xfId="4495" applyFont="1" applyAlignment="1">
      <alignment horizontal="left"/>
    </xf>
    <xf numFmtId="0" fontId="21" fillId="0" borderId="0" xfId="4495" applyFont="1" applyAlignment="1">
      <alignment horizontal="center" vertical="top"/>
    </xf>
    <xf numFmtId="0" fontId="14" fillId="0" borderId="0" xfId="4495" applyFont="1" applyAlignment="1">
      <alignment horizontal="center"/>
    </xf>
    <xf numFmtId="0" fontId="30" fillId="0" borderId="0" xfId="4495" applyFont="1"/>
    <xf numFmtId="0" fontId="22" fillId="0" borderId="8" xfId="4495" applyFont="1" applyBorder="1"/>
    <xf numFmtId="0" fontId="51" fillId="0" borderId="8" xfId="4495" applyFont="1" applyBorder="1"/>
    <xf numFmtId="1" fontId="14" fillId="0" borderId="0" xfId="1192" applyNumberFormat="1"/>
    <xf numFmtId="0" fontId="14" fillId="0" borderId="3" xfId="4495" applyFont="1" applyBorder="1"/>
    <xf numFmtId="0" fontId="14" fillId="0" borderId="4" xfId="4495" applyFont="1" applyBorder="1"/>
    <xf numFmtId="0" fontId="14" fillId="0" borderId="0" xfId="1192" applyAlignment="1">
      <alignment wrapText="1"/>
    </xf>
    <xf numFmtId="0" fontId="22" fillId="0" borderId="0" xfId="4495" applyFont="1" applyAlignment="1">
      <alignment vertical="top" wrapText="1"/>
    </xf>
    <xf numFmtId="0" fontId="22" fillId="0" borderId="0" xfId="1192" applyFont="1"/>
    <xf numFmtId="0" fontId="14" fillId="0" borderId="0" xfId="4495" applyFont="1" applyAlignment="1">
      <alignment horizontal="left"/>
    </xf>
    <xf numFmtId="0" fontId="22" fillId="0" borderId="3" xfId="4495" applyFont="1" applyBorder="1"/>
    <xf numFmtId="0" fontId="14" fillId="0" borderId="4" xfId="4495" applyFont="1" applyBorder="1" applyAlignment="1">
      <alignment horizontal="right"/>
    </xf>
    <xf numFmtId="1" fontId="14" fillId="0" borderId="0" xfId="4495" applyNumberFormat="1" applyFont="1" applyAlignment="1">
      <alignment horizontal="center"/>
    </xf>
    <xf numFmtId="0" fontId="51" fillId="0" borderId="0" xfId="4495" applyFont="1"/>
    <xf numFmtId="0" fontId="14" fillId="0" borderId="0" xfId="4495" applyFont="1" applyAlignment="1">
      <alignment horizontal="right"/>
    </xf>
    <xf numFmtId="0" fontId="22" fillId="0" borderId="0" xfId="4495" applyFont="1" applyAlignment="1">
      <alignment vertical="top"/>
    </xf>
    <xf numFmtId="0" fontId="22" fillId="0" borderId="27" xfId="4495" applyFont="1" applyBorder="1"/>
    <xf numFmtId="0" fontId="21" fillId="0" borderId="0" xfId="4495" applyFont="1" applyAlignment="1">
      <alignment vertical="top"/>
    </xf>
    <xf numFmtId="0" fontId="32" fillId="0" borderId="0" xfId="4495" applyFont="1" applyAlignment="1">
      <alignment vertical="top" wrapText="1"/>
    </xf>
    <xf numFmtId="0" fontId="21" fillId="0" borderId="0" xfId="4495" applyFont="1" applyAlignment="1">
      <alignment horizontal="left" vertical="top" wrapText="1"/>
    </xf>
    <xf numFmtId="0" fontId="14" fillId="0" borderId="0" xfId="4495" applyFont="1" applyAlignment="1">
      <alignment horizontal="left" vertical="top"/>
    </xf>
    <xf numFmtId="0" fontId="32" fillId="0" borderId="0" xfId="4495" applyFont="1" applyAlignment="1">
      <alignment vertical="top"/>
    </xf>
    <xf numFmtId="0" fontId="14" fillId="0" borderId="10" xfId="4495" applyFont="1" applyBorder="1" applyAlignment="1">
      <alignment horizontal="center"/>
    </xf>
    <xf numFmtId="0" fontId="14" fillId="0" borderId="16" xfId="4495" applyFont="1" applyBorder="1" applyAlignment="1">
      <alignment horizontal="center"/>
    </xf>
    <xf numFmtId="0" fontId="30" fillId="0" borderId="16" xfId="4495" applyFont="1" applyBorder="1"/>
    <xf numFmtId="0" fontId="22" fillId="0" borderId="16" xfId="4495" applyFont="1" applyBorder="1"/>
    <xf numFmtId="0" fontId="14" fillId="0" borderId="0" xfId="4496" applyFont="1" applyAlignment="1">
      <alignment vertical="top" wrapText="1"/>
    </xf>
    <xf numFmtId="0" fontId="21" fillId="0" borderId="0" xfId="1192" applyFont="1" applyAlignment="1">
      <alignment horizontal="right"/>
    </xf>
    <xf numFmtId="0" fontId="14" fillId="0" borderId="0" xfId="4496" applyFont="1"/>
    <xf numFmtId="0" fontId="14" fillId="0" borderId="0" xfId="4496" applyFont="1" applyAlignment="1">
      <alignment horizontal="left"/>
    </xf>
    <xf numFmtId="0" fontId="14" fillId="0" borderId="0" xfId="4496" applyFont="1" applyAlignment="1">
      <alignment horizontal="right"/>
    </xf>
    <xf numFmtId="0" fontId="22" fillId="0" borderId="0" xfId="4496" applyFont="1" applyAlignment="1">
      <alignment vertical="top" wrapText="1"/>
    </xf>
    <xf numFmtId="0" fontId="14" fillId="0" borderId="4" xfId="4496" applyFont="1" applyBorder="1"/>
    <xf numFmtId="0" fontId="21" fillId="0" borderId="4" xfId="4496" applyFont="1" applyBorder="1" applyAlignment="1">
      <alignment horizontal="right"/>
    </xf>
    <xf numFmtId="0" fontId="22" fillId="0" borderId="27" xfId="4495" applyFont="1" applyBorder="1" applyAlignment="1">
      <alignment horizontal="left" vertical="top"/>
    </xf>
    <xf numFmtId="0" fontId="14" fillId="0" borderId="27" xfId="4495" applyFont="1" applyBorder="1" applyAlignment="1">
      <alignment horizontal="left" vertical="top"/>
    </xf>
    <xf numFmtId="0" fontId="21" fillId="0" borderId="27" xfId="4495" applyFont="1" applyBorder="1" applyAlignment="1">
      <alignment horizontal="right"/>
    </xf>
    <xf numFmtId="0" fontId="14" fillId="0" borderId="27" xfId="4495" applyFont="1" applyBorder="1" applyAlignment="1">
      <alignment horizontal="center"/>
    </xf>
    <xf numFmtId="0" fontId="14" fillId="0" borderId="46" xfId="4495" applyFont="1" applyBorder="1" applyAlignment="1">
      <alignment horizontal="center"/>
    </xf>
    <xf numFmtId="164" fontId="22" fillId="0" borderId="0" xfId="4495" applyNumberFormat="1" applyFont="1" applyAlignment="1">
      <alignment horizontal="left" vertical="top" wrapText="1"/>
    </xf>
    <xf numFmtId="0" fontId="25" fillId="0" borderId="0" xfId="4495" applyFont="1"/>
    <xf numFmtId="0" fontId="22" fillId="0" borderId="0" xfId="4495" applyFont="1" applyAlignment="1">
      <alignment horizontal="right"/>
    </xf>
    <xf numFmtId="0" fontId="14" fillId="0" borderId="27" xfId="543" applyBorder="1"/>
    <xf numFmtId="0" fontId="14" fillId="0" borderId="46" xfId="543" applyBorder="1"/>
    <xf numFmtId="0" fontId="21" fillId="0" borderId="0" xfId="4495" applyFont="1" applyAlignment="1">
      <alignment horizontal="left" vertical="top"/>
    </xf>
    <xf numFmtId="1" fontId="118" fillId="0" borderId="0" xfId="4495" applyNumberFormat="1"/>
    <xf numFmtId="0" fontId="14" fillId="0" borderId="0" xfId="4495" applyFont="1" applyAlignment="1">
      <alignment vertical="top" wrapText="1"/>
    </xf>
    <xf numFmtId="0" fontId="14" fillId="0" borderId="0" xfId="4495" applyFont="1" applyAlignment="1">
      <alignment horizontal="left" vertical="top" wrapText="1"/>
    </xf>
    <xf numFmtId="0" fontId="14" fillId="0" borderId="50" xfId="4495" applyFont="1" applyBorder="1" applyAlignment="1">
      <alignment vertical="top"/>
    </xf>
    <xf numFmtId="0" fontId="14" fillId="0" borderId="51" xfId="4495" applyFont="1" applyBorder="1" applyAlignment="1">
      <alignment vertical="top"/>
    </xf>
    <xf numFmtId="0" fontId="14" fillId="0" borderId="52" xfId="4495" applyFont="1" applyBorder="1" applyAlignment="1">
      <alignment vertical="top"/>
    </xf>
    <xf numFmtId="1" fontId="22" fillId="0" borderId="8" xfId="4495" applyNumberFormat="1" applyFont="1" applyBorder="1"/>
    <xf numFmtId="0" fontId="14" fillId="0" borderId="0" xfId="543" applyAlignment="1">
      <alignment vertical="top"/>
    </xf>
    <xf numFmtId="0" fontId="22" fillId="0" borderId="51" xfId="4495" applyFont="1" applyBorder="1" applyAlignment="1">
      <alignment horizontal="left" vertical="top"/>
    </xf>
    <xf numFmtId="0" fontId="22" fillId="0" borderId="52" xfId="4495" applyFont="1" applyBorder="1" applyAlignment="1">
      <alignment horizontal="left" vertical="top"/>
    </xf>
    <xf numFmtId="0" fontId="118" fillId="0" borderId="0" xfId="4495" applyAlignment="1" applyProtection="1">
      <alignment horizontal="center"/>
      <protection locked="0"/>
    </xf>
    <xf numFmtId="0" fontId="14" fillId="0" borderId="53" xfId="4495" applyFont="1" applyBorder="1" applyAlignment="1">
      <alignment vertical="top"/>
    </xf>
    <xf numFmtId="0" fontId="14" fillId="0" borderId="54" xfId="4495" applyFont="1" applyBorder="1" applyAlignment="1">
      <alignment vertical="top" wrapText="1"/>
    </xf>
    <xf numFmtId="0" fontId="59" fillId="0" borderId="53" xfId="4495" applyFont="1" applyBorder="1"/>
    <xf numFmtId="0" fontId="22" fillId="0" borderId="54" xfId="4495" applyFont="1" applyBorder="1" applyAlignment="1">
      <alignment horizontal="left" vertical="top"/>
    </xf>
    <xf numFmtId="0" fontId="14" fillId="0" borderId="53" xfId="4495" applyFont="1" applyBorder="1" applyAlignment="1">
      <alignment vertical="center" wrapText="1"/>
    </xf>
    <xf numFmtId="0" fontId="59" fillId="0" borderId="57" xfId="4495" applyFont="1" applyBorder="1"/>
    <xf numFmtId="0" fontId="22" fillId="0" borderId="58" xfId="4495" applyFont="1" applyBorder="1" applyAlignment="1">
      <alignment horizontal="left" vertical="top"/>
    </xf>
    <xf numFmtId="0" fontId="22" fillId="0" borderId="12" xfId="4495" applyFont="1" applyBorder="1"/>
    <xf numFmtId="0" fontId="14" fillId="0" borderId="57" xfId="4495" applyFont="1" applyBorder="1" applyAlignment="1">
      <alignment vertical="center"/>
    </xf>
    <xf numFmtId="0" fontId="14" fillId="0" borderId="58" xfId="4495" applyFont="1" applyBorder="1" applyAlignment="1">
      <alignment vertical="top"/>
    </xf>
    <xf numFmtId="0" fontId="14" fillId="0" borderId="59" xfId="4495" applyFont="1" applyBorder="1" applyAlignment="1">
      <alignment vertical="top"/>
    </xf>
    <xf numFmtId="0" fontId="14" fillId="0" borderId="0" xfId="4495" applyFont="1" applyAlignment="1">
      <alignment vertical="top"/>
    </xf>
    <xf numFmtId="0" fontId="22" fillId="0" borderId="4" xfId="4495" applyFont="1" applyBorder="1" applyAlignment="1">
      <alignment horizontal="left" vertical="top"/>
    </xf>
    <xf numFmtId="0" fontId="14" fillId="0" borderId="4" xfId="4495" applyFont="1" applyBorder="1" applyAlignment="1">
      <alignment horizontal="left" vertical="top"/>
    </xf>
    <xf numFmtId="0" fontId="14" fillId="0" borderId="2" xfId="4495" applyFont="1" applyBorder="1"/>
    <xf numFmtId="0" fontId="22" fillId="0" borderId="2" xfId="4495" applyFont="1" applyBorder="1"/>
    <xf numFmtId="0" fontId="14" fillId="0" borderId="2" xfId="4495" applyFont="1" applyBorder="1" applyAlignment="1">
      <alignment horizontal="center"/>
    </xf>
    <xf numFmtId="0" fontId="22" fillId="0" borderId="7" xfId="4495" applyFont="1" applyBorder="1"/>
    <xf numFmtId="0" fontId="30" fillId="0" borderId="0" xfId="4495" applyFont="1" applyAlignment="1">
      <alignment horizontal="right"/>
    </xf>
    <xf numFmtId="0" fontId="124" fillId="0" borderId="0" xfId="4495" applyFont="1" applyAlignment="1">
      <alignment horizontal="left" vertical="top" wrapText="1"/>
    </xf>
    <xf numFmtId="0" fontId="30" fillId="0" borderId="0" xfId="4495" applyFont="1" applyAlignment="1">
      <alignment horizontal="left" vertical="top"/>
    </xf>
    <xf numFmtId="0" fontId="22" fillId="0" borderId="0" xfId="4495" quotePrefix="1" applyFont="1" applyAlignment="1">
      <alignment horizontal="right"/>
    </xf>
    <xf numFmtId="0" fontId="14" fillId="0" borderId="0" xfId="4497"/>
    <xf numFmtId="0" fontId="22" fillId="0" borderId="0" xfId="4495" applyFont="1" applyAlignment="1">
      <alignment horizontal="left" vertical="top" wrapText="1" shrinkToFit="1"/>
    </xf>
    <xf numFmtId="0" fontId="118" fillId="0" borderId="0" xfId="4495" applyAlignment="1">
      <alignment vertical="top" wrapText="1"/>
    </xf>
    <xf numFmtId="0" fontId="22" fillId="0" borderId="4" xfId="4495" applyFont="1" applyBorder="1" applyAlignment="1">
      <alignment horizontal="left" vertical="top" wrapText="1" shrinkToFit="1"/>
    </xf>
    <xf numFmtId="0" fontId="30" fillId="0" borderId="8" xfId="4495" applyFont="1" applyBorder="1"/>
    <xf numFmtId="0" fontId="22" fillId="0" borderId="0" xfId="4495" applyFont="1" applyAlignment="1">
      <alignment horizontal="center"/>
    </xf>
    <xf numFmtId="0" fontId="22" fillId="0" borderId="0" xfId="4495" quotePrefix="1" applyFont="1"/>
    <xf numFmtId="0" fontId="22" fillId="0" borderId="0" xfId="4495" applyFont="1" applyAlignment="1">
      <alignment horizontal="left" vertical="top" shrinkToFit="1"/>
    </xf>
    <xf numFmtId="0" fontId="44" fillId="0" borderId="0" xfId="4495" applyFont="1"/>
    <xf numFmtId="0" fontId="22" fillId="0" borderId="3" xfId="4495" applyFont="1" applyBorder="1" applyAlignment="1">
      <alignment horizontal="center"/>
    </xf>
    <xf numFmtId="0" fontId="118" fillId="0" borderId="8" xfId="4495" applyBorder="1"/>
    <xf numFmtId="0" fontId="21" fillId="0" borderId="8" xfId="4495" applyFont="1" applyBorder="1" applyAlignment="1">
      <alignment vertical="top"/>
    </xf>
    <xf numFmtId="0" fontId="118" fillId="0" borderId="0" xfId="4495" applyAlignment="1">
      <alignment vertical="top"/>
    </xf>
    <xf numFmtId="0" fontId="21" fillId="0" borderId="4" xfId="4495" applyFont="1" applyBorder="1" applyAlignment="1">
      <alignment horizontal="center" vertical="top"/>
    </xf>
    <xf numFmtId="0" fontId="124" fillId="0" borderId="0" xfId="4495" applyFont="1" applyAlignment="1">
      <alignment horizontal="left" vertical="top"/>
    </xf>
    <xf numFmtId="0" fontId="124" fillId="0" borderId="4" xfId="4495" applyFont="1" applyBorder="1" applyAlignment="1">
      <alignment horizontal="left" vertical="top"/>
    </xf>
    <xf numFmtId="168" fontId="14" fillId="0" borderId="0" xfId="4497" applyNumberFormat="1"/>
    <xf numFmtId="1" fontId="22" fillId="0" borderId="0" xfId="4495" applyNumberFormat="1" applyFont="1" applyAlignment="1">
      <alignment horizontal="center" vertical="top"/>
    </xf>
    <xf numFmtId="0" fontId="128" fillId="0" borderId="0" xfId="4495" applyFont="1" applyAlignment="1">
      <alignment vertical="top" wrapText="1"/>
    </xf>
    <xf numFmtId="0" fontId="128" fillId="0" borderId="0" xfId="4495" applyFont="1" applyAlignment="1">
      <alignment horizontal="left" vertical="top" wrapText="1"/>
    </xf>
    <xf numFmtId="0" fontId="22" fillId="0" borderId="6" xfId="4495" applyFont="1" applyBorder="1"/>
    <xf numFmtId="1" fontId="22" fillId="0" borderId="8" xfId="4495" applyNumberFormat="1" applyFont="1" applyBorder="1" applyAlignment="1">
      <alignment horizontal="center" vertical="top"/>
    </xf>
    <xf numFmtId="0" fontId="118" fillId="0" borderId="12" xfId="4495" applyBorder="1"/>
    <xf numFmtId="0" fontId="22" fillId="0" borderId="9" xfId="4495" applyFont="1" applyBorder="1"/>
    <xf numFmtId="0" fontId="118" fillId="0" borderId="10" xfId="4495" applyBorder="1"/>
    <xf numFmtId="0" fontId="30" fillId="0" borderId="3" xfId="4495" applyFont="1" applyBorder="1"/>
    <xf numFmtId="0" fontId="21" fillId="0" borderId="4" xfId="4495" applyFont="1" applyBorder="1"/>
    <xf numFmtId="0" fontId="118" fillId="0" borderId="12" xfId="4495" applyBorder="1" applyAlignment="1">
      <alignment vertical="top"/>
    </xf>
    <xf numFmtId="0" fontId="30" fillId="0" borderId="1" xfId="4495" applyFont="1" applyBorder="1"/>
    <xf numFmtId="0" fontId="128" fillId="0" borderId="2" xfId="4495" applyFont="1" applyBorder="1" applyAlignment="1">
      <alignment horizontal="left" wrapText="1"/>
    </xf>
    <xf numFmtId="0" fontId="128" fillId="0" borderId="2" xfId="4495" applyFont="1" applyBorder="1" applyAlignment="1">
      <alignment horizontal="left"/>
    </xf>
    <xf numFmtId="0" fontId="128" fillId="0" borderId="7" xfId="4495" applyFont="1" applyBorder="1" applyAlignment="1">
      <alignment horizontal="left" wrapText="1"/>
    </xf>
    <xf numFmtId="0" fontId="128" fillId="0" borderId="0" xfId="4495" applyFont="1" applyAlignment="1">
      <alignment horizontal="left" wrapText="1"/>
    </xf>
    <xf numFmtId="0" fontId="30" fillId="0" borderId="9" xfId="4495" applyFont="1" applyBorder="1"/>
    <xf numFmtId="0" fontId="22" fillId="0" borderId="10" xfId="4495" applyFont="1" applyBorder="1"/>
    <xf numFmtId="0" fontId="128" fillId="0" borderId="0" xfId="4495" applyFont="1" applyAlignment="1">
      <alignment wrapText="1"/>
    </xf>
    <xf numFmtId="0" fontId="30" fillId="0" borderId="9" xfId="4495" applyFont="1" applyBorder="1" applyAlignment="1">
      <alignment horizontal="center"/>
    </xf>
    <xf numFmtId="0" fontId="21" fillId="0" borderId="10" xfId="4495" applyFont="1" applyBorder="1"/>
    <xf numFmtId="0" fontId="32" fillId="0" borderId="0" xfId="4495" applyFont="1"/>
    <xf numFmtId="0" fontId="22" fillId="0" borderId="50" xfId="4495" applyFont="1" applyBorder="1"/>
    <xf numFmtId="0" fontId="22" fillId="0" borderId="51" xfId="4495" applyFont="1" applyBorder="1"/>
    <xf numFmtId="1" fontId="22" fillId="0" borderId="51" xfId="4495" quotePrefix="1" applyNumberFormat="1" applyFont="1" applyBorder="1" applyAlignment="1">
      <alignment horizontal="center" vertical="top"/>
    </xf>
    <xf numFmtId="0" fontId="21" fillId="0" borderId="51" xfId="4495" applyFont="1" applyBorder="1"/>
    <xf numFmtId="0" fontId="21" fillId="0" borderId="52" xfId="4495" applyFont="1" applyBorder="1" applyAlignment="1">
      <alignment horizontal="center"/>
    </xf>
    <xf numFmtId="0" fontId="14" fillId="0" borderId="53" xfId="4495" applyFont="1" applyBorder="1"/>
    <xf numFmtId="1" fontId="22" fillId="0" borderId="0" xfId="4495" quotePrefix="1" applyNumberFormat="1" applyFont="1" applyAlignment="1">
      <alignment horizontal="center" vertical="top"/>
    </xf>
    <xf numFmtId="0" fontId="21" fillId="0" borderId="54" xfId="4495" applyFont="1" applyBorder="1" applyAlignment="1">
      <alignment horizontal="center"/>
    </xf>
    <xf numFmtId="0" fontId="30" fillId="0" borderId="0" xfId="4495" applyFont="1" applyAlignment="1">
      <alignment vertical="top"/>
    </xf>
    <xf numFmtId="0" fontId="22" fillId="0" borderId="61" xfId="4495" applyFont="1" applyBorder="1"/>
    <xf numFmtId="0" fontId="118" fillId="0" borderId="58" xfId="4495" applyBorder="1" applyAlignment="1">
      <alignment horizontal="center"/>
    </xf>
    <xf numFmtId="1" fontId="22" fillId="0" borderId="58" xfId="4495" quotePrefix="1" applyNumberFormat="1" applyFont="1" applyBorder="1" applyAlignment="1">
      <alignment horizontal="center" vertical="top"/>
    </xf>
    <xf numFmtId="0" fontId="30" fillId="0" borderId="58" xfId="4495" applyFont="1" applyBorder="1" applyAlignment="1">
      <alignment vertical="top"/>
    </xf>
    <xf numFmtId="0" fontId="22" fillId="0" borderId="58" xfId="4495" applyFont="1" applyBorder="1" applyAlignment="1">
      <alignment vertical="top" wrapText="1"/>
    </xf>
    <xf numFmtId="0" fontId="22" fillId="0" borderId="58" xfId="4495" applyFont="1" applyBorder="1"/>
    <xf numFmtId="0" fontId="21" fillId="0" borderId="58" xfId="4495" applyFont="1" applyBorder="1" applyAlignment="1">
      <alignment horizontal="center"/>
    </xf>
    <xf numFmtId="0" fontId="118" fillId="0" borderId="61" xfId="4495" applyBorder="1"/>
    <xf numFmtId="0" fontId="118" fillId="0" borderId="0" xfId="4495" applyAlignment="1">
      <alignment horizontal="center"/>
    </xf>
    <xf numFmtId="0" fontId="14" fillId="0" borderId="53" xfId="543" applyBorder="1"/>
    <xf numFmtId="0" fontId="22" fillId="0" borderId="54" xfId="4495" applyFont="1" applyBorder="1"/>
    <xf numFmtId="0" fontId="14" fillId="0" borderId="58" xfId="543" applyBorder="1"/>
    <xf numFmtId="1" fontId="22" fillId="0" borderId="58" xfId="4495" applyNumberFormat="1" applyFont="1" applyBorder="1" applyAlignment="1">
      <alignment horizontal="center" vertical="top"/>
    </xf>
    <xf numFmtId="0" fontId="30" fillId="0" borderId="58" xfId="4495" applyFont="1" applyBorder="1" applyAlignment="1">
      <alignment vertical="center"/>
    </xf>
    <xf numFmtId="0" fontId="118" fillId="0" borderId="58" xfId="4495" applyBorder="1" applyAlignment="1">
      <alignment vertical="top" wrapText="1"/>
    </xf>
    <xf numFmtId="0" fontId="14" fillId="0" borderId="58" xfId="4495" applyFont="1" applyBorder="1"/>
    <xf numFmtId="0" fontId="30" fillId="0" borderId="0" xfId="4495" applyFont="1" applyAlignment="1">
      <alignment vertical="center"/>
    </xf>
    <xf numFmtId="0" fontId="22" fillId="0" borderId="53" xfId="4495" applyFont="1" applyBorder="1"/>
    <xf numFmtId="0" fontId="14" fillId="0" borderId="57" xfId="543" applyBorder="1"/>
    <xf numFmtId="0" fontId="22" fillId="0" borderId="58" xfId="4495" applyFont="1" applyBorder="1" applyAlignment="1">
      <alignment vertical="top"/>
    </xf>
    <xf numFmtId="0" fontId="22" fillId="0" borderId="59" xfId="4495" applyFont="1" applyBorder="1"/>
    <xf numFmtId="0" fontId="22" fillId="0" borderId="57" xfId="4495" applyFont="1" applyBorder="1"/>
    <xf numFmtId="0" fontId="14" fillId="0" borderId="51" xfId="4495" applyFont="1" applyBorder="1"/>
    <xf numFmtId="0" fontId="22" fillId="0" borderId="52" xfId="4495" applyFont="1" applyBorder="1"/>
    <xf numFmtId="0" fontId="14" fillId="0" borderId="50" xfId="543" applyBorder="1"/>
    <xf numFmtId="0" fontId="14" fillId="0" borderId="51" xfId="543" applyBorder="1"/>
    <xf numFmtId="0" fontId="14" fillId="0" borderId="52" xfId="543" applyBorder="1"/>
    <xf numFmtId="0" fontId="22" fillId="0" borderId="0" xfId="4495" applyFont="1" applyAlignment="1">
      <alignment wrapText="1"/>
    </xf>
    <xf numFmtId="0" fontId="21" fillId="0" borderId="54" xfId="4495" applyFont="1" applyBorder="1" applyAlignment="1">
      <alignment horizontal="center" vertical="top"/>
    </xf>
    <xf numFmtId="0" fontId="118" fillId="0" borderId="53" xfId="4495" applyBorder="1" applyAlignment="1">
      <alignment horizontal="center"/>
    </xf>
    <xf numFmtId="2" fontId="22" fillId="0" borderId="0" xfId="4495" applyNumberFormat="1" applyFont="1" applyAlignment="1">
      <alignment horizontal="right"/>
    </xf>
    <xf numFmtId="2" fontId="22" fillId="0" borderId="8" xfId="4495" applyNumberFormat="1" applyFont="1" applyBorder="1" applyAlignment="1">
      <alignment horizontal="left"/>
    </xf>
    <xf numFmtId="0" fontId="22" fillId="0" borderId="8" xfId="4495" applyFont="1" applyBorder="1" applyAlignment="1">
      <alignment horizontal="right"/>
    </xf>
    <xf numFmtId="0" fontId="127" fillId="0" borderId="0" xfId="4495" applyFont="1"/>
    <xf numFmtId="0" fontId="118" fillId="0" borderId="57" xfId="4495" applyBorder="1" applyAlignment="1">
      <alignment horizontal="center"/>
    </xf>
    <xf numFmtId="0" fontId="21" fillId="0" borderId="59" xfId="4495" applyFont="1" applyBorder="1" applyAlignment="1">
      <alignment horizontal="center"/>
    </xf>
    <xf numFmtId="9" fontId="22" fillId="0" borderId="0" xfId="4495" applyNumberFormat="1" applyFont="1" applyAlignment="1">
      <alignment horizontal="left"/>
    </xf>
    <xf numFmtId="0" fontId="14" fillId="0" borderId="17" xfId="543" applyBorder="1"/>
    <xf numFmtId="0" fontId="14" fillId="0" borderId="16" xfId="543" applyBorder="1"/>
    <xf numFmtId="0" fontId="14" fillId="0" borderId="51" xfId="4495" quotePrefix="1" applyFont="1" applyBorder="1" applyAlignment="1">
      <alignment horizontal="center" vertical="top"/>
    </xf>
    <xf numFmtId="0" fontId="22" fillId="0" borderId="53" xfId="4495" applyFont="1" applyBorder="1" applyAlignment="1">
      <alignment horizontal="left" vertical="top"/>
    </xf>
    <xf numFmtId="0" fontId="22" fillId="0" borderId="0" xfId="4495" applyFont="1" applyAlignment="1">
      <alignment horizontal="center" vertical="top"/>
    </xf>
    <xf numFmtId="0" fontId="22" fillId="0" borderId="57" xfId="4495" applyFont="1" applyBorder="1" applyAlignment="1">
      <alignment horizontal="left" vertical="top"/>
    </xf>
    <xf numFmtId="0" fontId="22" fillId="0" borderId="58" xfId="4495" applyFont="1" applyBorder="1" applyAlignment="1">
      <alignment horizontal="center" vertical="top"/>
    </xf>
    <xf numFmtId="0" fontId="118" fillId="0" borderId="58" xfId="4495" applyBorder="1"/>
    <xf numFmtId="0" fontId="21" fillId="0" borderId="58" xfId="4495" applyFont="1" applyBorder="1" applyAlignment="1">
      <alignment vertical="top"/>
    </xf>
    <xf numFmtId="0" fontId="21" fillId="0" borderId="58" xfId="4495" applyFont="1" applyBorder="1" applyAlignment="1">
      <alignment horizontal="left" vertical="top"/>
    </xf>
    <xf numFmtId="0" fontId="21" fillId="0" borderId="51" xfId="4495" applyFont="1" applyBorder="1" applyAlignment="1">
      <alignment horizontal="left" vertical="top"/>
    </xf>
    <xf numFmtId="0" fontId="21" fillId="0" borderId="53" xfId="4495" applyFont="1" applyBorder="1" applyAlignment="1">
      <alignment horizontal="left" vertical="top"/>
    </xf>
    <xf numFmtId="0" fontId="51" fillId="0" borderId="0" xfId="4495" applyFont="1" applyAlignment="1">
      <alignment horizontal="left" vertical="top"/>
    </xf>
    <xf numFmtId="0" fontId="22" fillId="0" borderId="0" xfId="4495" quotePrefix="1" applyFont="1" applyAlignment="1">
      <alignment horizontal="center" vertical="top"/>
    </xf>
    <xf numFmtId="0" fontId="52" fillId="0" borderId="0" xfId="4495" applyFont="1" applyAlignment="1">
      <alignment horizontal="center"/>
    </xf>
    <xf numFmtId="0" fontId="52" fillId="0" borderId="0" xfId="4495" applyFont="1" applyAlignment="1">
      <alignment vertical="top"/>
    </xf>
    <xf numFmtId="0" fontId="105" fillId="0" borderId="0" xfId="4495" applyFont="1"/>
    <xf numFmtId="0" fontId="51" fillId="0" borderId="0" xfId="4495" applyFont="1" applyAlignment="1">
      <alignment vertical="top"/>
    </xf>
    <xf numFmtId="0" fontId="30" fillId="0" borderId="53" xfId="4495" applyFont="1" applyBorder="1"/>
    <xf numFmtId="2" fontId="22" fillId="0" borderId="8" xfId="4495" applyNumberFormat="1" applyFont="1" applyBorder="1" applyAlignment="1">
      <alignment horizontal="right"/>
    </xf>
    <xf numFmtId="0" fontId="21" fillId="0" borderId="50" xfId="4495" applyFont="1" applyBorder="1" applyAlignment="1">
      <alignment horizontal="left" vertical="top"/>
    </xf>
    <xf numFmtId="0" fontId="51" fillId="0" borderId="51" xfId="4495" applyFont="1" applyBorder="1" applyAlignment="1">
      <alignment horizontal="left" vertical="top"/>
    </xf>
    <xf numFmtId="0" fontId="118" fillId="0" borderId="53" xfId="4495" applyBorder="1"/>
    <xf numFmtId="0" fontId="105" fillId="0" borderId="0" xfId="4495" applyFont="1" applyAlignment="1">
      <alignment horizontal="left" vertical="top"/>
    </xf>
    <xf numFmtId="1" fontId="21" fillId="0" borderId="58" xfId="4495" applyNumberFormat="1" applyFont="1" applyBorder="1" applyAlignment="1">
      <alignment vertical="top"/>
    </xf>
    <xf numFmtId="172" fontId="21" fillId="0" borderId="8" xfId="543" applyNumberFormat="1" applyFont="1" applyBorder="1"/>
    <xf numFmtId="172" fontId="21" fillId="0" borderId="0" xfId="543" applyNumberFormat="1" applyFont="1"/>
    <xf numFmtId="0" fontId="30" fillId="0" borderId="0" xfId="4495" applyFont="1" applyAlignment="1">
      <alignment wrapText="1"/>
    </xf>
    <xf numFmtId="0" fontId="30" fillId="0" borderId="0" xfId="4495" applyFont="1" applyAlignment="1">
      <alignment horizontal="center"/>
    </xf>
    <xf numFmtId="0" fontId="30" fillId="0" borderId="0" xfId="4495" applyFont="1" applyAlignment="1">
      <alignment vertical="center" wrapText="1"/>
    </xf>
    <xf numFmtId="180" fontId="22" fillId="0" borderId="0" xfId="4495" applyNumberFormat="1" applyFont="1" applyAlignment="1">
      <alignment horizontal="center"/>
    </xf>
    <xf numFmtId="1" fontId="22" fillId="0" borderId="0" xfId="4495" applyNumberFormat="1" applyFont="1" applyAlignment="1">
      <alignment horizontal="center"/>
    </xf>
    <xf numFmtId="0" fontId="21" fillId="0" borderId="51" xfId="4495" applyFont="1" applyBorder="1" applyAlignment="1">
      <alignment horizontal="center"/>
    </xf>
    <xf numFmtId="0" fontId="21" fillId="0" borderId="51" xfId="4495" applyFont="1" applyBorder="1" applyAlignment="1">
      <alignment vertical="top"/>
    </xf>
    <xf numFmtId="0" fontId="21" fillId="0" borderId="53" xfId="4495" applyFont="1" applyBorder="1"/>
    <xf numFmtId="0" fontId="14" fillId="0" borderId="54" xfId="543" applyBorder="1"/>
    <xf numFmtId="49" fontId="22" fillId="0" borderId="0" xfId="4495" applyNumberFormat="1" applyFont="1" applyAlignment="1">
      <alignment horizontal="left" vertical="center" wrapText="1"/>
    </xf>
    <xf numFmtId="0" fontId="14" fillId="0" borderId="57" xfId="4495" applyFont="1" applyBorder="1"/>
    <xf numFmtId="1" fontId="14" fillId="0" borderId="0" xfId="4495" applyNumberFormat="1" applyFont="1" applyAlignment="1">
      <alignment vertical="center"/>
    </xf>
    <xf numFmtId="0" fontId="32" fillId="0" borderId="50" xfId="4495" applyFont="1" applyBorder="1"/>
    <xf numFmtId="0" fontId="22" fillId="0" borderId="51" xfId="4495" applyFont="1" applyBorder="1" applyAlignment="1">
      <alignment horizontal="center" vertical="top"/>
    </xf>
    <xf numFmtId="0" fontId="22" fillId="0" borderId="51" xfId="4495" applyFont="1" applyBorder="1" applyAlignment="1">
      <alignment vertical="top" wrapText="1"/>
    </xf>
    <xf numFmtId="0" fontId="22" fillId="0" borderId="51" xfId="4495" applyFont="1" applyBorder="1" applyAlignment="1">
      <alignment horizontal="left" vertical="top" wrapText="1"/>
    </xf>
    <xf numFmtId="0" fontId="14" fillId="0" borderId="0" xfId="4495" quotePrefix="1" applyFont="1" applyAlignment="1">
      <alignment horizontal="center" vertical="top"/>
    </xf>
    <xf numFmtId="1" fontId="22" fillId="0" borderId="0" xfId="4495" quotePrefix="1" applyNumberFormat="1" applyFont="1" applyAlignment="1">
      <alignment wrapText="1"/>
    </xf>
    <xf numFmtId="0" fontId="22" fillId="0" borderId="6" xfId="4495" applyFont="1" applyBorder="1" applyAlignment="1">
      <alignment horizontal="right"/>
    </xf>
    <xf numFmtId="0" fontId="120" fillId="0" borderId="0" xfId="4496" applyFont="1" applyAlignment="1">
      <alignment wrapText="1"/>
    </xf>
    <xf numFmtId="0" fontId="14" fillId="0" borderId="0" xfId="4496" applyFont="1" applyAlignment="1">
      <alignment wrapText="1"/>
    </xf>
    <xf numFmtId="0" fontId="30" fillId="0" borderId="51" xfId="4495" applyFont="1" applyBorder="1" applyAlignment="1">
      <alignment vertical="top"/>
    </xf>
    <xf numFmtId="0" fontId="14" fillId="0" borderId="51" xfId="4496" applyFont="1" applyBorder="1" applyAlignment="1">
      <alignment wrapText="1"/>
    </xf>
    <xf numFmtId="0" fontId="21" fillId="0" borderId="51" xfId="4495" applyFont="1" applyBorder="1" applyAlignment="1">
      <alignment horizontal="right"/>
    </xf>
    <xf numFmtId="0" fontId="14" fillId="0" borderId="52" xfId="4495" applyFont="1" applyBorder="1" applyAlignment="1">
      <alignment horizontal="center"/>
    </xf>
    <xf numFmtId="0" fontId="14" fillId="0" borderId="53" xfId="4495" applyFont="1" applyBorder="1" applyAlignment="1">
      <alignment horizontal="left" vertical="top"/>
    </xf>
    <xf numFmtId="0" fontId="14" fillId="0" borderId="54" xfId="4495" applyFont="1" applyBorder="1" applyAlignment="1">
      <alignment horizontal="left" vertical="top"/>
    </xf>
    <xf numFmtId="0" fontId="14" fillId="0" borderId="54" xfId="4495" applyFont="1" applyBorder="1" applyAlignment="1">
      <alignment horizontal="center"/>
    </xf>
    <xf numFmtId="0" fontId="14" fillId="0" borderId="59" xfId="4495" applyFont="1" applyBorder="1" applyAlignment="1">
      <alignment horizontal="center"/>
    </xf>
    <xf numFmtId="9" fontId="14" fillId="0" borderId="0" xfId="4496" applyNumberFormat="1" applyFont="1" applyAlignment="1">
      <alignment horizontal="center"/>
    </xf>
    <xf numFmtId="1" fontId="14" fillId="0" borderId="0" xfId="543" applyNumberFormat="1"/>
    <xf numFmtId="0" fontId="22" fillId="0" borderId="1" xfId="4495" applyFont="1" applyBorder="1"/>
    <xf numFmtId="0" fontId="21" fillId="0" borderId="0" xfId="4495" applyFont="1" applyAlignment="1">
      <alignment horizontal="center" wrapText="1"/>
    </xf>
    <xf numFmtId="0" fontId="21" fillId="0" borderId="9" xfId="4495" applyFont="1" applyBorder="1" applyAlignment="1">
      <alignment horizontal="left"/>
    </xf>
    <xf numFmtId="0" fontId="21" fillId="0" borderId="3" xfId="4495" applyFont="1" applyBorder="1" applyAlignment="1">
      <alignment horizontal="left"/>
    </xf>
    <xf numFmtId="0" fontId="21" fillId="0" borderId="4" xfId="4495" applyFont="1" applyBorder="1" applyAlignment="1">
      <alignment horizontal="left"/>
    </xf>
    <xf numFmtId="0" fontId="14" fillId="0" borderId="2" xfId="4495" applyFont="1" applyBorder="1" applyAlignment="1">
      <alignment horizontal="left"/>
    </xf>
    <xf numFmtId="0" fontId="21" fillId="0" borderId="2" xfId="4495" applyFont="1" applyBorder="1" applyAlignment="1">
      <alignment horizontal="left"/>
    </xf>
    <xf numFmtId="0" fontId="21" fillId="0" borderId="5" xfId="4495" applyFont="1" applyBorder="1" applyAlignment="1">
      <alignment horizontal="left"/>
    </xf>
    <xf numFmtId="180" fontId="62" fillId="0" borderId="0" xfId="4495" applyNumberFormat="1" applyFont="1" applyAlignment="1">
      <alignment horizontal="center" vertical="center"/>
    </xf>
    <xf numFmtId="0" fontId="14" fillId="0" borderId="12" xfId="4495" applyFont="1" applyBorder="1" applyAlignment="1">
      <alignment vertical="top"/>
    </xf>
    <xf numFmtId="0" fontId="44" fillId="0" borderId="0" xfId="4495" applyFont="1" applyAlignment="1">
      <alignment vertical="top" wrapText="1"/>
    </xf>
    <xf numFmtId="0" fontId="14" fillId="0" borderId="51" xfId="4495" applyFont="1" applyBorder="1" applyAlignment="1">
      <alignment horizontal="left" vertical="top" wrapText="1"/>
    </xf>
    <xf numFmtId="0" fontId="14" fillId="0" borderId="51" xfId="4495" applyFont="1" applyBorder="1" applyAlignment="1">
      <alignment horizontal="right"/>
    </xf>
    <xf numFmtId="0" fontId="14" fillId="0" borderId="52" xfId="4495" applyFont="1" applyBorder="1" applyAlignment="1">
      <alignment horizontal="right"/>
    </xf>
    <xf numFmtId="0" fontId="14" fillId="0" borderId="54" xfId="4495" applyFont="1" applyBorder="1" applyAlignment="1">
      <alignment horizontal="right"/>
    </xf>
    <xf numFmtId="0" fontId="14" fillId="0" borderId="58" xfId="4495" applyFont="1" applyBorder="1" applyAlignment="1">
      <alignment horizontal="left" vertical="top" wrapText="1"/>
    </xf>
    <xf numFmtId="0" fontId="14" fillId="0" borderId="58" xfId="4495" applyFont="1" applyBorder="1" applyAlignment="1">
      <alignment horizontal="right"/>
    </xf>
    <xf numFmtId="0" fontId="14" fillId="0" borderId="59" xfId="4495" applyFont="1" applyBorder="1" applyAlignment="1">
      <alignment horizontal="right"/>
    </xf>
    <xf numFmtId="0" fontId="44" fillId="0" borderId="0" xfId="4495" applyFont="1" applyAlignment="1">
      <alignment horizontal="left" vertical="top" wrapText="1"/>
    </xf>
    <xf numFmtId="0" fontId="14" fillId="0" borderId="0" xfId="1192" applyAlignment="1">
      <alignment horizontal="left" vertical="top"/>
    </xf>
    <xf numFmtId="0" fontId="32" fillId="0" borderId="0" xfId="1192" applyFont="1" applyAlignment="1">
      <alignment horizontal="left" vertical="top"/>
    </xf>
    <xf numFmtId="0" fontId="14" fillId="0" borderId="0" xfId="1192" applyAlignment="1">
      <alignment vertical="top"/>
    </xf>
    <xf numFmtId="168" fontId="14" fillId="0" borderId="0" xfId="1192" applyNumberFormat="1"/>
    <xf numFmtId="165" fontId="14" fillId="0" borderId="0" xfId="1192" applyNumberFormat="1"/>
    <xf numFmtId="165" fontId="14" fillId="0" borderId="0" xfId="1192" applyNumberFormat="1" applyAlignment="1">
      <alignment horizontal="right"/>
    </xf>
    <xf numFmtId="2" fontId="14" fillId="0" borderId="0" xfId="1192" applyNumberFormat="1"/>
    <xf numFmtId="6" fontId="14" fillId="0" borderId="0" xfId="1192" applyNumberFormat="1"/>
    <xf numFmtId="0" fontId="21" fillId="0" borderId="0" xfId="1192" applyFont="1"/>
    <xf numFmtId="0" fontId="44" fillId="0" borderId="0" xfId="1192" applyFont="1"/>
    <xf numFmtId="168" fontId="14" fillId="0" borderId="0" xfId="4495" applyNumberFormat="1" applyFont="1"/>
    <xf numFmtId="0" fontId="21" fillId="0" borderId="0" xfId="1192" applyFont="1" applyAlignment="1">
      <alignment vertical="center"/>
    </xf>
    <xf numFmtId="0" fontId="116" fillId="0" borderId="0" xfId="1192" applyFont="1" applyAlignment="1">
      <alignment horizontal="left"/>
    </xf>
    <xf numFmtId="0" fontId="113" fillId="0" borderId="0" xfId="1192" applyFont="1" applyAlignment="1">
      <alignment horizontal="left"/>
    </xf>
    <xf numFmtId="0" fontId="113" fillId="0" borderId="0" xfId="1192" applyFont="1" applyAlignment="1">
      <alignment horizontal="center"/>
    </xf>
    <xf numFmtId="168" fontId="14" fillId="0" borderId="0" xfId="1192" applyNumberFormat="1" applyAlignment="1">
      <alignment horizontal="center"/>
    </xf>
    <xf numFmtId="9" fontId="14" fillId="0" borderId="0" xfId="1192" applyNumberFormat="1"/>
    <xf numFmtId="0" fontId="14" fillId="0" borderId="0" xfId="1192" applyAlignment="1">
      <alignment horizontal="right"/>
    </xf>
    <xf numFmtId="0" fontId="14" fillId="0" borderId="53" xfId="4495" applyFont="1" applyBorder="1" applyAlignment="1">
      <alignment horizontal="left"/>
    </xf>
    <xf numFmtId="6" fontId="21" fillId="0" borderId="0" xfId="1192" applyNumberFormat="1" applyFont="1" applyAlignment="1">
      <alignment horizontal="right"/>
    </xf>
    <xf numFmtId="165" fontId="14" fillId="0" borderId="0" xfId="4495" applyNumberFormat="1" applyFont="1"/>
    <xf numFmtId="0" fontId="52" fillId="0" borderId="4" xfId="4495" applyFont="1" applyBorder="1"/>
    <xf numFmtId="0" fontId="34" fillId="0" borderId="0" xfId="543" applyFont="1" applyAlignment="1">
      <alignment vertical="center" wrapText="1"/>
    </xf>
    <xf numFmtId="1" fontId="21" fillId="0" borderId="13" xfId="271" applyNumberFormat="1" applyFont="1" applyBorder="1"/>
    <xf numFmtId="1" fontId="23" fillId="0" borderId="13" xfId="271" applyNumberFormat="1" applyBorder="1"/>
    <xf numFmtId="0" fontId="14" fillId="0" borderId="11" xfId="0" applyFont="1" applyBorder="1"/>
    <xf numFmtId="9" fontId="14" fillId="0" borderId="0" xfId="4495" applyNumberFormat="1" applyFont="1"/>
    <xf numFmtId="165" fontId="120" fillId="0" borderId="0" xfId="4496" applyNumberFormat="1" applyFont="1" applyAlignment="1">
      <alignment horizontal="center" vertical="top" wrapText="1"/>
    </xf>
    <xf numFmtId="168" fontId="120" fillId="0" borderId="0" xfId="4496" applyNumberFormat="1" applyFont="1" applyAlignment="1">
      <alignment vertical="top" wrapText="1"/>
    </xf>
    <xf numFmtId="165" fontId="120" fillId="0" borderId="64" xfId="4496" applyNumberFormat="1" applyFont="1" applyBorder="1" applyAlignment="1">
      <alignment horizontal="center" vertical="top" wrapText="1"/>
    </xf>
    <xf numFmtId="165" fontId="120" fillId="0" borderId="53" xfId="4496" applyNumberFormat="1" applyFont="1" applyBorder="1" applyAlignment="1">
      <alignment horizontal="left" vertical="top"/>
    </xf>
    <xf numFmtId="165" fontId="120" fillId="0" borderId="53" xfId="4496" applyNumberFormat="1" applyFont="1" applyBorder="1" applyAlignment="1">
      <alignment horizontal="center" vertical="top" wrapText="1"/>
    </xf>
    <xf numFmtId="168" fontId="120" fillId="0" borderId="0" xfId="4496" applyNumberFormat="1" applyFont="1" applyAlignment="1">
      <alignment vertical="top"/>
    </xf>
    <xf numFmtId="1" fontId="120" fillId="0" borderId="0" xfId="4496" applyNumberFormat="1" applyFont="1" applyAlignment="1">
      <alignment vertical="top" wrapText="1"/>
    </xf>
    <xf numFmtId="164" fontId="22" fillId="0" borderId="0" xfId="4495" applyNumberFormat="1" applyFont="1"/>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9" fillId="0" borderId="50" xfId="1192" applyFont="1" applyBorder="1" applyAlignment="1">
      <alignment horizontal="left"/>
    </xf>
    <xf numFmtId="0" fontId="140" fillId="0" borderId="51" xfId="4495" applyFont="1" applyBorder="1" applyAlignment="1">
      <alignment vertical="top"/>
    </xf>
    <xf numFmtId="0" fontId="139" fillId="0" borderId="51" xfId="4495" applyFont="1" applyBorder="1" applyAlignment="1">
      <alignment vertical="top" wrapText="1"/>
    </xf>
    <xf numFmtId="0" fontId="140" fillId="0" borderId="51" xfId="4495" applyFont="1" applyBorder="1"/>
    <xf numFmtId="0" fontId="140" fillId="0" borderId="53" xfId="1192" applyFont="1" applyBorder="1" applyAlignment="1">
      <alignment horizontal="left"/>
    </xf>
    <xf numFmtId="0" fontId="140" fillId="0" borderId="0" xfId="4495" applyFont="1" applyAlignment="1">
      <alignment vertical="top"/>
    </xf>
    <xf numFmtId="0" fontId="139" fillId="0" borderId="0" xfId="4495" applyFont="1" applyAlignment="1">
      <alignment vertical="top" wrapText="1"/>
    </xf>
    <xf numFmtId="0" fontId="140" fillId="0" borderId="0" xfId="4495" applyFont="1"/>
    <xf numFmtId="0" fontId="139" fillId="0" borderId="53" xfId="1192" applyFont="1" applyBorder="1" applyAlignment="1">
      <alignment horizontal="left"/>
    </xf>
    <xf numFmtId="0" fontId="139" fillId="0" borderId="57" xfId="1192" applyFont="1" applyBorder="1" applyAlignment="1">
      <alignment horizontal="left"/>
    </xf>
    <xf numFmtId="0" fontId="140" fillId="0" borderId="58" xfId="4495" applyFont="1" applyBorder="1" applyAlignment="1">
      <alignment vertical="top"/>
    </xf>
    <xf numFmtId="0" fontId="139" fillId="0" borderId="58" xfId="4495" applyFont="1" applyBorder="1" applyAlignment="1">
      <alignment vertical="top" wrapText="1"/>
    </xf>
    <xf numFmtId="0" fontId="140" fillId="0" borderId="58" xfId="4495" applyFont="1" applyBorder="1"/>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1" fillId="0" borderId="7" xfId="0" applyFont="1" applyBorder="1" applyAlignment="1">
      <alignment horizontal="right"/>
    </xf>
    <xf numFmtId="0" fontId="0" fillId="0" borderId="0" xfId="0" applyAlignment="1" applyProtection="1">
      <alignment horizontal="left" vertical="top" wrapText="1"/>
      <protection locked="0"/>
    </xf>
    <xf numFmtId="2" fontId="14" fillId="0" borderId="0" xfId="0" applyNumberFormat="1" applyFont="1"/>
    <xf numFmtId="0" fontId="14" fillId="0" borderId="9" xfId="0" applyFont="1" applyBorder="1" applyAlignment="1">
      <alignment horizontal="left"/>
    </xf>
    <xf numFmtId="0" fontId="14" fillId="0" borderId="6" xfId="0" applyFont="1" applyBorder="1"/>
    <xf numFmtId="0" fontId="14" fillId="0" borderId="9" xfId="0" applyFont="1" applyBorder="1"/>
    <xf numFmtId="0" fontId="47" fillId="0" borderId="0" xfId="0" applyFont="1" applyAlignment="1">
      <alignment horizontal="center"/>
    </xf>
    <xf numFmtId="0" fontId="20" fillId="0" borderId="0" xfId="0" applyFont="1" applyAlignment="1">
      <alignment horizontal="center" vertical="center" wrapText="1"/>
    </xf>
    <xf numFmtId="0" fontId="29" fillId="0" borderId="0" xfId="0" applyFont="1" applyAlignment="1">
      <alignment horizontal="center"/>
    </xf>
    <xf numFmtId="0" fontId="22" fillId="0" borderId="0" xfId="0" applyFont="1" applyAlignment="1">
      <alignment horizontal="center"/>
    </xf>
    <xf numFmtId="0" fontId="21" fillId="0" borderId="3" xfId="0" applyFont="1" applyBorder="1"/>
    <xf numFmtId="0" fontId="21" fillId="0" borderId="4" xfId="271" applyFont="1" applyBorder="1"/>
    <xf numFmtId="0" fontId="21" fillId="0" borderId="3" xfId="271" applyFont="1" applyBorder="1"/>
    <xf numFmtId="0" fontId="21" fillId="0" borderId="5" xfId="271" applyFont="1" applyBorder="1"/>
    <xf numFmtId="0" fontId="14" fillId="0" borderId="58" xfId="4495" applyFont="1" applyBorder="1" applyAlignment="1">
      <alignment vertical="center" wrapText="1"/>
    </xf>
    <xf numFmtId="0" fontId="14" fillId="0" borderId="59" xfId="4495" applyFont="1" applyBorder="1" applyAlignment="1">
      <alignment vertical="center" wrapText="1"/>
    </xf>
    <xf numFmtId="0" fontId="14" fillId="0" borderId="0" xfId="4495" applyFont="1" applyAlignment="1">
      <alignment horizontal="left" vertical="center" wrapText="1"/>
    </xf>
    <xf numFmtId="0" fontId="21" fillId="0" borderId="5" xfId="0" applyFont="1" applyBorder="1"/>
    <xf numFmtId="168" fontId="19" fillId="43" borderId="0" xfId="0" applyNumberFormat="1" applyFont="1" applyFill="1"/>
    <xf numFmtId="9" fontId="22" fillId="0" borderId="0" xfId="543" applyNumberFormat="1" applyFont="1" applyAlignment="1">
      <alignment horizontal="center"/>
    </xf>
    <xf numFmtId="171" fontId="14" fillId="0" borderId="0" xfId="543" applyNumberFormat="1"/>
    <xf numFmtId="171" fontId="14" fillId="0" borderId="11" xfId="543" applyNumberFormat="1" applyBorder="1"/>
    <xf numFmtId="1" fontId="14" fillId="0" borderId="11" xfId="543" applyNumberFormat="1" applyBorder="1" applyAlignment="1">
      <alignment horizontal="center"/>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34" fillId="0" borderId="12" xfId="543" applyFont="1" applyBorder="1" applyAlignment="1">
      <alignment horizontal="center" vertical="top"/>
    </xf>
    <xf numFmtId="0" fontId="35" fillId="0" borderId="7" xfId="543" applyFont="1" applyBorder="1"/>
    <xf numFmtId="0" fontId="14" fillId="0" borderId="12" xfId="543" quotePrefix="1" applyBorder="1"/>
    <xf numFmtId="0" fontId="51" fillId="0" borderId="2" xfId="569" applyFont="1" applyBorder="1" applyAlignment="1">
      <alignment vertical="top"/>
    </xf>
    <xf numFmtId="0" fontId="24" fillId="0" borderId="0" xfId="4495" applyFont="1"/>
    <xf numFmtId="0" fontId="14" fillId="0" borderId="0" xfId="4495" applyFont="1" applyAlignment="1">
      <alignment vertical="top" wrapText="1" shrinkToFit="1"/>
    </xf>
    <xf numFmtId="0" fontId="154" fillId="0" borderId="0" xfId="4495" applyFont="1"/>
    <xf numFmtId="164" fontId="14" fillId="0" borderId="0" xfId="1192" applyNumberFormat="1" applyAlignment="1">
      <alignment horizontal="right"/>
    </xf>
    <xf numFmtId="164" fontId="14" fillId="0" borderId="0" xfId="4495" applyNumberFormat="1" applyFont="1" applyAlignment="1">
      <alignment horizontal="right"/>
    </xf>
    <xf numFmtId="0" fontId="14" fillId="0" borderId="0" xfId="4495" applyFont="1" applyAlignment="1">
      <alignment horizontal="left" vertical="top" wrapText="1" shrinkToFit="1"/>
    </xf>
    <xf numFmtId="0" fontId="14" fillId="0" borderId="6" xfId="4495" applyFont="1" applyBorder="1" applyAlignment="1">
      <alignment vertical="top" wrapText="1"/>
    </xf>
    <xf numFmtId="0" fontId="154" fillId="0" borderId="4" xfId="4495" applyFont="1" applyBorder="1"/>
    <xf numFmtId="0" fontId="14" fillId="0" borderId="4" xfId="4495" applyFont="1" applyBorder="1" applyAlignment="1">
      <alignment horizontal="left" vertical="top" wrapText="1" shrinkToFit="1"/>
    </xf>
    <xf numFmtId="0" fontId="24" fillId="0" borderId="0" xfId="4495" applyFont="1" applyAlignment="1">
      <alignment horizontal="left" vertical="top"/>
    </xf>
    <xf numFmtId="0" fontId="14" fillId="0" borderId="0" xfId="4495" applyFont="1" applyAlignment="1">
      <alignment vertical="center" wrapText="1" shrinkToFit="1"/>
    </xf>
    <xf numFmtId="0" fontId="14" fillId="0" borderId="0" xfId="4495" applyFont="1" applyAlignment="1">
      <alignment horizontal="left" vertical="top" shrinkToFit="1"/>
    </xf>
    <xf numFmtId="0" fontId="14" fillId="0" borderId="0" xfId="4495" applyFont="1" applyAlignment="1">
      <alignment horizontal="left" vertical="center" shrinkToFit="1"/>
    </xf>
    <xf numFmtId="0" fontId="24" fillId="0" borderId="4" xfId="4495" applyFont="1" applyBorder="1"/>
    <xf numFmtId="0" fontId="14" fillId="0" borderId="4" xfId="4495" applyFont="1" applyBorder="1" applyAlignment="1">
      <alignment horizontal="left" vertical="top" shrinkToFit="1"/>
    </xf>
    <xf numFmtId="0" fontId="14" fillId="0" borderId="0" xfId="4495" applyFont="1" applyAlignment="1">
      <alignment vertical="center"/>
    </xf>
    <xf numFmtId="0" fontId="20" fillId="0" borderId="0" xfId="4495" applyFont="1"/>
    <xf numFmtId="0" fontId="24" fillId="0" borderId="0" xfId="4495" applyFont="1" applyAlignment="1">
      <alignment horizontal="center"/>
    </xf>
    <xf numFmtId="0" fontId="14" fillId="0" borderId="4" xfId="4495" applyFont="1" applyBorder="1" applyAlignment="1">
      <alignment horizontal="left" vertical="top" wrapText="1"/>
    </xf>
    <xf numFmtId="44" fontId="14" fillId="0" borderId="0" xfId="707" applyFont="1" applyFill="1" applyBorder="1" applyAlignment="1" applyProtection="1">
      <alignment horizontal="left" vertical="top" wrapText="1"/>
    </xf>
    <xf numFmtId="44" fontId="14" fillId="0" borderId="4" xfId="707" applyFont="1" applyFill="1" applyBorder="1" applyAlignment="1" applyProtection="1">
      <alignment horizontal="left" vertical="top" wrapText="1"/>
    </xf>
    <xf numFmtId="164" fontId="32" fillId="0" borderId="0" xfId="4495" applyNumberFormat="1" applyFont="1" applyAlignment="1">
      <alignment horizontal="left"/>
    </xf>
    <xf numFmtId="0" fontId="24" fillId="0" borderId="0" xfId="4495" applyFont="1" applyAlignment="1">
      <alignment horizontal="left"/>
    </xf>
    <xf numFmtId="0" fontId="14" fillId="0" borderId="4" xfId="4495" applyFont="1" applyBorder="1" applyAlignment="1">
      <alignment vertical="top" wrapText="1"/>
    </xf>
    <xf numFmtId="0" fontId="24" fillId="0" borderId="4" xfId="4495" applyFont="1" applyBorder="1" applyAlignment="1">
      <alignment horizontal="left" vertical="top"/>
    </xf>
    <xf numFmtId="0" fontId="14" fillId="0" borderId="0" xfId="4495" applyFont="1" applyAlignment="1">
      <alignment horizontal="left" vertical="center" wrapText="1" shrinkToFit="1"/>
    </xf>
    <xf numFmtId="0" fontId="14" fillId="0" borderId="6" xfId="4495" applyFont="1" applyBorder="1" applyAlignment="1">
      <alignment horizontal="left" vertical="top" wrapText="1"/>
    </xf>
    <xf numFmtId="2" fontId="116" fillId="0" borderId="0" xfId="0" applyNumberFormat="1" applyFont="1" applyAlignment="1">
      <alignment horizontal="center"/>
    </xf>
    <xf numFmtId="9" fontId="14" fillId="0" borderId="0" xfId="4494" applyFont="1" applyAlignment="1">
      <alignment horizontal="center"/>
    </xf>
    <xf numFmtId="3" fontId="14" fillId="0" borderId="0" xfId="0" applyNumberFormat="1" applyFont="1"/>
    <xf numFmtId="10" fontId="14" fillId="0" borderId="0" xfId="0" applyNumberFormat="1" applyFont="1" applyAlignment="1">
      <alignment horizontal="center"/>
    </xf>
    <xf numFmtId="168" fontId="14" fillId="0" borderId="0" xfId="0" applyNumberFormat="1" applyFont="1"/>
    <xf numFmtId="172" fontId="14" fillId="0" borderId="11" xfId="0" applyNumberFormat="1" applyFont="1" applyBorder="1" applyAlignment="1">
      <alignment horizontal="center"/>
    </xf>
    <xf numFmtId="168" fontId="14" fillId="5" borderId="0" xfId="0" applyNumberFormat="1" applyFont="1" applyFill="1"/>
    <xf numFmtId="3" fontId="14" fillId="5" borderId="0" xfId="0" applyNumberFormat="1" applyFont="1" applyFill="1"/>
    <xf numFmtId="0" fontId="14" fillId="5" borderId="0" xfId="0" applyFont="1" applyFill="1"/>
    <xf numFmtId="3" fontId="14" fillId="5" borderId="6" xfId="0" applyNumberFormat="1" applyFont="1" applyFill="1" applyBorder="1"/>
    <xf numFmtId="3" fontId="14" fillId="0" borderId="6" xfId="0" applyNumberFormat="1" applyFont="1" applyBorder="1"/>
    <xf numFmtId="168" fontId="14" fillId="0" borderId="0" xfId="0" applyNumberFormat="1" applyFont="1" applyAlignment="1">
      <alignment horizontal="center"/>
    </xf>
    <xf numFmtId="3" fontId="14" fillId="0" borderId="0" xfId="0" applyNumberFormat="1" applyFont="1" applyAlignment="1">
      <alignment horizontal="center"/>
    </xf>
    <xf numFmtId="0" fontId="14" fillId="0" borderId="50" xfId="4495" applyFont="1" applyBorder="1" applyAlignment="1">
      <alignment vertical="center"/>
    </xf>
    <xf numFmtId="0" fontId="14" fillId="0" borderId="51" xfId="4495" applyFont="1" applyBorder="1" applyAlignment="1">
      <alignment vertical="center"/>
    </xf>
    <xf numFmtId="0" fontId="14" fillId="0" borderId="52" xfId="4495" applyFont="1" applyBorder="1" applyAlignment="1">
      <alignment vertical="center"/>
    </xf>
    <xf numFmtId="0" fontId="14" fillId="0" borderId="54" xfId="4495" applyFont="1" applyBorder="1" applyAlignment="1">
      <alignment vertical="center" wrapText="1"/>
    </xf>
    <xf numFmtId="0" fontId="14" fillId="0" borderId="53" xfId="4495" applyFont="1" applyBorder="1" applyAlignment="1">
      <alignment vertical="top" wrapText="1"/>
    </xf>
    <xf numFmtId="0" fontId="14" fillId="0" borderId="58" xfId="0" applyFont="1" applyBorder="1" applyAlignment="1">
      <alignment horizontal="left"/>
    </xf>
    <xf numFmtId="9" fontId="14" fillId="0" borderId="0" xfId="543" applyNumberFormat="1" applyAlignment="1">
      <alignment horizontal="center"/>
    </xf>
    <xf numFmtId="0" fontId="46" fillId="0" borderId="0" xfId="4496" applyFont="1"/>
    <xf numFmtId="168" fontId="51" fillId="5" borderId="11" xfId="0" applyNumberFormat="1" applyFont="1" applyFill="1" applyBorder="1" applyAlignment="1" applyProtection="1">
      <alignment vertical="top" wrapText="1"/>
      <protection locked="0"/>
    </xf>
    <xf numFmtId="0" fontId="14" fillId="0" borderId="0" xfId="0" applyFont="1" applyAlignment="1">
      <alignment horizontal="left"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0" fontId="21" fillId="0" borderId="4" xfId="0" applyFont="1" applyBorder="1" applyAlignment="1">
      <alignment horizontal="left"/>
    </xf>
    <xf numFmtId="4" fontId="14" fillId="0" borderId="0" xfId="0" applyNumberFormat="1" applyFont="1" applyAlignment="1">
      <alignment horizontal="left"/>
    </xf>
    <xf numFmtId="43" fontId="49" fillId="0" borderId="0" xfId="4504" applyFont="1" applyAlignment="1" applyProtection="1">
      <alignment horizontal="center"/>
    </xf>
    <xf numFmtId="43" fontId="14" fillId="0" borderId="0" xfId="4504" applyFont="1" applyAlignment="1" applyProtection="1">
      <alignment horizontal="center"/>
    </xf>
    <xf numFmtId="43" fontId="14" fillId="0" borderId="0" xfId="4504" applyFont="1" applyProtection="1"/>
    <xf numFmtId="49" fontId="14" fillId="0" borderId="0" xfId="0" applyNumberFormat="1" applyFont="1"/>
    <xf numFmtId="49" fontId="14" fillId="0" borderId="0" xfId="0" applyNumberFormat="1" applyFont="1" applyAlignment="1">
      <alignment horizontal="center"/>
    </xf>
    <xf numFmtId="4" fontId="14" fillId="0" borderId="0" xfId="0" applyNumberFormat="1" applyFont="1" applyAlignment="1">
      <alignment vertical="top" wrapText="1"/>
    </xf>
    <xf numFmtId="0" fontId="14" fillId="0" borderId="0" xfId="0" quotePrefix="1" applyFont="1"/>
    <xf numFmtId="0" fontId="44" fillId="0" borderId="0" xfId="0" applyFont="1" applyAlignment="1">
      <alignment horizontal="left"/>
    </xf>
    <xf numFmtId="0" fontId="14" fillId="0" borderId="4" xfId="0" applyFont="1" applyBorder="1" applyAlignment="1">
      <alignment horizontal="left"/>
    </xf>
    <xf numFmtId="0" fontId="14" fillId="0" borderId="0" xfId="0" quotePrefix="1" applyFont="1" applyAlignment="1">
      <alignment horizontal="left"/>
    </xf>
    <xf numFmtId="0" fontId="14" fillId="0" borderId="0" xfId="0" quotePrefix="1" applyFont="1" applyAlignment="1">
      <alignment horizontal="left" vertical="top"/>
    </xf>
    <xf numFmtId="0" fontId="44" fillId="0" borderId="0" xfId="1192" applyFont="1" applyAlignment="1">
      <alignment horizontal="left"/>
    </xf>
    <xf numFmtId="0" fontId="49" fillId="0" borderId="0" xfId="0" applyFont="1" applyAlignment="1">
      <alignment horizontal="center" vertical="center"/>
    </xf>
    <xf numFmtId="49" fontId="21" fillId="0" borderId="0" xfId="0" applyNumberFormat="1" applyFont="1" applyAlignment="1">
      <alignment horizontal="center" vertical="center"/>
    </xf>
    <xf numFmtId="49" fontId="14" fillId="0" borderId="0" xfId="0" applyNumberFormat="1" applyFont="1" applyAlignment="1">
      <alignment vertical="center"/>
    </xf>
    <xf numFmtId="4" fontId="14" fillId="0" borderId="0" xfId="0" applyNumberFormat="1" applyFont="1" applyAlignment="1">
      <alignment horizontal="center"/>
    </xf>
    <xf numFmtId="4" fontId="14" fillId="0" borderId="0" xfId="0" applyNumberFormat="1" applyFont="1"/>
    <xf numFmtId="10" fontId="14" fillId="0" borderId="0" xfId="4495" applyNumberFormat="1" applyFont="1"/>
    <xf numFmtId="10" fontId="120" fillId="0" borderId="0" xfId="4496" applyNumberFormat="1" applyFont="1" applyAlignment="1">
      <alignment horizontal="center" vertical="top" wrapText="1"/>
    </xf>
    <xf numFmtId="10" fontId="120" fillId="0" borderId="64" xfId="4496" applyNumberFormat="1" applyFont="1" applyBorder="1" applyAlignment="1">
      <alignment horizontal="center" vertical="top" wrapText="1"/>
    </xf>
    <xf numFmtId="10" fontId="120"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4" fillId="0" borderId="0" xfId="1192" quotePrefix="1" applyNumberFormat="1" applyAlignment="1">
      <alignment horizontal="center"/>
    </xf>
    <xf numFmtId="0" fontId="120" fillId="0" borderId="0" xfId="4495" applyFont="1"/>
    <xf numFmtId="10" fontId="120" fillId="0" borderId="0" xfId="4495" applyNumberFormat="1" applyFont="1"/>
    <xf numFmtId="172" fontId="14" fillId="0" borderId="0" xfId="4495" applyNumberFormat="1" applyFont="1"/>
    <xf numFmtId="0" fontId="37" fillId="0" borderId="0" xfId="0" applyFont="1" applyAlignment="1">
      <alignment horizontal="center"/>
    </xf>
    <xf numFmtId="0" fontId="33" fillId="0" borderId="0" xfId="0" applyFont="1" applyAlignment="1">
      <alignment horizontal="left"/>
    </xf>
    <xf numFmtId="0" fontId="0" fillId="0" borderId="10" xfId="0" applyBorder="1" applyAlignment="1">
      <alignment horizontal="left"/>
    </xf>
    <xf numFmtId="1" fontId="14" fillId="0" borderId="0" xfId="1192" applyNumberFormat="1" applyAlignment="1">
      <alignment horizontal="center"/>
    </xf>
    <xf numFmtId="0" fontId="118" fillId="0" borderId="63" xfId="4495" applyBorder="1"/>
    <xf numFmtId="0" fontId="51" fillId="0" borderId="0" xfId="271" applyFont="1" applyAlignment="1">
      <alignment vertical="top"/>
    </xf>
    <xf numFmtId="0" fontId="21" fillId="0" borderId="11" xfId="0" applyFont="1" applyBorder="1" applyAlignment="1">
      <alignment horizontal="right" vertical="top" wrapText="1"/>
    </xf>
    <xf numFmtId="0" fontId="23" fillId="0" borderId="11" xfId="271" applyBorder="1" applyAlignment="1" applyProtection="1">
      <alignment horizontal="right" vertical="top" wrapText="1"/>
      <protection locked="0"/>
    </xf>
    <xf numFmtId="0" fontId="14" fillId="0" borderId="54" xfId="4495" applyFont="1" applyBorder="1" applyAlignment="1">
      <alignment vertical="top"/>
    </xf>
    <xf numFmtId="9" fontId="23" fillId="0" borderId="0" xfId="0" applyNumberFormat="1" applyFont="1"/>
    <xf numFmtId="0" fontId="14" fillId="0" borderId="16" xfId="569" applyBorder="1" applyAlignment="1">
      <alignment horizontal="center"/>
    </xf>
    <xf numFmtId="164" fontId="14" fillId="0" borderId="57" xfId="4495" applyNumberFormat="1" applyFont="1" applyBorder="1" applyAlignment="1">
      <alignment vertical="top" wrapText="1"/>
    </xf>
    <xf numFmtId="164" fontId="14" fillId="0" borderId="58" xfId="4495" applyNumberFormat="1" applyFont="1" applyBorder="1" applyAlignment="1">
      <alignment vertical="top" wrapText="1"/>
    </xf>
    <xf numFmtId="164" fontId="14" fillId="0" borderId="59" xfId="4495" applyNumberFormat="1" applyFont="1" applyBorder="1" applyAlignment="1">
      <alignment vertical="top" wrapText="1"/>
    </xf>
    <xf numFmtId="0" fontId="21" fillId="0" borderId="0" xfId="1192" applyFont="1" applyAlignment="1">
      <alignment horizontal="left" vertical="top" wrapText="1"/>
    </xf>
    <xf numFmtId="0" fontId="14" fillId="0" borderId="16" xfId="569" applyBorder="1"/>
    <xf numFmtId="0" fontId="14" fillId="0" borderId="4" xfId="569" applyBorder="1"/>
    <xf numFmtId="0" fontId="21" fillId="0" borderId="4" xfId="569" applyFont="1" applyBorder="1"/>
    <xf numFmtId="49" fontId="14" fillId="0" borderId="4" xfId="569" applyNumberFormat="1" applyBorder="1"/>
    <xf numFmtId="0" fontId="160" fillId="0" borderId="0" xfId="0" applyFont="1"/>
    <xf numFmtId="0" fontId="14" fillId="0" borderId="0" xfId="0" applyFont="1" applyAlignment="1">
      <alignment horizontal="right"/>
    </xf>
    <xf numFmtId="1" fontId="14" fillId="0" borderId="0" xfId="0" applyNumberFormat="1" applyFont="1" applyAlignment="1">
      <alignment horizontal="center"/>
    </xf>
    <xf numFmtId="0" fontId="21" fillId="0" borderId="0" xfId="0" applyFont="1" applyAlignment="1">
      <alignment horizontal="left" vertical="center"/>
    </xf>
    <xf numFmtId="0" fontId="14" fillId="0" borderId="0" xfId="0" applyFont="1" applyAlignment="1">
      <alignment horizontal="left" vertical="center"/>
    </xf>
    <xf numFmtId="0" fontId="21" fillId="0" borderId="0" xfId="569" applyFont="1" applyAlignment="1">
      <alignment vertical="top"/>
    </xf>
    <xf numFmtId="0" fontId="15" fillId="0" borderId="0" xfId="244" applyAlignment="1"/>
    <xf numFmtId="0" fontId="21" fillId="0" borderId="0" xfId="0" applyFont="1" applyAlignment="1">
      <alignment vertical="top" wrapText="1"/>
    </xf>
    <xf numFmtId="49" fontId="21" fillId="0" borderId="0" xfId="0" applyNumberFormat="1" applyFont="1"/>
    <xf numFmtId="49" fontId="21" fillId="0" borderId="0" xfId="0" applyNumberFormat="1" applyFont="1" applyAlignment="1">
      <alignment vertical="top"/>
    </xf>
    <xf numFmtId="0" fontId="37" fillId="0" borderId="11" xfId="0" applyFont="1" applyBorder="1"/>
    <xf numFmtId="175" fontId="14" fillId="0" borderId="0" xfId="543" applyNumberFormat="1" applyAlignment="1">
      <alignment vertical="center"/>
    </xf>
    <xf numFmtId="0" fontId="96" fillId="43" borderId="6" xfId="4496" applyFont="1" applyFill="1" applyBorder="1" applyAlignment="1" applyProtection="1">
      <alignment horizontal="center"/>
      <protection locked="0"/>
    </xf>
    <xf numFmtId="0" fontId="96" fillId="0" borderId="0" xfId="4496" applyFont="1"/>
    <xf numFmtId="0" fontId="96" fillId="0" borderId="0" xfId="4496" applyFont="1" applyAlignment="1">
      <alignment wrapText="1"/>
    </xf>
    <xf numFmtId="0" fontId="135" fillId="0" borderId="0" xfId="4496" applyFont="1"/>
    <xf numFmtId="181" fontId="136" fillId="0" borderId="0" xfId="4498" applyNumberFormat="1" applyFont="1" applyBorder="1" applyProtection="1"/>
    <xf numFmtId="0" fontId="137" fillId="0" borderId="0" xfId="4496" applyFont="1" applyAlignment="1">
      <alignment vertical="center" wrapText="1"/>
    </xf>
    <xf numFmtId="49" fontId="96" fillId="0" borderId="0" xfId="4496" applyNumberFormat="1" applyFont="1" applyAlignment="1">
      <alignment horizontal="center"/>
    </xf>
    <xf numFmtId="182" fontId="96" fillId="0" borderId="6" xfId="4496" applyNumberFormat="1" applyFont="1" applyBorder="1"/>
    <xf numFmtId="0" fontId="96" fillId="0" borderId="0" xfId="4496" applyFont="1" applyAlignment="1">
      <alignment vertical="center"/>
    </xf>
    <xf numFmtId="182" fontId="96" fillId="0" borderId="0" xfId="4496" applyNumberFormat="1" applyFont="1" applyAlignment="1">
      <alignment vertical="center"/>
    </xf>
    <xf numFmtId="175" fontId="96" fillId="0" borderId="0" xfId="4499" applyNumberFormat="1" applyFont="1" applyFill="1" applyBorder="1" applyAlignment="1" applyProtection="1">
      <alignment horizontal="left" vertical="center"/>
    </xf>
    <xf numFmtId="9" fontId="96" fillId="0" borderId="0" xfId="4499" applyFont="1" applyFill="1" applyBorder="1" applyAlignment="1" applyProtection="1">
      <alignment vertical="center"/>
    </xf>
    <xf numFmtId="183" fontId="96" fillId="0" borderId="0" xfId="4496" applyNumberFormat="1" applyFont="1" applyAlignment="1">
      <alignment vertical="center" wrapText="1"/>
    </xf>
    <xf numFmtId="9" fontId="96" fillId="0" borderId="0" xfId="4499" applyFont="1" applyBorder="1" applyAlignment="1" applyProtection="1">
      <alignment vertical="center"/>
    </xf>
    <xf numFmtId="164" fontId="96" fillId="0" borderId="0" xfId="4496" applyNumberFormat="1" applyFont="1" applyAlignment="1">
      <alignment vertical="center" wrapText="1"/>
    </xf>
    <xf numFmtId="0" fontId="96" fillId="0" borderId="0" xfId="4496" applyFont="1" applyAlignment="1">
      <alignment horizontal="center" vertical="center"/>
    </xf>
    <xf numFmtId="182" fontId="96" fillId="0" borderId="11" xfId="8722" applyNumberFormat="1" applyFont="1" applyBorder="1" applyProtection="1"/>
    <xf numFmtId="182" fontId="96" fillId="0" borderId="11" xfId="4496" applyNumberFormat="1" applyFont="1" applyBorder="1"/>
    <xf numFmtId="164" fontId="96" fillId="0" borderId="0" xfId="4496" applyNumberFormat="1" applyFont="1" applyAlignment="1">
      <alignment wrapText="1"/>
    </xf>
    <xf numFmtId="49" fontId="96" fillId="0" borderId="0" xfId="4496" applyNumberFormat="1" applyFont="1" applyAlignment="1">
      <alignment horizontal="left"/>
    </xf>
    <xf numFmtId="0" fontId="138" fillId="0" borderId="0" xfId="4496" applyFont="1"/>
    <xf numFmtId="9" fontId="96" fillId="0" borderId="11" xfId="4494" applyFont="1" applyFill="1" applyBorder="1" applyAlignment="1" applyProtection="1">
      <alignment horizontal="right"/>
    </xf>
    <xf numFmtId="182" fontId="96" fillId="0" borderId="11" xfId="4496" applyNumberFormat="1" applyFont="1" applyBorder="1" applyAlignment="1">
      <alignment horizontal="left"/>
    </xf>
    <xf numFmtId="1" fontId="96" fillId="0" borderId="0" xfId="4496" applyNumberFormat="1" applyFont="1"/>
    <xf numFmtId="2" fontId="96" fillId="0" borderId="0" xfId="4496" applyNumberFormat="1" applyFont="1" applyAlignment="1">
      <alignment horizontal="center"/>
    </xf>
    <xf numFmtId="2" fontId="96" fillId="0" borderId="0" xfId="4496" applyNumberFormat="1" applyFont="1"/>
    <xf numFmtId="0" fontId="135" fillId="45" borderId="3" xfId="4496" applyFont="1" applyFill="1" applyBorder="1" applyAlignment="1">
      <alignment horizontal="left" indent="1"/>
    </xf>
    <xf numFmtId="0" fontId="96" fillId="45" borderId="4" xfId="4496" applyFont="1" applyFill="1" applyBorder="1"/>
    <xf numFmtId="2" fontId="96" fillId="45" borderId="5" xfId="4496" applyNumberFormat="1" applyFont="1" applyFill="1" applyBorder="1"/>
    <xf numFmtId="181" fontId="96" fillId="0" borderId="0" xfId="4496" applyNumberFormat="1" applyFont="1"/>
    <xf numFmtId="165" fontId="136" fillId="0" borderId="0" xfId="4499" applyNumberFormat="1" applyFont="1" applyFill="1" applyBorder="1" applyProtection="1"/>
    <xf numFmtId="9" fontId="96" fillId="0" borderId="0" xfId="4494" applyFont="1" applyFill="1" applyProtection="1"/>
    <xf numFmtId="0" fontId="96" fillId="0" borderId="11" xfId="4496" applyFont="1" applyBorder="1" applyAlignment="1">
      <alignment horizontal="center"/>
    </xf>
    <xf numFmtId="2" fontId="96" fillId="0" borderId="11" xfId="4496" applyNumberFormat="1" applyFont="1" applyBorder="1" applyAlignment="1">
      <alignment horizontal="center"/>
    </xf>
    <xf numFmtId="0" fontId="96" fillId="0" borderId="0" xfId="4496" applyFont="1" applyAlignment="1">
      <alignment vertical="top" wrapText="1"/>
    </xf>
    <xf numFmtId="0" fontId="96" fillId="0" borderId="11" xfId="4496" applyFont="1" applyBorder="1" applyAlignment="1">
      <alignment horizontal="center" vertical="top" wrapText="1"/>
    </xf>
    <xf numFmtId="182" fontId="96" fillId="0" borderId="0" xfId="8722" applyNumberFormat="1" applyFont="1" applyBorder="1" applyProtection="1"/>
    <xf numFmtId="0" fontId="96" fillId="0" borderId="0" xfId="4496" applyFont="1" applyAlignment="1">
      <alignment horizontal="left" indent="1"/>
    </xf>
    <xf numFmtId="182" fontId="96" fillId="0" borderId="0" xfId="4496" applyNumberFormat="1" applyFont="1"/>
    <xf numFmtId="184" fontId="96" fillId="0" borderId="0" xfId="4496" applyNumberFormat="1" applyFont="1"/>
    <xf numFmtId="0" fontId="96" fillId="0" borderId="0" xfId="4496" applyFont="1" applyAlignment="1">
      <alignment horizontal="left"/>
    </xf>
    <xf numFmtId="0" fontId="96" fillId="0" borderId="0" xfId="4496" applyFont="1" applyAlignment="1">
      <alignment horizontal="center"/>
    </xf>
    <xf numFmtId="9" fontId="96" fillId="0" borderId="0" xfId="4494" applyFont="1" applyFill="1" applyBorder="1" applyProtection="1"/>
    <xf numFmtId="3" fontId="19" fillId="0" borderId="11" xfId="271" applyNumberFormat="1" applyFont="1" applyBorder="1" applyAlignment="1">
      <alignment horizontal="center"/>
    </xf>
    <xf numFmtId="3" fontId="19" fillId="43" borderId="11" xfId="271" applyNumberFormat="1" applyFont="1" applyFill="1" applyBorder="1" applyAlignment="1" applyProtection="1">
      <alignment horizontal="center"/>
      <protection locked="0"/>
    </xf>
    <xf numFmtId="3" fontId="19" fillId="43" borderId="11" xfId="271" applyNumberFormat="1" applyFont="1" applyFill="1" applyBorder="1" applyProtection="1">
      <protection locked="0"/>
    </xf>
    <xf numFmtId="0" fontId="96" fillId="0" borderId="0" xfId="4496" applyFont="1" applyAlignment="1">
      <alignment horizontal="right"/>
    </xf>
    <xf numFmtId="168" fontId="23" fillId="0" borderId="0" xfId="0" applyNumberFormat="1" applyFont="1"/>
    <xf numFmtId="0" fontId="96" fillId="0" borderId="15" xfId="4496" applyFont="1" applyBorder="1" applyAlignment="1">
      <alignment horizontal="center" vertical="top" wrapText="1"/>
    </xf>
    <xf numFmtId="2" fontId="96" fillId="0" borderId="15" xfId="4496" applyNumberFormat="1" applyFont="1" applyBorder="1" applyAlignment="1">
      <alignment horizontal="center"/>
    </xf>
    <xf numFmtId="0" fontId="96" fillId="0" borderId="15" xfId="4496" applyFont="1" applyBorder="1" applyAlignment="1">
      <alignment horizontal="center"/>
    </xf>
    <xf numFmtId="0" fontId="135" fillId="0" borderId="71" xfId="4496" applyFont="1" applyBorder="1" applyAlignment="1">
      <alignment horizontal="center" vertical="top" wrapText="1"/>
    </xf>
    <xf numFmtId="0" fontId="135" fillId="0" borderId="71" xfId="4496" applyFont="1" applyBorder="1" applyAlignment="1">
      <alignment horizontal="center"/>
    </xf>
    <xf numFmtId="0" fontId="165" fillId="0" borderId="0" xfId="4496" applyFont="1" applyAlignment="1">
      <alignment horizontal="right" vertical="center"/>
    </xf>
    <xf numFmtId="175" fontId="96" fillId="0" borderId="0" xfId="4499" applyNumberFormat="1" applyFont="1" applyFill="1" applyBorder="1" applyAlignment="1" applyProtection="1">
      <alignment horizontal="right" vertical="center"/>
    </xf>
    <xf numFmtId="5" fontId="96" fillId="0" borderId="6" xfId="4496" applyNumberFormat="1" applyFont="1" applyBorder="1" applyAlignment="1">
      <alignment vertical="center"/>
    </xf>
    <xf numFmtId="0" fontId="96" fillId="0" borderId="66" xfId="4496" applyFont="1" applyBorder="1" applyAlignment="1">
      <alignment vertical="center"/>
    </xf>
    <xf numFmtId="0" fontId="96" fillId="0" borderId="41" xfId="4496" applyFont="1" applyBorder="1" applyAlignment="1">
      <alignment vertical="center"/>
    </xf>
    <xf numFmtId="182" fontId="96" fillId="0" borderId="86" xfId="4496" applyNumberFormat="1" applyFont="1" applyBorder="1" applyAlignment="1">
      <alignment vertical="center"/>
    </xf>
    <xf numFmtId="175" fontId="96" fillId="0" borderId="42" xfId="4499" applyNumberFormat="1" applyFont="1" applyFill="1" applyBorder="1" applyAlignment="1" applyProtection="1">
      <alignment horizontal="left" vertical="center"/>
    </xf>
    <xf numFmtId="0" fontId="96" fillId="0" borderId="42" xfId="4496" applyFont="1" applyBorder="1" applyAlignment="1">
      <alignment vertical="center"/>
    </xf>
    <xf numFmtId="0" fontId="96" fillId="0" borderId="44" xfId="4496" applyFont="1" applyBorder="1" applyAlignment="1">
      <alignment vertical="center"/>
    </xf>
    <xf numFmtId="49" fontId="96" fillId="0" borderId="0" xfId="4496" applyNumberFormat="1" applyFont="1" applyAlignment="1">
      <alignment horizontal="center" vertical="center"/>
    </xf>
    <xf numFmtId="0" fontId="96" fillId="0" borderId="65" xfId="4496" applyFont="1" applyBorder="1" applyAlignment="1">
      <alignment vertical="center"/>
    </xf>
    <xf numFmtId="0" fontId="96" fillId="0" borderId="29" xfId="4496" applyFont="1" applyBorder="1" applyAlignment="1">
      <alignment vertical="center"/>
    </xf>
    <xf numFmtId="0" fontId="96" fillId="0" borderId="29" xfId="4496" applyFont="1" applyBorder="1" applyAlignment="1">
      <alignment horizontal="right" vertical="center"/>
    </xf>
    <xf numFmtId="5" fontId="96" fillId="0" borderId="29" xfId="4496" applyNumberFormat="1" applyFont="1" applyBorder="1" applyAlignment="1">
      <alignment vertical="center"/>
    </xf>
    <xf numFmtId="0" fontId="96" fillId="0" borderId="31" xfId="4496" applyFont="1" applyBorder="1" applyAlignment="1">
      <alignment vertical="center"/>
    </xf>
    <xf numFmtId="175" fontId="135" fillId="0" borderId="42" xfId="4494" applyNumberFormat="1" applyFont="1" applyFill="1" applyBorder="1" applyAlignment="1" applyProtection="1">
      <alignment horizontal="center" vertical="center"/>
    </xf>
    <xf numFmtId="0" fontId="135" fillId="0" borderId="29" xfId="4496" applyFont="1" applyBorder="1" applyAlignment="1">
      <alignment vertical="center"/>
    </xf>
    <xf numFmtId="0" fontId="135" fillId="0" borderId="0" xfId="4496" applyFont="1" applyAlignment="1">
      <alignment vertical="center"/>
    </xf>
    <xf numFmtId="0" fontId="135" fillId="0" borderId="42" xfId="4496" applyFont="1" applyBorder="1" applyAlignment="1">
      <alignment vertical="center"/>
    </xf>
    <xf numFmtId="9" fontId="135" fillId="0" borderId="42" xfId="4499" applyFont="1" applyFill="1" applyBorder="1" applyAlignment="1" applyProtection="1">
      <alignment vertical="center"/>
    </xf>
    <xf numFmtId="182" fontId="96" fillId="0" borderId="15" xfId="4496" applyNumberFormat="1" applyFont="1" applyBorder="1"/>
    <xf numFmtId="182" fontId="135" fillId="0" borderId="71" xfId="8722" applyNumberFormat="1" applyFont="1" applyBorder="1" applyProtection="1"/>
    <xf numFmtId="9" fontId="96" fillId="0" borderId="15" xfId="4494" applyFont="1" applyFill="1" applyBorder="1" applyAlignment="1" applyProtection="1">
      <alignment horizontal="right"/>
    </xf>
    <xf numFmtId="182" fontId="135" fillId="0" borderId="71" xfId="4496" applyNumberFormat="1" applyFont="1" applyBorder="1"/>
    <xf numFmtId="0" fontId="165" fillId="0" borderId="0" xfId="4496" applyFont="1" applyAlignment="1">
      <alignment horizontal="right"/>
    </xf>
    <xf numFmtId="0" fontId="96" fillId="0" borderId="0" xfId="4496" applyFont="1" applyAlignment="1">
      <alignment horizontal="right" vertical="top" wrapText="1" indent="1"/>
    </xf>
    <xf numFmtId="182" fontId="96" fillId="0" borderId="6" xfId="8722" applyNumberFormat="1" applyFont="1" applyBorder="1" applyAlignment="1" applyProtection="1">
      <alignment horizontal="center"/>
    </xf>
    <xf numFmtId="0" fontId="96" fillId="0" borderId="0" xfId="4496" applyFont="1" applyAlignment="1">
      <alignment horizontal="right" indent="1"/>
    </xf>
    <xf numFmtId="0" fontId="96" fillId="0" borderId="0" xfId="4496" applyFont="1" applyAlignment="1">
      <alignment horizontal="right" vertical="top"/>
    </xf>
    <xf numFmtId="0" fontId="135" fillId="0" borderId="0" xfId="4496" applyFont="1" applyAlignment="1">
      <alignment horizontal="right"/>
    </xf>
    <xf numFmtId="182" fontId="135" fillId="0" borderId="0" xfId="8722" applyNumberFormat="1" applyFont="1" applyBorder="1" applyAlignment="1" applyProtection="1">
      <alignment horizontal="center"/>
    </xf>
    <xf numFmtId="10" fontId="96" fillId="0" borderId="0" xfId="4494" applyNumberFormat="1" applyFont="1" applyBorder="1" applyAlignment="1" applyProtection="1">
      <alignment horizontal="center"/>
    </xf>
    <xf numFmtId="184" fontId="96" fillId="0" borderId="6" xfId="4496" applyNumberFormat="1" applyFont="1" applyBorder="1"/>
    <xf numFmtId="0" fontId="135" fillId="0" borderId="0" xfId="4496" applyFont="1" applyAlignment="1">
      <alignment horizontal="right" vertical="top"/>
    </xf>
    <xf numFmtId="182" fontId="135" fillId="0" borderId="0" xfId="4496" applyNumberFormat="1" applyFont="1"/>
    <xf numFmtId="182" fontId="96" fillId="0" borderId="6" xfId="8722" applyNumberFormat="1" applyFont="1" applyBorder="1" applyProtection="1"/>
    <xf numFmtId="184" fontId="96" fillId="0" borderId="0" xfId="4496" applyNumberFormat="1" applyFont="1" applyAlignment="1">
      <alignment horizontal="center"/>
    </xf>
    <xf numFmtId="0" fontId="96" fillId="0" borderId="6" xfId="4496" applyFont="1" applyBorder="1" applyAlignment="1">
      <alignment horizontal="right" vertical="top" wrapText="1" indent="1"/>
    </xf>
    <xf numFmtId="0" fontId="96" fillId="0" borderId="70" xfId="4496" applyFont="1" applyBorder="1" applyAlignment="1">
      <alignment horizontal="right" indent="1"/>
    </xf>
    <xf numFmtId="0" fontId="96" fillId="0" borderId="80" xfId="4496" applyFont="1" applyBorder="1" applyAlignment="1">
      <alignment horizontal="right" indent="1"/>
    </xf>
    <xf numFmtId="0" fontId="96" fillId="0" borderId="80" xfId="4496" quotePrefix="1" applyFont="1" applyBorder="1" applyAlignment="1">
      <alignment horizontal="right" indent="1"/>
    </xf>
    <xf numFmtId="0" fontId="96" fillId="0" borderId="72" xfId="4496" applyFont="1" applyBorder="1" applyAlignment="1">
      <alignment horizontal="right" indent="1"/>
    </xf>
    <xf numFmtId="182" fontId="96" fillId="0" borderId="74" xfId="4496" applyNumberFormat="1" applyFont="1" applyBorder="1"/>
    <xf numFmtId="182" fontId="96" fillId="0" borderId="91" xfId="4496" applyNumberFormat="1" applyFont="1" applyBorder="1"/>
    <xf numFmtId="182" fontId="96" fillId="0" borderId="93" xfId="4496" applyNumberFormat="1" applyFont="1" applyBorder="1"/>
    <xf numFmtId="175" fontId="21" fillId="0" borderId="0" xfId="543" applyNumberFormat="1" applyFont="1" applyAlignment="1">
      <alignment vertical="center"/>
    </xf>
    <xf numFmtId="10" fontId="135" fillId="0" borderId="0" xfId="4494" applyNumberFormat="1" applyFont="1" applyProtection="1"/>
    <xf numFmtId="0" fontId="21" fillId="0" borderId="0" xfId="1192" applyFont="1" applyAlignment="1">
      <alignment horizontal="left" indent="1"/>
    </xf>
    <xf numFmtId="168" fontId="96" fillId="0" borderId="11" xfId="4499" applyNumberFormat="1" applyFont="1" applyFill="1" applyBorder="1" applyAlignment="1" applyProtection="1">
      <alignment horizontal="left" vertical="center" indent="1"/>
    </xf>
    <xf numFmtId="168" fontId="135" fillId="0" borderId="71" xfId="4499" applyNumberFormat="1" applyFont="1" applyFill="1" applyBorder="1" applyAlignment="1" applyProtection="1">
      <alignment horizontal="left" vertical="center" indent="1"/>
    </xf>
    <xf numFmtId="182" fontId="96" fillId="0" borderId="13" xfId="4496" applyNumberFormat="1" applyFont="1" applyBorder="1"/>
    <xf numFmtId="182" fontId="96" fillId="0" borderId="73" xfId="4496" applyNumberFormat="1" applyFont="1" applyBorder="1"/>
    <xf numFmtId="0" fontId="135" fillId="0" borderId="4" xfId="4496" applyFont="1" applyBorder="1" applyAlignment="1">
      <alignment horizontal="left" indent="1"/>
    </xf>
    <xf numFmtId="0" fontId="96" fillId="0" borderId="4" xfId="4496" applyFont="1" applyBorder="1"/>
    <xf numFmtId="0" fontId="32" fillId="0" borderId="0" xfId="4495" applyFont="1" applyAlignment="1">
      <alignment vertical="center"/>
    </xf>
    <xf numFmtId="0" fontId="120" fillId="0" borderId="0" xfId="4496" applyFont="1" applyAlignment="1">
      <alignment vertical="center" wrapText="1"/>
    </xf>
    <xf numFmtId="0" fontId="19" fillId="43" borderId="0" xfId="1192" applyFont="1" applyFill="1"/>
    <xf numFmtId="3" fontId="66" fillId="43" borderId="6" xfId="1192" applyNumberFormat="1" applyFont="1" applyFill="1" applyBorder="1"/>
    <xf numFmtId="0" fontId="167" fillId="0" borderId="0" xfId="0" applyFont="1"/>
    <xf numFmtId="0" fontId="19" fillId="0" borderId="11" xfId="253" applyFont="1" applyBorder="1" applyAlignment="1" applyProtection="1">
      <alignment horizontal="center" wrapText="1"/>
      <protection locked="0"/>
    </xf>
    <xf numFmtId="0" fontId="168" fillId="0" borderId="0" xfId="0" applyFont="1"/>
    <xf numFmtId="0" fontId="169" fillId="0" borderId="0" xfId="0" applyFont="1" applyAlignment="1">
      <alignment horizontal="center"/>
    </xf>
    <xf numFmtId="0" fontId="51" fillId="5" borderId="11" xfId="0" applyFont="1" applyFill="1" applyBorder="1" applyAlignment="1" applyProtection="1">
      <alignment horizontal="right" vertical="top" wrapText="1"/>
      <protection locked="0"/>
    </xf>
    <xf numFmtId="0" fontId="14" fillId="43" borderId="3" xfId="569" applyFill="1" applyBorder="1"/>
    <xf numFmtId="0" fontId="174" fillId="0" borderId="0" xfId="0" applyFont="1" applyAlignment="1">
      <alignment horizontal="right"/>
    </xf>
    <xf numFmtId="1" fontId="22" fillId="0" borderId="0" xfId="4495" applyNumberFormat="1" applyFont="1"/>
    <xf numFmtId="0" fontId="2" fillId="0" borderId="0" xfId="8726"/>
    <xf numFmtId="0" fontId="101" fillId="0" borderId="0" xfId="8726" applyFont="1"/>
    <xf numFmtId="0" fontId="153" fillId="0" borderId="0" xfId="8726" applyFont="1"/>
    <xf numFmtId="0" fontId="2" fillId="48" borderId="44" xfId="8726" applyFill="1" applyBorder="1"/>
    <xf numFmtId="0" fontId="2" fillId="48" borderId="42" xfId="8726" applyFill="1" applyBorder="1"/>
    <xf numFmtId="0" fontId="2" fillId="48" borderId="41" xfId="8726" applyFill="1" applyBorder="1"/>
    <xf numFmtId="0" fontId="2" fillId="44" borderId="44" xfId="8726" applyFill="1" applyBorder="1"/>
    <xf numFmtId="0" fontId="2" fillId="44" borderId="42" xfId="8726" applyFill="1" applyBorder="1"/>
    <xf numFmtId="0" fontId="2" fillId="44" borderId="86" xfId="8726" applyFill="1" applyBorder="1"/>
    <xf numFmtId="0" fontId="2" fillId="48" borderId="0" xfId="8726" applyFill="1"/>
    <xf numFmtId="0" fontId="2" fillId="44" borderId="41" xfId="8726" applyFill="1" applyBorder="1"/>
    <xf numFmtId="0" fontId="2" fillId="44" borderId="0" xfId="8726" applyFill="1"/>
    <xf numFmtId="0" fontId="2" fillId="44" borderId="66" xfId="8726" applyFill="1" applyBorder="1"/>
    <xf numFmtId="0" fontId="2" fillId="44" borderId="0" xfId="8726" applyFill="1" applyAlignment="1">
      <alignment horizontal="left"/>
    </xf>
    <xf numFmtId="0" fontId="2" fillId="48" borderId="86" xfId="8726" applyFill="1" applyBorder="1"/>
    <xf numFmtId="0" fontId="2" fillId="48" borderId="66" xfId="8726" applyFill="1" applyBorder="1"/>
    <xf numFmtId="49" fontId="100" fillId="48" borderId="66" xfId="8726" applyNumberFormat="1" applyFont="1" applyFill="1" applyBorder="1" applyAlignment="1">
      <alignment horizontal="right" vertical="top"/>
    </xf>
    <xf numFmtId="0" fontId="100" fillId="48" borderId="0" xfId="8726" applyFont="1" applyFill="1"/>
    <xf numFmtId="0" fontId="100" fillId="48" borderId="66" xfId="8726" applyFont="1" applyFill="1" applyBorder="1"/>
    <xf numFmtId="0" fontId="100" fillId="48" borderId="41" xfId="8726" applyFont="1" applyFill="1" applyBorder="1" applyAlignment="1">
      <alignment horizontal="center"/>
    </xf>
    <xf numFmtId="0" fontId="101" fillId="48" borderId="0" xfId="8726" applyFont="1" applyFill="1"/>
    <xf numFmtId="0" fontId="2" fillId="48" borderId="69" xfId="8726" applyFill="1" applyBorder="1"/>
    <xf numFmtId="168" fontId="157" fillId="48" borderId="68" xfId="700" applyNumberFormat="1" applyFont="1" applyFill="1" applyBorder="1" applyAlignment="1" applyProtection="1">
      <protection locked="0"/>
    </xf>
    <xf numFmtId="0" fontId="162" fillId="48" borderId="0" xfId="8726" applyFont="1" applyFill="1"/>
    <xf numFmtId="0" fontId="147" fillId="47" borderId="91" xfId="8726" applyFont="1" applyFill="1" applyBorder="1" applyAlignment="1">
      <alignment horizontal="center"/>
    </xf>
    <xf numFmtId="0" fontId="147" fillId="47" borderId="11" xfId="8726" applyFont="1" applyFill="1" applyBorder="1" applyAlignment="1">
      <alignment horizontal="center"/>
    </xf>
    <xf numFmtId="0" fontId="161" fillId="47" borderId="91" xfId="8726" applyFont="1" applyFill="1" applyBorder="1"/>
    <xf numFmtId="0" fontId="161" fillId="47" borderId="11" xfId="8726" applyFont="1" applyFill="1" applyBorder="1"/>
    <xf numFmtId="0" fontId="2" fillId="45" borderId="69" xfId="8726" applyFill="1" applyBorder="1"/>
    <xf numFmtId="0" fontId="2" fillId="45" borderId="68" xfId="8726" applyFill="1" applyBorder="1"/>
    <xf numFmtId="0" fontId="100" fillId="45" borderId="68" xfId="8726" applyFont="1" applyFill="1" applyBorder="1"/>
    <xf numFmtId="0" fontId="100" fillId="45" borderId="67" xfId="8726" applyFont="1" applyFill="1" applyBorder="1"/>
    <xf numFmtId="0" fontId="100" fillId="45" borderId="69" xfId="8726" applyFont="1" applyFill="1" applyBorder="1"/>
    <xf numFmtId="0" fontId="2" fillId="48" borderId="0" xfId="8726" applyFill="1" applyAlignment="1">
      <alignment horizontal="left"/>
    </xf>
    <xf numFmtId="0" fontId="151" fillId="48" borderId="0" xfId="8726" applyFont="1" applyFill="1"/>
    <xf numFmtId="0" fontId="100" fillId="45" borderId="89" xfId="8726" applyFont="1" applyFill="1" applyBorder="1"/>
    <xf numFmtId="0" fontId="100" fillId="45" borderId="76" xfId="8726" applyFont="1" applyFill="1" applyBorder="1"/>
    <xf numFmtId="0" fontId="100" fillId="45" borderId="75" xfId="8726" applyFont="1" applyFill="1" applyBorder="1"/>
    <xf numFmtId="0" fontId="100" fillId="45" borderId="31" xfId="8726" applyFont="1" applyFill="1" applyBorder="1"/>
    <xf numFmtId="0" fontId="100" fillId="45" borderId="29" xfId="8726" applyFont="1" applyFill="1" applyBorder="1"/>
    <xf numFmtId="0" fontId="100" fillId="45" borderId="65" xfId="8726" applyFont="1" applyFill="1" applyBorder="1"/>
    <xf numFmtId="0" fontId="2" fillId="45" borderId="83" xfId="8726" applyFill="1" applyBorder="1"/>
    <xf numFmtId="0" fontId="2" fillId="45" borderId="82" xfId="8726" applyFill="1" applyBorder="1"/>
    <xf numFmtId="0" fontId="2" fillId="45" borderId="81" xfId="8726" applyFill="1" applyBorder="1"/>
    <xf numFmtId="0" fontId="100" fillId="45" borderId="81" xfId="8726" applyFont="1" applyFill="1" applyBorder="1"/>
    <xf numFmtId="0" fontId="2" fillId="45" borderId="31" xfId="8726" applyFill="1" applyBorder="1"/>
    <xf numFmtId="0" fontId="2" fillId="45" borderId="29" xfId="8726" applyFill="1" applyBorder="1"/>
    <xf numFmtId="0" fontId="2" fillId="45" borderId="67" xfId="8726" applyFill="1" applyBorder="1"/>
    <xf numFmtId="0" fontId="84" fillId="0" borderId="0" xfId="8726" applyFont="1"/>
    <xf numFmtId="0" fontId="2" fillId="45" borderId="99" xfId="8726" applyFill="1" applyBorder="1"/>
    <xf numFmtId="0" fontId="2" fillId="45" borderId="65" xfId="8726" applyFill="1" applyBorder="1"/>
    <xf numFmtId="0" fontId="100" fillId="45" borderId="28" xfId="8726" applyFont="1" applyFill="1" applyBorder="1"/>
    <xf numFmtId="0" fontId="2" fillId="52" borderId="101" xfId="8726" applyFill="1" applyBorder="1"/>
    <xf numFmtId="0" fontId="2" fillId="51" borderId="101" xfId="8726" applyFill="1" applyBorder="1"/>
    <xf numFmtId="0" fontId="100" fillId="50" borderId="100" xfId="8726" applyFont="1" applyFill="1" applyBorder="1"/>
    <xf numFmtId="0" fontId="100" fillId="0" borderId="0" xfId="8726" applyFont="1"/>
    <xf numFmtId="0" fontId="100" fillId="48" borderId="41" xfId="8726" applyFont="1" applyFill="1" applyBorder="1"/>
    <xf numFmtId="0" fontId="149" fillId="48" borderId="0" xfId="8726" applyFont="1" applyFill="1"/>
    <xf numFmtId="182" fontId="163" fillId="48" borderId="0" xfId="8727" applyNumberFormat="1" applyFont="1" applyFill="1" applyBorder="1" applyAlignment="1"/>
    <xf numFmtId="0" fontId="21" fillId="0" borderId="4" xfId="569" applyFont="1" applyBorder="1" applyAlignment="1">
      <alignment horizontal="center"/>
    </xf>
    <xf numFmtId="43" fontId="21" fillId="0" borderId="0" xfId="4504" applyFont="1" applyAlignment="1" applyProtection="1">
      <alignment horizontal="center"/>
    </xf>
    <xf numFmtId="0" fontId="21" fillId="0" borderId="0" xfId="569" applyFont="1" applyAlignment="1">
      <alignment horizontal="center" vertical="center"/>
    </xf>
    <xf numFmtId="0" fontId="21" fillId="0" borderId="16" xfId="569" applyFont="1" applyBorder="1" applyAlignment="1">
      <alignment horizontal="center"/>
    </xf>
    <xf numFmtId="49" fontId="21" fillId="0" borderId="4" xfId="569" applyNumberFormat="1" applyFont="1" applyBorder="1" applyAlignment="1">
      <alignment horizontal="center"/>
    </xf>
    <xf numFmtId="4" fontId="21" fillId="0" borderId="0" xfId="569" applyNumberFormat="1" applyFont="1" applyAlignment="1">
      <alignment horizontal="center"/>
    </xf>
    <xf numFmtId="0" fontId="14" fillId="0" borderId="0" xfId="569" applyAlignment="1">
      <alignment horizontal="center" wrapText="1"/>
    </xf>
    <xf numFmtId="0" fontId="96" fillId="0" borderId="6" xfId="4496" applyFont="1" applyBorder="1" applyAlignment="1">
      <alignment horizontal="left" vertical="top"/>
    </xf>
    <xf numFmtId="0" fontId="23" fillId="5" borderId="6" xfId="0" applyFont="1" applyFill="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14" fillId="5" borderId="6" xfId="0" applyFont="1" applyFill="1" applyBorder="1" applyAlignment="1" applyProtection="1">
      <alignment horizontal="left"/>
      <protection locked="0"/>
    </xf>
    <xf numFmtId="0" fontId="14" fillId="5" borderId="6" xfId="244" applyFont="1" applyFill="1" applyBorder="1" applyAlignment="1" applyProtection="1">
      <alignment horizontal="left"/>
      <protection locked="0"/>
    </xf>
    <xf numFmtId="0" fontId="20" fillId="3" borderId="0" xfId="0" applyFont="1" applyFill="1" applyAlignment="1">
      <alignment horizontal="center" vertical="center" wrapText="1"/>
    </xf>
    <xf numFmtId="0" fontId="20" fillId="3" borderId="16" xfId="0" applyFont="1" applyFill="1" applyBorder="1" applyAlignment="1">
      <alignment horizontal="center" vertical="center" wrapText="1"/>
    </xf>
    <xf numFmtId="0" fontId="14" fillId="0" borderId="0" xfId="0" applyFont="1" applyAlignment="1">
      <alignment horizontal="left" vertical="top" wrapText="1"/>
    </xf>
    <xf numFmtId="0" fontId="103" fillId="0" borderId="0" xfId="0" applyFont="1" applyAlignment="1">
      <alignment horizontal="left" vertical="top" wrapText="1"/>
    </xf>
    <xf numFmtId="0" fontId="43" fillId="0" borderId="0" xfId="0" applyFont="1" applyAlignment="1">
      <alignment horizontal="left" vertical="top" wrapText="1"/>
    </xf>
    <xf numFmtId="0" fontId="111" fillId="0" borderId="0" xfId="0" applyFont="1" applyAlignment="1">
      <alignment horizontal="left" wrapText="1"/>
    </xf>
    <xf numFmtId="0" fontId="14" fillId="0" borderId="0" xfId="0" applyFont="1" applyAlignment="1">
      <alignment horizontal="left" wrapText="1"/>
    </xf>
    <xf numFmtId="0" fontId="23" fillId="0" borderId="0" xfId="0" applyFont="1" applyAlignment="1">
      <alignment horizontal="left" wrapText="1"/>
    </xf>
    <xf numFmtId="0" fontId="15" fillId="0" borderId="0" xfId="244" applyAlignment="1" applyProtection="1">
      <alignment horizontal="left"/>
    </xf>
    <xf numFmtId="0" fontId="15" fillId="0" borderId="0" xfId="244"/>
    <xf numFmtId="0" fontId="0" fillId="0" borderId="0" xfId="0"/>
    <xf numFmtId="0" fontId="14" fillId="0" borderId="0" xfId="1192" applyAlignment="1">
      <alignment horizontal="left" vertical="top" wrapText="1"/>
    </xf>
    <xf numFmtId="0" fontId="21" fillId="0" borderId="0" xfId="0" applyFont="1" applyAlignment="1">
      <alignment horizontal="left" vertical="top" wrapText="1"/>
    </xf>
    <xf numFmtId="0" fontId="14" fillId="0" borderId="0" xfId="0" applyFont="1" applyAlignment="1">
      <alignment horizontal="left"/>
    </xf>
    <xf numFmtId="0" fontId="32" fillId="0" borderId="0" xfId="1192" applyFont="1" applyAlignment="1">
      <alignment horizontal="left"/>
    </xf>
    <xf numFmtId="0" fontId="14" fillId="0" borderId="0" xfId="1192" applyAlignment="1">
      <alignment horizontal="left"/>
    </xf>
    <xf numFmtId="4" fontId="14" fillId="0" borderId="0" xfId="1192" applyNumberFormat="1" applyAlignment="1">
      <alignment horizontal="left" vertical="top" wrapText="1"/>
    </xf>
    <xf numFmtId="0" fontId="21" fillId="0" borderId="4" xfId="569" applyFont="1" applyBorder="1" applyAlignment="1">
      <alignment horizontal="left"/>
    </xf>
    <xf numFmtId="0" fontId="32" fillId="0" borderId="0" xfId="0" applyFont="1" applyAlignment="1">
      <alignment horizontal="left"/>
    </xf>
    <xf numFmtId="0" fontId="21" fillId="0" borderId="0" xfId="271" applyFont="1" applyAlignment="1">
      <alignment horizontal="left" vertical="top" wrapText="1"/>
    </xf>
    <xf numFmtId="0" fontId="0" fillId="0" borderId="0" xfId="0" applyAlignment="1">
      <alignment horizontal="left" vertical="top" wrapText="1"/>
    </xf>
    <xf numFmtId="0" fontId="23" fillId="0" borderId="0" xfId="0" applyFont="1" applyAlignment="1">
      <alignment horizontal="left"/>
    </xf>
    <xf numFmtId="0" fontId="14" fillId="0" borderId="0" xfId="271" applyFont="1" applyAlignment="1" applyProtection="1">
      <alignment horizontal="left" vertical="top" wrapText="1"/>
      <protection locked="0"/>
    </xf>
    <xf numFmtId="0" fontId="15" fillId="0" borderId="0" xfId="244" applyAlignment="1">
      <alignment horizontal="left"/>
    </xf>
    <xf numFmtId="0" fontId="21" fillId="0" borderId="0" xfId="0" applyFont="1" applyAlignment="1">
      <alignment horizontal="left"/>
    </xf>
    <xf numFmtId="0" fontId="21" fillId="0" borderId="16" xfId="0" applyFont="1" applyBorder="1" applyAlignment="1">
      <alignment horizontal="left"/>
    </xf>
    <xf numFmtId="0" fontId="14" fillId="0" borderId="27" xfId="0" applyFont="1" applyBorder="1" applyAlignment="1">
      <alignment horizontal="left"/>
    </xf>
    <xf numFmtId="4" fontId="14" fillId="0" borderId="0" xfId="569" applyNumberFormat="1" applyAlignment="1">
      <alignment horizontal="left" vertical="top" wrapText="1"/>
    </xf>
    <xf numFmtId="0" fontId="32" fillId="0" borderId="0" xfId="569" applyFont="1" applyAlignment="1">
      <alignment horizontal="left"/>
    </xf>
    <xf numFmtId="0" fontId="14" fillId="0" borderId="0" xfId="569" applyAlignment="1">
      <alignment horizontal="left" vertical="top" wrapText="1"/>
    </xf>
    <xf numFmtId="0" fontId="14" fillId="0" borderId="0" xfId="569" applyAlignment="1">
      <alignment horizontal="left"/>
    </xf>
    <xf numFmtId="0" fontId="32" fillId="0" borderId="0" xfId="569" applyFont="1" applyAlignment="1">
      <alignment horizontal="left" vertical="top" wrapText="1"/>
    </xf>
    <xf numFmtId="0" fontId="14" fillId="0" borderId="0" xfId="569" applyAlignment="1">
      <alignment horizontal="left" vertical="top"/>
    </xf>
    <xf numFmtId="0" fontId="14" fillId="0" borderId="0" xfId="271" applyFont="1" applyAlignment="1">
      <alignment horizontal="left" vertical="top" wrapText="1"/>
    </xf>
    <xf numFmtId="0" fontId="23" fillId="0" borderId="0" xfId="0" applyFont="1" applyAlignment="1">
      <alignment horizontal="left" vertical="top"/>
    </xf>
    <xf numFmtId="0" fontId="32" fillId="0" borderId="0" xfId="0" applyFont="1" applyAlignment="1">
      <alignment horizontal="left" vertical="top" wrapText="1"/>
    </xf>
    <xf numFmtId="0" fontId="32" fillId="0" borderId="0" xfId="0" applyFont="1" applyAlignment="1">
      <alignment horizontal="center"/>
    </xf>
    <xf numFmtId="0" fontId="0" fillId="0" borderId="0" xfId="0" applyAlignment="1">
      <alignment horizontal="center"/>
    </xf>
    <xf numFmtId="0" fontId="21" fillId="0" borderId="0" xfId="0" applyFont="1" applyAlignment="1">
      <alignment horizontal="center"/>
    </xf>
    <xf numFmtId="49" fontId="14" fillId="0" borderId="0" xfId="0" applyNumberFormat="1" applyFont="1" applyAlignment="1">
      <alignment horizontal="left" vertical="top" wrapText="1"/>
    </xf>
    <xf numFmtId="49" fontId="14" fillId="0" borderId="0" xfId="1192" applyNumberFormat="1" applyAlignment="1">
      <alignment horizontal="left" vertical="top" wrapText="1"/>
    </xf>
    <xf numFmtId="4" fontId="32" fillId="0" borderId="0" xfId="0" applyNumberFormat="1" applyFont="1" applyAlignment="1">
      <alignment horizontal="left"/>
    </xf>
    <xf numFmtId="4" fontId="14" fillId="0" borderId="0" xfId="0" applyNumberFormat="1" applyFont="1" applyAlignment="1">
      <alignment horizontal="left" vertical="top" wrapText="1"/>
    </xf>
    <xf numFmtId="4" fontId="15" fillId="0" borderId="0" xfId="244" applyNumberFormat="1" applyFill="1" applyAlignment="1" applyProtection="1">
      <alignment horizontal="left"/>
    </xf>
    <xf numFmtId="0" fontId="21" fillId="0" borderId="0" xfId="569" applyFont="1" applyAlignment="1">
      <alignment horizontal="left" vertical="top"/>
    </xf>
    <xf numFmtId="0" fontId="14" fillId="0" borderId="0" xfId="0" applyFont="1" applyAlignment="1">
      <alignment horizontal="left" vertical="top"/>
    </xf>
    <xf numFmtId="0" fontId="15" fillId="0" borderId="0" xfId="244" quotePrefix="1" applyAlignment="1" applyProtection="1">
      <alignment horizontal="left"/>
    </xf>
    <xf numFmtId="0" fontId="21" fillId="0" borderId="4" xfId="0" applyFont="1" applyBorder="1" applyAlignment="1">
      <alignment horizontal="left"/>
    </xf>
    <xf numFmtId="0" fontId="21" fillId="0" borderId="4" xfId="569" applyFont="1" applyBorder="1" applyAlignment="1">
      <alignment horizontal="left" vertical="top"/>
    </xf>
    <xf numFmtId="0" fontId="32" fillId="0" borderId="0" xfId="569" applyFont="1" applyAlignment="1">
      <alignment horizontal="left" vertical="top"/>
    </xf>
    <xf numFmtId="0" fontId="32" fillId="0" borderId="0" xfId="0" applyFont="1" applyAlignment="1">
      <alignment horizontal="left" wrapText="1"/>
    </xf>
    <xf numFmtId="4" fontId="14" fillId="0" borderId="0" xfId="569" applyNumberFormat="1" applyAlignment="1">
      <alignment horizontal="left"/>
    </xf>
    <xf numFmtId="4" fontId="32" fillId="0" borderId="0" xfId="569" applyNumberFormat="1" applyFont="1" applyAlignment="1">
      <alignment horizontal="left" vertical="top" wrapText="1"/>
    </xf>
    <xf numFmtId="0" fontId="112" fillId="0" borderId="0" xfId="569" applyFont="1" applyAlignment="1">
      <alignment horizontal="center"/>
    </xf>
    <xf numFmtId="0" fontId="113" fillId="0" borderId="0" xfId="569" applyFont="1"/>
    <xf numFmtId="0" fontId="14" fillId="0" borderId="0" xfId="569" applyAlignment="1">
      <alignment wrapText="1"/>
    </xf>
    <xf numFmtId="0" fontId="21" fillId="0" borderId="0" xfId="569" applyFont="1" applyAlignment="1">
      <alignment wrapText="1"/>
    </xf>
    <xf numFmtId="0" fontId="29" fillId="0" borderId="0" xfId="569" applyFont="1" applyAlignment="1">
      <alignment horizontal="center"/>
    </xf>
    <xf numFmtId="0" fontId="14" fillId="0" borderId="0" xfId="569"/>
    <xf numFmtId="0" fontId="14" fillId="0" borderId="0" xfId="1192" applyAlignment="1">
      <alignment vertical="top" wrapText="1"/>
    </xf>
    <xf numFmtId="4" fontId="14" fillId="0" borderId="0" xfId="0" applyNumberFormat="1" applyFont="1" applyAlignment="1">
      <alignment horizontal="left"/>
    </xf>
    <xf numFmtId="0" fontId="32" fillId="0" borderId="0" xfId="0" applyFont="1" applyAlignment="1">
      <alignment horizontal="left" vertical="top"/>
    </xf>
    <xf numFmtId="0" fontId="14" fillId="0" borderId="0" xfId="0" applyFont="1" applyAlignment="1">
      <alignment horizontal="left" vertical="center" wrapText="1"/>
    </xf>
    <xf numFmtId="0" fontId="14" fillId="0" borderId="0" xfId="569" applyAlignment="1">
      <alignment horizontal="left" wrapText="1"/>
    </xf>
    <xf numFmtId="0" fontId="14" fillId="0" borderId="0" xfId="0" applyFont="1" applyAlignment="1">
      <alignment vertical="top" wrapText="1"/>
    </xf>
    <xf numFmtId="0" fontId="15" fillId="0" borderId="0" xfId="244" applyFill="1" applyBorder="1" applyAlignment="1">
      <alignment horizontal="left" vertical="top" wrapText="1"/>
    </xf>
    <xf numFmtId="0" fontId="21" fillId="0" borderId="0" xfId="0" applyFont="1" applyAlignment="1">
      <alignment vertical="top" wrapText="1"/>
    </xf>
    <xf numFmtId="0" fontId="32" fillId="0" borderId="0" xfId="1192" applyFont="1" applyAlignment="1">
      <alignment horizontal="left" vertical="top" wrapText="1"/>
    </xf>
    <xf numFmtId="0" fontId="21" fillId="0" borderId="0" xfId="1192" applyFont="1" applyAlignment="1">
      <alignment horizontal="left" vertical="top" wrapText="1"/>
    </xf>
    <xf numFmtId="0" fontId="14" fillId="0" borderId="0" xfId="569" applyAlignment="1">
      <alignment vertical="top" wrapText="1"/>
    </xf>
    <xf numFmtId="4" fontId="32" fillId="0" borderId="0" xfId="0" applyNumberFormat="1" applyFont="1" applyAlignment="1">
      <alignment horizontal="left" vertical="top" wrapText="1"/>
    </xf>
    <xf numFmtId="0" fontId="14" fillId="0" borderId="0" xfId="0" quotePrefix="1" applyFont="1" applyAlignment="1">
      <alignment horizontal="left" vertical="top"/>
    </xf>
    <xf numFmtId="0" fontId="14" fillId="0" borderId="0" xfId="0" quotePrefix="1" applyFont="1" applyAlignment="1">
      <alignment horizontal="left" vertical="top" wrapText="1"/>
    </xf>
    <xf numFmtId="0" fontId="21" fillId="0" borderId="0" xfId="569" applyFont="1" applyAlignment="1">
      <alignment horizontal="center"/>
    </xf>
    <xf numFmtId="0" fontId="15" fillId="0" borderId="0" xfId="244" applyNumberFormat="1" applyFill="1" applyAlignment="1" applyProtection="1">
      <alignment horizontal="left"/>
    </xf>
    <xf numFmtId="0" fontId="32" fillId="0" borderId="0" xfId="569" applyFont="1" applyAlignment="1">
      <alignment horizontal="left" wrapText="1"/>
    </xf>
    <xf numFmtId="0" fontId="32" fillId="0" borderId="0" xfId="569" applyFont="1" applyAlignment="1">
      <alignment horizontal="center" wrapText="1"/>
    </xf>
    <xf numFmtId="0" fontId="21" fillId="0" borderId="0" xfId="0" applyFont="1" applyAlignment="1">
      <alignment horizontal="left" vertical="top"/>
    </xf>
    <xf numFmtId="0" fontId="14" fillId="0" borderId="0" xfId="569" applyAlignment="1">
      <alignment horizontal="left" vertical="center" wrapText="1"/>
    </xf>
    <xf numFmtId="0" fontId="21" fillId="0" borderId="16" xfId="569" applyFont="1" applyBorder="1" applyAlignment="1">
      <alignment horizontal="left"/>
    </xf>
    <xf numFmtId="0" fontId="21" fillId="0" borderId="0" xfId="569" applyFont="1" applyAlignment="1">
      <alignment horizontal="left"/>
    </xf>
    <xf numFmtId="0" fontId="21" fillId="0" borderId="4" xfId="0" applyFont="1" applyBorder="1" applyAlignment="1">
      <alignment horizontal="left" vertical="top"/>
    </xf>
    <xf numFmtId="0" fontId="15" fillId="0" borderId="0" xfId="244" applyAlignment="1" applyProtection="1">
      <alignment horizontal="left" vertical="top" wrapText="1"/>
    </xf>
    <xf numFmtId="0" fontId="14" fillId="0" borderId="0" xfId="1192" applyAlignment="1" applyProtection="1">
      <alignment horizontal="left" vertical="top" wrapText="1"/>
      <protection locked="0"/>
    </xf>
    <xf numFmtId="0" fontId="14" fillId="0" borderId="27" xfId="569" applyBorder="1" applyAlignment="1">
      <alignment horizontal="left"/>
    </xf>
    <xf numFmtId="0" fontId="32" fillId="0" borderId="0" xfId="569" applyFont="1" applyAlignment="1">
      <alignment horizontal="center"/>
    </xf>
    <xf numFmtId="0" fontId="14" fillId="0" borderId="15" xfId="569" applyBorder="1" applyAlignment="1">
      <alignment horizontal="center" vertical="top" wrapText="1"/>
    </xf>
    <xf numFmtId="0" fontId="14" fillId="0" borderId="14" xfId="569" applyBorder="1" applyAlignment="1">
      <alignment horizontal="center" vertical="top" wrapText="1"/>
    </xf>
    <xf numFmtId="0" fontId="14" fillId="0" borderId="13" xfId="569" applyBorder="1" applyAlignment="1">
      <alignment horizontal="center" vertical="top" wrapText="1"/>
    </xf>
    <xf numFmtId="1" fontId="23" fillId="5" borderId="3" xfId="0" applyNumberFormat="1" applyFont="1" applyFill="1" applyBorder="1" applyAlignment="1" applyProtection="1">
      <alignment horizontal="center"/>
      <protection locked="0"/>
    </xf>
    <xf numFmtId="1" fontId="23" fillId="5" borderId="4" xfId="0" applyNumberFormat="1" applyFont="1" applyFill="1" applyBorder="1" applyAlignment="1" applyProtection="1">
      <alignment horizontal="center"/>
      <protection locked="0"/>
    </xf>
    <xf numFmtId="1" fontId="23" fillId="5" borderId="5" xfId="0" applyNumberFormat="1" applyFont="1" applyFill="1" applyBorder="1" applyAlignment="1" applyProtection="1">
      <alignment horizontal="center"/>
      <protection locked="0"/>
    </xf>
    <xf numFmtId="168" fontId="23" fillId="5" borderId="3" xfId="0" applyNumberFormat="1" applyFont="1" applyFill="1" applyBorder="1" applyAlignment="1" applyProtection="1">
      <alignment horizontal="center"/>
      <protection locked="0"/>
    </xf>
    <xf numFmtId="168" fontId="23" fillId="5" borderId="4" xfId="0" applyNumberFormat="1" applyFont="1" applyFill="1" applyBorder="1" applyAlignment="1" applyProtection="1">
      <alignment horizontal="center"/>
      <protection locked="0"/>
    </xf>
    <xf numFmtId="168" fontId="2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1" fontId="23" fillId="5" borderId="11" xfId="0" applyNumberFormat="1" applyFont="1" applyFill="1" applyBorder="1" applyAlignment="1" applyProtection="1">
      <alignment horizontal="center"/>
      <protection locked="0"/>
    </xf>
    <xf numFmtId="0" fontId="23" fillId="0" borderId="11" xfId="0" applyFont="1" applyBorder="1" applyAlignment="1">
      <alignment horizontal="center" vertical="top" wrapText="1"/>
    </xf>
    <xf numFmtId="168" fontId="23" fillId="0" borderId="3" xfId="0" applyNumberFormat="1" applyFont="1" applyBorder="1" applyAlignment="1">
      <alignment horizontal="center"/>
    </xf>
    <xf numFmtId="168" fontId="23" fillId="0" borderId="4" xfId="0" applyNumberFormat="1" applyFont="1" applyBorder="1" applyAlignment="1">
      <alignment horizontal="center"/>
    </xf>
    <xf numFmtId="168" fontId="23" fillId="0" borderId="5" xfId="0" applyNumberFormat="1" applyFont="1" applyBorder="1" applyAlignment="1">
      <alignment horizontal="center"/>
    </xf>
    <xf numFmtId="0" fontId="21" fillId="0" borderId="0" xfId="0" applyFont="1" applyAlignment="1">
      <alignment horizontal="center" vertical="center"/>
    </xf>
    <xf numFmtId="9" fontId="23" fillId="5" borderId="3" xfId="0" applyNumberFormat="1" applyFont="1" applyFill="1" applyBorder="1" applyAlignment="1" applyProtection="1">
      <alignment horizontal="center"/>
      <protection locked="0"/>
    </xf>
    <xf numFmtId="9" fontId="23" fillId="5" borderId="4" xfId="0" applyNumberFormat="1" applyFont="1" applyFill="1" applyBorder="1" applyAlignment="1" applyProtection="1">
      <alignment horizontal="center"/>
      <protection locked="0"/>
    </xf>
    <xf numFmtId="9" fontId="23" fillId="5" borderId="5" xfId="0" applyNumberFormat="1" applyFont="1" applyFill="1" applyBorder="1" applyAlignment="1" applyProtection="1">
      <alignment horizontal="center"/>
      <protection locked="0"/>
    </xf>
    <xf numFmtId="0" fontId="21"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7" xfId="0" applyFont="1" applyBorder="1" applyAlignment="1">
      <alignment horizontal="center" vertical="top" wrapText="1"/>
    </xf>
    <xf numFmtId="0" fontId="23" fillId="0" borderId="8"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23" fillId="0" borderId="10" xfId="0" applyFont="1" applyBorder="1" applyAlignment="1">
      <alignment horizontal="center" vertical="top" wrapText="1"/>
    </xf>
    <xf numFmtId="166" fontId="14" fillId="5" borderId="4" xfId="0" applyNumberFormat="1" applyFont="1" applyFill="1" applyBorder="1" applyAlignment="1" applyProtection="1">
      <alignment horizontal="left"/>
      <protection locked="0"/>
    </xf>
    <xf numFmtId="166" fontId="23" fillId="5" borderId="4" xfId="0" applyNumberFormat="1" applyFont="1" applyFill="1" applyBorder="1" applyAlignment="1" applyProtection="1">
      <alignment horizontal="left"/>
      <protection locked="0"/>
    </xf>
    <xf numFmtId="164" fontId="22" fillId="5" borderId="3" xfId="0" applyNumberFormat="1" applyFont="1" applyFill="1" applyBorder="1" applyAlignment="1" applyProtection="1">
      <alignment horizontal="left"/>
      <protection locked="0"/>
    </xf>
    <xf numFmtId="164" fontId="22" fillId="5" borderId="4" xfId="0" applyNumberFormat="1" applyFont="1" applyFill="1" applyBorder="1" applyAlignment="1" applyProtection="1">
      <alignment horizontal="left"/>
      <protection locked="0"/>
    </xf>
    <xf numFmtId="164" fontId="22" fillId="5" borderId="5" xfId="0" applyNumberFormat="1" applyFont="1" applyFill="1" applyBorder="1" applyAlignment="1" applyProtection="1">
      <alignment horizontal="left"/>
      <protection locked="0"/>
    </xf>
    <xf numFmtId="165" fontId="23" fillId="0" borderId="1" xfId="0" applyNumberFormat="1" applyFont="1" applyBorder="1" applyAlignment="1">
      <alignment horizontal="right"/>
    </xf>
    <xf numFmtId="165" fontId="23" fillId="0" borderId="2" xfId="0" applyNumberFormat="1" applyFont="1" applyBorder="1" applyAlignment="1">
      <alignment horizontal="right"/>
    </xf>
    <xf numFmtId="165" fontId="23" fillId="0" borderId="7" xfId="0" applyNumberFormat="1" applyFont="1" applyBorder="1" applyAlignment="1">
      <alignment horizontal="right"/>
    </xf>
    <xf numFmtId="0" fontId="175" fillId="0" borderId="8" xfId="543" applyFont="1" applyBorder="1" applyAlignment="1">
      <alignment horizontal="center" wrapText="1"/>
    </xf>
    <xf numFmtId="0" fontId="175" fillId="0" borderId="0" xfId="543" applyFont="1" applyAlignment="1">
      <alignment horizontal="center" wrapText="1"/>
    </xf>
    <xf numFmtId="0" fontId="175" fillId="0" borderId="12" xfId="543" applyFont="1" applyBorder="1" applyAlignment="1">
      <alignment horizontal="center" wrapText="1"/>
    </xf>
    <xf numFmtId="0" fontId="175" fillId="0" borderId="9" xfId="543" applyFont="1" applyBorder="1" applyAlignment="1">
      <alignment horizontal="center" wrapText="1"/>
    </xf>
    <xf numFmtId="0" fontId="175" fillId="0" borderId="6" xfId="543" applyFont="1" applyBorder="1" applyAlignment="1">
      <alignment horizontal="center" wrapText="1"/>
    </xf>
    <xf numFmtId="0" fontId="175" fillId="0" borderId="10" xfId="543" applyFont="1" applyBorder="1" applyAlignment="1">
      <alignment horizontal="center" wrapText="1"/>
    </xf>
    <xf numFmtId="0" fontId="175" fillId="0" borderId="8" xfId="543" applyFont="1" applyBorder="1" applyAlignment="1">
      <alignment horizontal="center" vertical="top" wrapText="1"/>
    </xf>
    <xf numFmtId="0" fontId="175" fillId="0" borderId="0" xfId="543" applyFont="1" applyAlignment="1">
      <alignment horizontal="center" vertical="top" wrapText="1"/>
    </xf>
    <xf numFmtId="0" fontId="175" fillId="0" borderId="12" xfId="543" applyFont="1" applyBorder="1" applyAlignment="1">
      <alignment horizontal="center" vertical="top" wrapText="1"/>
    </xf>
    <xf numFmtId="0" fontId="175" fillId="0" borderId="9" xfId="543" applyFont="1" applyBorder="1" applyAlignment="1">
      <alignment horizontal="center" vertical="top" wrapText="1"/>
    </xf>
    <xf numFmtId="0" fontId="175" fillId="0" borderId="6" xfId="543" applyFont="1" applyBorder="1" applyAlignment="1">
      <alignment horizontal="center" vertical="top" wrapText="1"/>
    </xf>
    <xf numFmtId="0" fontId="175" fillId="0" borderId="10" xfId="543" applyFont="1" applyBorder="1" applyAlignment="1">
      <alignment horizontal="center" vertical="top" wrapText="1"/>
    </xf>
    <xf numFmtId="0" fontId="170" fillId="0" borderId="0" xfId="0" applyFont="1" applyAlignment="1">
      <alignment horizontal="center" vertical="center" wrapText="1"/>
    </xf>
    <xf numFmtId="0" fontId="14" fillId="0" borderId="3" xfId="543" applyBorder="1" applyAlignment="1">
      <alignment horizontal="center"/>
    </xf>
    <xf numFmtId="0" fontId="14" fillId="0" borderId="4" xfId="543" applyBorder="1" applyAlignment="1">
      <alignment horizontal="center"/>
    </xf>
    <xf numFmtId="0" fontId="14" fillId="0" borderId="5" xfId="543" applyBorder="1" applyAlignment="1">
      <alignment horizontal="center"/>
    </xf>
    <xf numFmtId="1" fontId="14" fillId="0" borderId="3" xfId="543" applyNumberFormat="1" applyBorder="1" applyAlignment="1">
      <alignment horizontal="center"/>
    </xf>
    <xf numFmtId="1" fontId="14" fillId="0" borderId="4" xfId="543" applyNumberFormat="1" applyBorder="1" applyAlignment="1">
      <alignment horizontal="center"/>
    </xf>
    <xf numFmtId="1" fontId="14" fillId="0" borderId="5" xfId="543" applyNumberFormat="1" applyBorder="1" applyAlignment="1">
      <alignment horizontal="center"/>
    </xf>
    <xf numFmtId="3" fontId="42" fillId="10" borderId="0" xfId="543" applyNumberFormat="1" applyFont="1" applyFill="1" applyAlignment="1">
      <alignment horizontal="left" vertical="center" wrapText="1"/>
    </xf>
    <xf numFmtId="168" fontId="170" fillId="0" borderId="0" xfId="0" applyNumberFormat="1" applyFont="1" applyAlignment="1">
      <alignment horizontal="center" vertical="center" wrapText="1"/>
    </xf>
    <xf numFmtId="168" fontId="14" fillId="0" borderId="1" xfId="543" applyNumberFormat="1" applyBorder="1" applyAlignment="1">
      <alignment horizontal="center" vertical="center"/>
    </xf>
    <xf numFmtId="168" fontId="14" fillId="0" borderId="2" xfId="543" applyNumberFormat="1" applyBorder="1" applyAlignment="1">
      <alignment horizontal="center" vertical="center"/>
    </xf>
    <xf numFmtId="168" fontId="14" fillId="0" borderId="7" xfId="543" applyNumberFormat="1" applyBorder="1" applyAlignment="1">
      <alignment horizontal="center" vertical="center"/>
    </xf>
    <xf numFmtId="168" fontId="14" fillId="0" borderId="8" xfId="543" applyNumberFormat="1" applyBorder="1" applyAlignment="1">
      <alignment horizontal="center" vertical="center"/>
    </xf>
    <xf numFmtId="168" fontId="14" fillId="0" borderId="0" xfId="543" applyNumberFormat="1" applyAlignment="1">
      <alignment horizontal="center" vertical="center"/>
    </xf>
    <xf numFmtId="168" fontId="14" fillId="0" borderId="12" xfId="543" applyNumberFormat="1" applyBorder="1" applyAlignment="1">
      <alignment horizontal="center" vertical="center"/>
    </xf>
    <xf numFmtId="168" fontId="14" fillId="0" borderId="9" xfId="543" applyNumberFormat="1" applyBorder="1" applyAlignment="1">
      <alignment horizontal="center" vertical="center"/>
    </xf>
    <xf numFmtId="168" fontId="14" fillId="0" borderId="6" xfId="543" applyNumberFormat="1" applyBorder="1" applyAlignment="1">
      <alignment horizontal="center" vertical="center"/>
    </xf>
    <xf numFmtId="168" fontId="14"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1" fillId="0" borderId="8" xfId="543" applyFont="1" applyBorder="1" applyAlignment="1">
      <alignment horizontal="left" vertical="center" wrapText="1"/>
    </xf>
    <xf numFmtId="0" fontId="21" fillId="0" borderId="0" xfId="543" applyFont="1" applyAlignment="1">
      <alignment horizontal="left" vertical="center" wrapText="1"/>
    </xf>
    <xf numFmtId="0" fontId="21" fillId="0" borderId="12" xfId="543" applyFont="1" applyBorder="1" applyAlignment="1">
      <alignment horizontal="left" vertical="center" wrapText="1"/>
    </xf>
    <xf numFmtId="0" fontId="0" fillId="5" borderId="4" xfId="0" applyFill="1" applyBorder="1" applyAlignment="1" applyProtection="1">
      <alignment horizontal="left"/>
      <protection locked="0"/>
    </xf>
    <xf numFmtId="175" fontId="14" fillId="43" borderId="3" xfId="0" applyNumberFormat="1" applyFont="1" applyFill="1" applyBorder="1" applyAlignment="1" applyProtection="1">
      <alignment horizontal="center"/>
      <protection locked="0"/>
    </xf>
    <xf numFmtId="175" fontId="14" fillId="43" borderId="4" xfId="0" applyNumberFormat="1" applyFont="1" applyFill="1" applyBorder="1" applyAlignment="1" applyProtection="1">
      <alignment horizontal="center"/>
      <protection locked="0"/>
    </xf>
    <xf numFmtId="175" fontId="14" fillId="43" borderId="5" xfId="0" applyNumberFormat="1" applyFont="1" applyFill="1" applyBorder="1" applyAlignment="1" applyProtection="1">
      <alignment horizontal="center"/>
      <protection locked="0"/>
    </xf>
    <xf numFmtId="0" fontId="47" fillId="0" borderId="0" xfId="0" applyFont="1" applyAlignment="1">
      <alignment horizontal="center"/>
    </xf>
    <xf numFmtId="0" fontId="14" fillId="0" borderId="0" xfId="0" applyFont="1" applyAlignment="1">
      <alignment horizontal="center"/>
    </xf>
    <xf numFmtId="0" fontId="29" fillId="0" borderId="0" xfId="0" applyFont="1" applyAlignment="1">
      <alignment horizontal="center"/>
    </xf>
    <xf numFmtId="0" fontId="14" fillId="0" borderId="0" xfId="0" applyFont="1" applyAlignment="1">
      <alignment wrapText="1"/>
    </xf>
    <xf numFmtId="0" fontId="14" fillId="0" borderId="0" xfId="0" applyFont="1" applyAlignment="1">
      <alignment horizontal="center" vertical="top"/>
    </xf>
    <xf numFmtId="0" fontId="23" fillId="0" borderId="0" xfId="0" applyFont="1" applyAlignment="1">
      <alignment horizontal="left" vertical="top" wrapText="1"/>
    </xf>
    <xf numFmtId="0" fontId="14" fillId="5" borderId="6" xfId="0" applyFont="1" applyFill="1" applyBorder="1" applyAlignment="1" applyProtection="1">
      <alignment horizontal="left"/>
      <protection locked="0"/>
    </xf>
    <xf numFmtId="0" fontId="23" fillId="5" borderId="6" xfId="0" applyFont="1"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0" fillId="3" borderId="0" xfId="0" applyFont="1" applyFill="1" applyAlignment="1">
      <alignment horizontal="center" vertical="center"/>
    </xf>
    <xf numFmtId="0" fontId="14" fillId="5" borderId="11" xfId="0" applyFont="1" applyFill="1" applyBorder="1" applyAlignment="1" applyProtection="1">
      <alignment horizontal="left" wrapText="1"/>
      <protection locked="0"/>
    </xf>
    <xf numFmtId="172" fontId="21"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1" fillId="0" borderId="3" xfId="0" applyFont="1" applyBorder="1" applyAlignment="1">
      <alignment horizontal="right"/>
    </xf>
    <xf numFmtId="0" fontId="21" fillId="0" borderId="4" xfId="0" applyFont="1" applyBorder="1" applyAlignment="1">
      <alignment horizontal="right"/>
    </xf>
    <xf numFmtId="0" fontId="21" fillId="0" borderId="5" xfId="0" applyFont="1" applyBorder="1" applyAlignment="1">
      <alignment horizontal="right"/>
    </xf>
    <xf numFmtId="0" fontId="21" fillId="0" borderId="9" xfId="0" applyFont="1" applyBorder="1" applyAlignment="1">
      <alignment horizontal="right"/>
    </xf>
    <xf numFmtId="0" fontId="21" fillId="0" borderId="6" xfId="0" applyFont="1" applyBorder="1" applyAlignment="1">
      <alignment horizontal="right"/>
    </xf>
    <xf numFmtId="0" fontId="21" fillId="0" borderId="10" xfId="0" applyFont="1" applyBorder="1" applyAlignment="1">
      <alignment horizontal="right"/>
    </xf>
    <xf numFmtId="0" fontId="0" fillId="0" borderId="6" xfId="0" applyBorder="1" applyAlignment="1">
      <alignment horizontal="left"/>
    </xf>
    <xf numFmtId="0" fontId="23" fillId="5" borderId="4" xfId="0" applyFont="1" applyFill="1" applyBorder="1" applyAlignment="1" applyProtection="1">
      <alignment horizontal="left"/>
      <protection locked="0"/>
    </xf>
    <xf numFmtId="166" fontId="23"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4" fillId="43" borderId="3" xfId="0" applyNumberFormat="1" applyFont="1" applyFill="1" applyBorder="1" applyAlignment="1" applyProtection="1">
      <alignment horizontal="center" vertical="center"/>
      <protection locked="0"/>
    </xf>
    <xf numFmtId="175" fontId="14" fillId="43" borderId="4" xfId="0" applyNumberFormat="1" applyFont="1" applyFill="1" applyBorder="1" applyAlignment="1" applyProtection="1">
      <alignment horizontal="center" vertical="center"/>
      <protection locked="0"/>
    </xf>
    <xf numFmtId="175" fontId="14" fillId="43" borderId="5" xfId="0" applyNumberFormat="1" applyFont="1" applyFill="1" applyBorder="1" applyAlignment="1" applyProtection="1">
      <alignment horizontal="center" vertic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0" fillId="0" borderId="11" xfId="0" applyBorder="1" applyAlignment="1">
      <alignment horizontal="center"/>
    </xf>
    <xf numFmtId="0" fontId="14" fillId="0" borderId="1" xfId="0" applyFont="1" applyBorder="1" applyAlignment="1">
      <alignment horizontal="center" vertical="top" wrapText="1"/>
    </xf>
    <xf numFmtId="0" fontId="14" fillId="0" borderId="3" xfId="0"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23" fillId="45" borderId="11" xfId="0" applyFont="1" applyFill="1" applyBorder="1" applyAlignment="1">
      <alignment horizontal="center"/>
    </xf>
    <xf numFmtId="0" fontId="23" fillId="45" borderId="3" xfId="0" applyFont="1" applyFill="1" applyBorder="1" applyAlignment="1">
      <alignment horizontal="center"/>
    </xf>
    <xf numFmtId="0" fontId="23" fillId="45" borderId="4" xfId="0" applyFont="1" applyFill="1" applyBorder="1" applyAlignment="1">
      <alignment horizontal="center"/>
    </xf>
    <xf numFmtId="0" fontId="23"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7" fillId="0" borderId="3" xfId="0" applyFont="1" applyBorder="1" applyAlignment="1">
      <alignment horizontal="center"/>
    </xf>
    <xf numFmtId="0" fontId="37" fillId="0" borderId="4" xfId="0" applyFont="1" applyBorder="1" applyAlignment="1">
      <alignment horizontal="center"/>
    </xf>
    <xf numFmtId="0" fontId="37" fillId="0" borderId="5" xfId="0" applyFont="1" applyBorder="1" applyAlignment="1">
      <alignment horizontal="center"/>
    </xf>
    <xf numFmtId="0" fontId="23" fillId="0" borderId="11" xfId="0" applyFont="1" applyBorder="1" applyAlignment="1">
      <alignment horizontal="center"/>
    </xf>
    <xf numFmtId="0" fontId="14" fillId="0" borderId="11" xfId="0" applyFont="1" applyBorder="1" applyAlignment="1">
      <alignment horizontal="center"/>
    </xf>
    <xf numFmtId="0" fontId="23" fillId="2" borderId="11" xfId="0" applyFont="1" applyFill="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0" fontId="21" fillId="0" borderId="2"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0" fontId="14" fillId="0" borderId="11" xfId="543" applyBorder="1" applyAlignment="1">
      <alignment horizontal="center"/>
    </xf>
    <xf numFmtId="0" fontId="14" fillId="0" borderId="8" xfId="543" applyBorder="1" applyAlignment="1">
      <alignment horizontal="left" vertical="top" wrapText="1"/>
    </xf>
    <xf numFmtId="0" fontId="14" fillId="0" borderId="0" xfId="543" applyAlignment="1">
      <alignment horizontal="left" vertical="top" wrapText="1"/>
    </xf>
    <xf numFmtId="0" fontId="14" fillId="0" borderId="12" xfId="543" applyBorder="1" applyAlignment="1">
      <alignment horizontal="left" vertical="top" wrapText="1"/>
    </xf>
    <xf numFmtId="0" fontId="22" fillId="5" borderId="3" xfId="543" applyFont="1"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168" fontId="14" fillId="10" borderId="3" xfId="543" applyNumberFormat="1" applyFill="1" applyBorder="1" applyAlignment="1">
      <alignment horizontal="center"/>
    </xf>
    <xf numFmtId="168" fontId="14" fillId="10" borderId="4" xfId="543" applyNumberFormat="1" applyFill="1" applyBorder="1" applyAlignment="1">
      <alignment horizontal="center"/>
    </xf>
    <xf numFmtId="168" fontId="14" fillId="10" borderId="5" xfId="543" applyNumberFormat="1" applyFill="1" applyBorder="1" applyAlignment="1">
      <alignment horizontal="center"/>
    </xf>
    <xf numFmtId="0" fontId="14" fillId="2" borderId="3" xfId="543" applyFill="1" applyBorder="1" applyAlignment="1">
      <alignment horizontal="center"/>
    </xf>
    <xf numFmtId="0" fontId="14" fillId="2" borderId="4" xfId="543" applyFill="1" applyBorder="1" applyAlignment="1">
      <alignment horizontal="center"/>
    </xf>
    <xf numFmtId="0" fontId="14" fillId="2" borderId="5" xfId="543" applyFill="1" applyBorder="1" applyAlignment="1">
      <alignment horizontal="center"/>
    </xf>
    <xf numFmtId="0" fontId="21" fillId="10" borderId="3" xfId="543" applyFont="1" applyFill="1" applyBorder="1" applyAlignment="1">
      <alignment horizontal="center"/>
    </xf>
    <xf numFmtId="0" fontId="21" fillId="10" borderId="4" xfId="543" applyFont="1" applyFill="1" applyBorder="1" applyAlignment="1">
      <alignment horizontal="center"/>
    </xf>
    <xf numFmtId="0" fontId="21" fillId="10" borderId="5" xfId="543" applyFont="1" applyFill="1" applyBorder="1" applyAlignment="1">
      <alignment horizontal="center"/>
    </xf>
    <xf numFmtId="0" fontId="33" fillId="5" borderId="3" xfId="543" applyFont="1" applyFill="1" applyBorder="1" applyAlignment="1" applyProtection="1">
      <alignment horizontal="center" vertical="top"/>
      <protection locked="0"/>
    </xf>
    <xf numFmtId="0" fontId="33" fillId="5" borderId="5" xfId="543" applyFont="1" applyFill="1" applyBorder="1" applyAlignment="1" applyProtection="1">
      <alignment horizontal="center" vertical="top"/>
      <protection locked="0"/>
    </xf>
    <xf numFmtId="0" fontId="33" fillId="5" borderId="3" xfId="543" applyFont="1" applyFill="1" applyBorder="1" applyAlignment="1" applyProtection="1">
      <alignment horizontal="center"/>
      <protection locked="0"/>
    </xf>
    <xf numFmtId="0" fontId="33" fillId="5" borderId="5" xfId="543" applyFont="1" applyFill="1" applyBorder="1" applyAlignment="1" applyProtection="1">
      <alignment horizontal="center"/>
      <protection locked="0"/>
    </xf>
    <xf numFmtId="0" fontId="21" fillId="0" borderId="1" xfId="543" applyFont="1" applyBorder="1" applyAlignment="1">
      <alignment horizontal="left" vertical="center" wrapText="1"/>
    </xf>
    <xf numFmtId="0" fontId="21" fillId="0" borderId="2" xfId="543" applyFont="1" applyBorder="1" applyAlignment="1">
      <alignment horizontal="left" vertical="center" wrapText="1"/>
    </xf>
    <xf numFmtId="0" fontId="21" fillId="0" borderId="7" xfId="543" applyFont="1" applyBorder="1" applyAlignment="1">
      <alignment horizontal="left" vertical="center" wrapText="1"/>
    </xf>
    <xf numFmtId="0" fontId="14" fillId="0" borderId="9" xfId="543" applyBorder="1" applyAlignment="1">
      <alignment horizontal="left" vertical="top" wrapText="1"/>
    </xf>
    <xf numFmtId="0" fontId="14" fillId="0" borderId="6" xfId="543" applyBorder="1" applyAlignment="1">
      <alignment horizontal="left" vertical="top" wrapText="1"/>
    </xf>
    <xf numFmtId="0" fontId="14" fillId="0" borderId="10" xfId="543" applyBorder="1" applyAlignment="1">
      <alignment horizontal="left" vertical="top" wrapText="1"/>
    </xf>
    <xf numFmtId="0" fontId="41" fillId="0" borderId="8" xfId="543" applyFont="1" applyBorder="1" applyAlignment="1">
      <alignment horizontal="center" vertical="center" wrapText="1"/>
    </xf>
    <xf numFmtId="0" fontId="41" fillId="0" borderId="0" xfId="543" applyFont="1" applyAlignment="1">
      <alignment horizontal="center" vertical="center" wrapText="1"/>
    </xf>
    <xf numFmtId="0" fontId="41" fillId="0" borderId="12" xfId="543" applyFont="1" applyBorder="1" applyAlignment="1">
      <alignment horizontal="center" vertical="center" wrapText="1"/>
    </xf>
    <xf numFmtId="182" fontId="22" fillId="43" borderId="11" xfId="8722" applyNumberFormat="1" applyFont="1" applyFill="1" applyBorder="1" applyAlignment="1" applyProtection="1">
      <alignment horizontal="center" vertical="center" wrapText="1"/>
      <protection locked="0"/>
    </xf>
    <xf numFmtId="168" fontId="14" fillId="5" borderId="3" xfId="0" applyNumberFormat="1" applyFont="1" applyFill="1" applyBorder="1" applyAlignment="1" applyProtection="1">
      <alignment horizontal="right"/>
      <protection locked="0"/>
    </xf>
    <xf numFmtId="168" fontId="14" fillId="5" borderId="4" xfId="0" applyNumberFormat="1" applyFont="1" applyFill="1" applyBorder="1" applyAlignment="1" applyProtection="1">
      <alignment horizontal="right"/>
      <protection locked="0"/>
    </xf>
    <xf numFmtId="168" fontId="14" fillId="5" borderId="5" xfId="0" applyNumberFormat="1" applyFont="1" applyFill="1" applyBorder="1" applyAlignment="1" applyProtection="1">
      <alignment horizontal="right"/>
      <protection locked="0"/>
    </xf>
    <xf numFmtId="0" fontId="21" fillId="0" borderId="1" xfId="0" applyFont="1" applyBorder="1" applyAlignment="1">
      <alignment horizontal="center"/>
    </xf>
    <xf numFmtId="0" fontId="21" fillId="0" borderId="2" xfId="0" applyFont="1" applyBorder="1" applyAlignment="1">
      <alignment horizontal="center"/>
    </xf>
    <xf numFmtId="0" fontId="21" fillId="0" borderId="7" xfId="0" applyFont="1" applyBorder="1" applyAlignment="1">
      <alignment horizontal="center"/>
    </xf>
    <xf numFmtId="164" fontId="33" fillId="5" borderId="3" xfId="0" applyNumberFormat="1" applyFont="1" applyFill="1" applyBorder="1" applyAlignment="1" applyProtection="1">
      <alignment horizontal="left"/>
      <protection locked="0"/>
    </xf>
    <xf numFmtId="164" fontId="33" fillId="5" borderId="4" xfId="0" applyNumberFormat="1" applyFont="1" applyFill="1" applyBorder="1" applyAlignment="1" applyProtection="1">
      <alignment horizontal="left"/>
      <protection locked="0"/>
    </xf>
    <xf numFmtId="164" fontId="33" fillId="5" borderId="5" xfId="0" applyNumberFormat="1" applyFont="1" applyFill="1" applyBorder="1" applyAlignment="1" applyProtection="1">
      <alignment horizontal="left"/>
      <protection locked="0"/>
    </xf>
    <xf numFmtId="0" fontId="35" fillId="0" borderId="3" xfId="543" applyFont="1" applyBorder="1" applyAlignment="1">
      <alignment horizontal="center"/>
    </xf>
    <xf numFmtId="0" fontId="35" fillId="0" borderId="4" xfId="543" applyFont="1" applyBorder="1" applyAlignment="1">
      <alignment horizontal="center"/>
    </xf>
    <xf numFmtId="0" fontId="35" fillId="0" borderId="5" xfId="543" applyFont="1" applyBorder="1" applyAlignment="1">
      <alignment horizontal="center"/>
    </xf>
    <xf numFmtId="0" fontId="14" fillId="0" borderId="8" xfId="0" applyFont="1" applyBorder="1" applyAlignment="1">
      <alignment horizontal="left" wrapText="1"/>
    </xf>
    <xf numFmtId="0" fontId="14" fillId="0" borderId="12" xfId="0" applyFont="1" applyBorder="1" applyAlignment="1">
      <alignment horizontal="left" wrapText="1"/>
    </xf>
    <xf numFmtId="0" fontId="14" fillId="0" borderId="9" xfId="0" applyFont="1" applyBorder="1" applyAlignment="1">
      <alignment horizontal="left" wrapText="1"/>
    </xf>
    <xf numFmtId="0" fontId="14" fillId="0" borderId="6" xfId="0" applyFont="1" applyBorder="1" applyAlignment="1">
      <alignment horizontal="left" wrapText="1"/>
    </xf>
    <xf numFmtId="0" fontId="14" fillId="0" borderId="10" xfId="0" applyFont="1" applyBorder="1" applyAlignment="1">
      <alignment horizontal="left" wrapText="1"/>
    </xf>
    <xf numFmtId="0" fontId="21" fillId="0" borderId="1" xfId="543" applyFont="1" applyBorder="1" applyAlignment="1">
      <alignment horizontal="left" vertical="top" wrapText="1"/>
    </xf>
    <xf numFmtId="0" fontId="21" fillId="0" borderId="2" xfId="543" applyFont="1" applyBorder="1" applyAlignment="1">
      <alignment horizontal="left" vertical="top" wrapText="1"/>
    </xf>
    <xf numFmtId="0" fontId="21" fillId="0" borderId="7" xfId="543" applyFont="1" applyBorder="1" applyAlignment="1">
      <alignment horizontal="left" vertical="top" wrapText="1"/>
    </xf>
    <xf numFmtId="0" fontId="21" fillId="0" borderId="8" xfId="543" applyFont="1" applyBorder="1" applyAlignment="1">
      <alignment horizontal="left" vertical="top" wrapText="1"/>
    </xf>
    <xf numFmtId="0" fontId="21" fillId="0" borderId="0" xfId="543" applyFont="1" applyAlignment="1">
      <alignment horizontal="left" vertical="top" wrapText="1"/>
    </xf>
    <xf numFmtId="0" fontId="21" fillId="0" borderId="12" xfId="543" applyFont="1" applyBorder="1" applyAlignment="1">
      <alignment horizontal="left" vertical="top" wrapText="1"/>
    </xf>
    <xf numFmtId="0" fontId="166" fillId="0" borderId="8" xfId="543" applyFont="1" applyBorder="1" applyAlignment="1">
      <alignment horizontal="center" vertical="center" wrapText="1"/>
    </xf>
    <xf numFmtId="0" fontId="166" fillId="0" borderId="0" xfId="543" applyFont="1" applyAlignment="1">
      <alignment horizontal="center" vertical="center" wrapText="1"/>
    </xf>
    <xf numFmtId="0" fontId="166"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4" fillId="0" borderId="8" xfId="543" applyBorder="1" applyAlignment="1">
      <alignment horizontal="left" vertical="center" wrapText="1"/>
    </xf>
    <xf numFmtId="0" fontId="14" fillId="0" borderId="0" xfId="543" applyAlignment="1">
      <alignment horizontal="left" vertical="center" wrapText="1"/>
    </xf>
    <xf numFmtId="0" fontId="14" fillId="0" borderId="12" xfId="543" applyBorder="1" applyAlignment="1">
      <alignment horizontal="left" vertical="center" wrapText="1"/>
    </xf>
    <xf numFmtId="0" fontId="14" fillId="0" borderId="9" xfId="543" applyBorder="1" applyAlignment="1">
      <alignment horizontal="left" vertical="center" wrapText="1"/>
    </xf>
    <xf numFmtId="0" fontId="14" fillId="0" borderId="6" xfId="543" applyBorder="1" applyAlignment="1">
      <alignment horizontal="left" vertical="center" wrapText="1"/>
    </xf>
    <xf numFmtId="0" fontId="14" fillId="0" borderId="10" xfId="543" applyBorder="1" applyAlignment="1">
      <alignment horizontal="left" vertical="center" wrapText="1"/>
    </xf>
    <xf numFmtId="0" fontId="14" fillId="5" borderId="3" xfId="0" applyFont="1" applyFill="1" applyBorder="1" applyAlignment="1" applyProtection="1">
      <alignment horizontal="left"/>
      <protection locked="0"/>
    </xf>
    <xf numFmtId="0" fontId="14" fillId="5" borderId="4" xfId="0" applyFont="1" applyFill="1" applyBorder="1" applyAlignment="1" applyProtection="1">
      <alignment horizontal="left"/>
      <protection locked="0"/>
    </xf>
    <xf numFmtId="0" fontId="14" fillId="5" borderId="5" xfId="0" applyFont="1" applyFill="1" applyBorder="1" applyAlignment="1" applyProtection="1">
      <alignment horizontal="left"/>
      <protection locked="0"/>
    </xf>
    <xf numFmtId="0" fontId="51" fillId="5" borderId="3" xfId="0" applyFont="1" applyFill="1" applyBorder="1" applyAlignment="1" applyProtection="1">
      <alignment horizontal="right"/>
      <protection locked="0"/>
    </xf>
    <xf numFmtId="0" fontId="51" fillId="5" borderId="4" xfId="0" applyFont="1" applyFill="1" applyBorder="1" applyAlignment="1" applyProtection="1">
      <alignment horizontal="right"/>
      <protection locked="0"/>
    </xf>
    <xf numFmtId="0" fontId="51" fillId="5" borderId="5" xfId="0" applyFont="1" applyFill="1" applyBorder="1" applyAlignment="1" applyProtection="1">
      <alignment horizontal="right"/>
      <protection locked="0"/>
    </xf>
    <xf numFmtId="0" fontId="34" fillId="0" borderId="1" xfId="543" applyFont="1" applyBorder="1" applyAlignment="1">
      <alignment horizontal="right"/>
    </xf>
    <xf numFmtId="0" fontId="34" fillId="0" borderId="2" xfId="543" applyFont="1" applyBorder="1" applyAlignment="1">
      <alignment horizontal="right"/>
    </xf>
    <xf numFmtId="0" fontId="34" fillId="0" borderId="7" xfId="543" applyFont="1" applyBorder="1" applyAlignment="1">
      <alignment horizontal="right"/>
    </xf>
    <xf numFmtId="168" fontId="14"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1" fillId="0" borderId="3" xfId="543" applyNumberFormat="1" applyFont="1" applyBorder="1" applyAlignment="1">
      <alignment horizontal="center" vertical="center"/>
    </xf>
    <xf numFmtId="168" fontId="21" fillId="0" borderId="4" xfId="543" applyNumberFormat="1" applyFont="1" applyBorder="1" applyAlignment="1">
      <alignment horizontal="center" vertical="center"/>
    </xf>
    <xf numFmtId="168" fontId="21" fillId="0" borderId="5" xfId="543" applyNumberFormat="1" applyFont="1" applyBorder="1" applyAlignment="1">
      <alignment horizontal="center" vertical="center"/>
    </xf>
    <xf numFmtId="0" fontId="33" fillId="0" borderId="3" xfId="543" applyFont="1" applyBorder="1" applyAlignment="1">
      <alignment horizontal="center"/>
    </xf>
    <xf numFmtId="0" fontId="33" fillId="0" borderId="5" xfId="543" applyFont="1" applyBorder="1" applyAlignment="1">
      <alignment horizontal="center"/>
    </xf>
    <xf numFmtId="0" fontId="21" fillId="0" borderId="3" xfId="543" applyFont="1" applyBorder="1" applyAlignment="1">
      <alignment horizontal="right"/>
    </xf>
    <xf numFmtId="0" fontId="21" fillId="0" borderId="4" xfId="543" applyFont="1" applyBorder="1" applyAlignment="1">
      <alignment horizontal="right"/>
    </xf>
    <xf numFmtId="0" fontId="21" fillId="0" borderId="5" xfId="543" applyFont="1" applyBorder="1" applyAlignment="1">
      <alignment horizontal="right"/>
    </xf>
    <xf numFmtId="0" fontId="14" fillId="5" borderId="3" xfId="543"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34" fillId="0" borderId="4" xfId="543" applyFont="1" applyBorder="1" applyAlignment="1">
      <alignment horizontal="right" vertical="top" wrapText="1"/>
    </xf>
    <xf numFmtId="0" fontId="34" fillId="0" borderId="5" xfId="543" applyFont="1" applyBorder="1" applyAlignment="1">
      <alignment horizontal="right" vertical="top" wrapText="1"/>
    </xf>
    <xf numFmtId="0" fontId="22" fillId="0" borderId="3" xfId="543" applyFont="1" applyBorder="1" applyAlignment="1">
      <alignment horizontal="center"/>
    </xf>
    <xf numFmtId="0" fontId="22" fillId="0" borderId="5" xfId="543" applyFont="1" applyBorder="1" applyAlignment="1">
      <alignment horizontal="center"/>
    </xf>
    <xf numFmtId="1" fontId="22" fillId="0" borderId="3" xfId="543" applyNumberFormat="1" applyFont="1" applyBorder="1" applyAlignment="1">
      <alignment horizontal="center"/>
    </xf>
    <xf numFmtId="1" fontId="22" fillId="0" borderId="5" xfId="543" applyNumberFormat="1" applyFont="1" applyBorder="1" applyAlignment="1">
      <alignment horizontal="center"/>
    </xf>
    <xf numFmtId="0" fontId="33" fillId="5" borderId="9" xfId="543" applyFont="1" applyFill="1" applyBorder="1" applyAlignment="1" applyProtection="1">
      <alignment horizontal="center"/>
      <protection locked="0"/>
    </xf>
    <xf numFmtId="0" fontId="33" fillId="5" borderId="10" xfId="543" applyFont="1" applyFill="1" applyBorder="1" applyAlignment="1" applyProtection="1">
      <alignment horizontal="center"/>
      <protection locked="0"/>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8" xfId="0" applyFont="1" applyBorder="1" applyAlignment="1">
      <alignment horizontal="center" wrapText="1"/>
    </xf>
    <xf numFmtId="0" fontId="21" fillId="0" borderId="0" xfId="0" applyFont="1" applyAlignment="1">
      <alignment horizontal="center" wrapText="1"/>
    </xf>
    <xf numFmtId="0" fontId="21" fillId="0" borderId="9" xfId="0" applyFont="1" applyBorder="1" applyAlignment="1">
      <alignment horizontal="center" wrapText="1"/>
    </xf>
    <xf numFmtId="0" fontId="21" fillId="0" borderId="6" xfId="0" applyFont="1" applyBorder="1" applyAlignment="1">
      <alignment horizontal="center" wrapText="1"/>
    </xf>
    <xf numFmtId="168" fontId="14"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0" fillId="0" borderId="3" xfId="0" applyBorder="1"/>
    <xf numFmtId="0" fontId="0" fillId="0" borderId="4" xfId="0" applyBorder="1"/>
    <xf numFmtId="0" fontId="0" fillId="0" borderId="5" xfId="0" applyBorder="1"/>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180" fontId="0" fillId="0" borderId="6" xfId="0" applyNumberFormat="1" applyBorder="1" applyAlignment="1">
      <alignment horizontal="center"/>
    </xf>
    <xf numFmtId="180" fontId="22" fillId="43" borderId="3" xfId="0" applyNumberFormat="1" applyFont="1" applyFill="1" applyBorder="1" applyAlignment="1" applyProtection="1">
      <alignment horizontal="center" vertical="center"/>
      <protection locked="0"/>
    </xf>
    <xf numFmtId="180" fontId="22" fillId="43" borderId="4" xfId="0" applyNumberFormat="1" applyFont="1" applyFill="1" applyBorder="1" applyAlignment="1" applyProtection="1">
      <alignment horizontal="center" vertical="center"/>
      <protection locked="0"/>
    </xf>
    <xf numFmtId="180" fontId="22"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23" fillId="0" borderId="3" xfId="0" applyFont="1" applyBorder="1" applyAlignment="1">
      <alignment horizontal="left"/>
    </xf>
    <xf numFmtId="1" fontId="14" fillId="0" borderId="3" xfId="0" applyNumberFormat="1" applyFont="1" applyBorder="1" applyAlignment="1">
      <alignment horizontal="center"/>
    </xf>
    <xf numFmtId="1" fontId="23" fillId="0" borderId="4" xfId="0" applyNumberFormat="1" applyFont="1" applyBorder="1" applyAlignment="1">
      <alignment horizontal="center"/>
    </xf>
    <xf numFmtId="1" fontId="23" fillId="0" borderId="5" xfId="0" applyNumberFormat="1" applyFont="1" applyBorder="1" applyAlignment="1">
      <alignment horizontal="center"/>
    </xf>
    <xf numFmtId="0" fontId="23" fillId="5" borderId="6" xfId="271" applyFill="1" applyBorder="1" applyProtection="1">
      <protection locked="0"/>
    </xf>
    <xf numFmtId="0" fontId="23" fillId="5" borderId="6" xfId="0" applyFont="1" applyFill="1" applyBorder="1" applyAlignment="1" applyProtection="1">
      <alignment horizontal="center"/>
      <protection locked="0"/>
    </xf>
    <xf numFmtId="165" fontId="21" fillId="0" borderId="3" xfId="271" applyNumberFormat="1" applyFont="1" applyBorder="1" applyAlignment="1">
      <alignment horizontal="center"/>
    </xf>
    <xf numFmtId="165" fontId="21" fillId="0" borderId="4" xfId="271" applyNumberFormat="1" applyFont="1" applyBorder="1" applyAlignment="1">
      <alignment horizontal="center"/>
    </xf>
    <xf numFmtId="165" fontId="21"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4"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1" fillId="5" borderId="3" xfId="0" applyFont="1" applyFill="1" applyBorder="1" applyAlignment="1" applyProtection="1">
      <alignment horizontal="right"/>
      <protection locked="0"/>
    </xf>
    <xf numFmtId="0" fontId="21" fillId="5" borderId="4" xfId="0" applyFont="1" applyFill="1" applyBorder="1" applyAlignment="1" applyProtection="1">
      <alignment horizontal="right"/>
      <protection locked="0"/>
    </xf>
    <xf numFmtId="0" fontId="21"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1" fillId="0" borderId="7" xfId="0" applyFont="1" applyBorder="1" applyAlignment="1">
      <alignment horizontal="center" wrapText="1"/>
    </xf>
    <xf numFmtId="0" fontId="21" fillId="0" borderId="10" xfId="0" applyFont="1" applyBorder="1" applyAlignment="1">
      <alignment horizontal="center" wrapText="1"/>
    </xf>
    <xf numFmtId="0" fontId="22" fillId="5" borderId="3" xfId="0" applyFont="1" applyFill="1" applyBorder="1" applyAlignment="1" applyProtection="1">
      <alignment horizontal="left"/>
      <protection locked="0"/>
    </xf>
    <xf numFmtId="0" fontId="22" fillId="5" borderId="4" xfId="0" applyFont="1" applyFill="1" applyBorder="1" applyAlignment="1" applyProtection="1">
      <alignment horizontal="left"/>
      <protection locked="0"/>
    </xf>
    <xf numFmtId="0" fontId="22" fillId="5" borderId="5" xfId="0" applyFont="1" applyFill="1" applyBorder="1" applyAlignment="1" applyProtection="1">
      <alignment horizontal="left"/>
      <protection locked="0"/>
    </xf>
    <xf numFmtId="0" fontId="21" fillId="0" borderId="2" xfId="0" applyFont="1" applyBorder="1" applyAlignment="1">
      <alignment horizontal="right"/>
    </xf>
    <xf numFmtId="0" fontId="21" fillId="0" borderId="7" xfId="0" applyFont="1" applyBorder="1" applyAlignment="1">
      <alignment horizontal="right"/>
    </xf>
    <xf numFmtId="0" fontId="14" fillId="0" borderId="0" xfId="543" applyAlignment="1">
      <alignment horizontal="center"/>
    </xf>
    <xf numFmtId="2" fontId="14" fillId="0" borderId="0" xfId="543" applyNumberFormat="1" applyAlignment="1">
      <alignment horizontal="center"/>
    </xf>
    <xf numFmtId="0" fontId="33" fillId="5" borderId="3" xfId="543" applyFont="1" applyFill="1" applyBorder="1" applyAlignment="1">
      <alignment horizontal="center"/>
    </xf>
    <xf numFmtId="0" fontId="33" fillId="5" borderId="4" xfId="543" applyFont="1" applyFill="1" applyBorder="1" applyAlignment="1">
      <alignment horizontal="center"/>
    </xf>
    <xf numFmtId="0" fontId="33" fillId="5" borderId="5" xfId="543" applyFont="1" applyFill="1" applyBorder="1" applyAlignment="1">
      <alignment horizontal="center"/>
    </xf>
    <xf numFmtId="49" fontId="14" fillId="5" borderId="3" xfId="543" applyNumberFormat="1" applyFill="1" applyBorder="1" applyAlignment="1">
      <alignment horizontal="center"/>
    </xf>
    <xf numFmtId="49" fontId="14" fillId="5" borderId="5" xfId="543" applyNumberFormat="1" applyFill="1" applyBorder="1" applyAlignment="1">
      <alignment horizontal="center"/>
    </xf>
    <xf numFmtId="171" fontId="14" fillId="0" borderId="0" xfId="543" applyNumberFormat="1" applyAlignment="1">
      <alignment horizontal="center"/>
    </xf>
    <xf numFmtId="0" fontId="23" fillId="5" borderId="3" xfId="0" applyFont="1" applyFill="1" applyBorder="1" applyProtection="1">
      <protection locked="0"/>
    </xf>
    <xf numFmtId="0" fontId="23" fillId="0" borderId="4" xfId="0" applyFont="1" applyBorder="1" applyProtection="1">
      <protection locked="0"/>
    </xf>
    <xf numFmtId="0" fontId="23" fillId="0" borderId="5" xfId="0" applyFont="1" applyBorder="1" applyProtection="1">
      <protection locked="0"/>
    </xf>
    <xf numFmtId="168" fontId="23" fillId="5" borderId="6" xfId="0" applyNumberFormat="1" applyFont="1" applyFill="1" applyBorder="1" applyAlignment="1" applyProtection="1">
      <alignment horizontal="right"/>
      <protection locked="0"/>
    </xf>
    <xf numFmtId="168" fontId="23"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3" fillId="5" borderId="4" xfId="0" applyFont="1" applyFill="1" applyBorder="1" applyAlignment="1" applyProtection="1">
      <alignment horizontal="right"/>
      <protection locked="0"/>
    </xf>
    <xf numFmtId="14" fontId="2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4" fillId="0" borderId="3" xfId="0" applyFont="1" applyBorder="1" applyAlignment="1">
      <alignment horizontal="left"/>
    </xf>
    <xf numFmtId="0" fontId="14" fillId="0" borderId="4" xfId="0" applyFont="1" applyBorder="1" applyAlignment="1">
      <alignment horizontal="left"/>
    </xf>
    <xf numFmtId="0" fontId="14" fillId="0" borderId="5" xfId="0" applyFont="1" applyBorder="1" applyAlignment="1">
      <alignment horizontal="left"/>
    </xf>
    <xf numFmtId="1" fontId="23" fillId="5" borderId="3" xfId="0" applyNumberFormat="1" applyFont="1" applyFill="1" applyBorder="1" applyAlignment="1" applyProtection="1">
      <alignment horizontal="right" vertical="top"/>
      <protection locked="0"/>
    </xf>
    <xf numFmtId="1" fontId="23" fillId="5" borderId="4" xfId="0" applyNumberFormat="1" applyFont="1" applyFill="1" applyBorder="1" applyAlignment="1" applyProtection="1">
      <alignment horizontal="right" vertical="top"/>
      <protection locked="0"/>
    </xf>
    <xf numFmtId="1" fontId="23" fillId="5" borderId="5" xfId="0" applyNumberFormat="1" applyFont="1" applyFill="1" applyBorder="1" applyAlignment="1" applyProtection="1">
      <alignment horizontal="right" vertical="top"/>
      <protection locked="0"/>
    </xf>
    <xf numFmtId="0" fontId="14" fillId="5" borderId="11" xfId="0" applyFont="1" applyFill="1" applyBorder="1" applyAlignment="1" applyProtection="1">
      <alignment horizontal="left" vertical="center" wrapText="1"/>
      <protection locked="0"/>
    </xf>
    <xf numFmtId="0" fontId="14" fillId="5" borderId="11" xfId="0" applyFont="1" applyFill="1" applyBorder="1" applyAlignment="1" applyProtection="1">
      <alignmen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2"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4" fillId="43" borderId="3" xfId="0" applyNumberFormat="1" applyFont="1" applyFill="1" applyBorder="1" applyAlignment="1" applyProtection="1">
      <alignment horizontal="center" vertical="center"/>
      <protection locked="0"/>
    </xf>
    <xf numFmtId="168" fontId="14" fillId="43" borderId="4" xfId="0" applyNumberFormat="1" applyFont="1" applyFill="1" applyBorder="1" applyAlignment="1" applyProtection="1">
      <alignment horizontal="center" vertical="center"/>
      <protection locked="0"/>
    </xf>
    <xf numFmtId="168" fontId="14" fillId="43" borderId="5" xfId="0" applyNumberFormat="1" applyFont="1" applyFill="1" applyBorder="1" applyAlignment="1" applyProtection="1">
      <alignment horizontal="center" vertical="center"/>
      <protection locked="0"/>
    </xf>
    <xf numFmtId="0" fontId="23" fillId="5" borderId="9" xfId="0" applyFont="1" applyFill="1" applyBorder="1" applyAlignment="1" applyProtection="1">
      <alignment horizontal="center"/>
      <protection locked="0"/>
    </xf>
    <xf numFmtId="0" fontId="21" fillId="0" borderId="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 xfId="0" applyFont="1" applyBorder="1" applyAlignment="1">
      <alignment horizontal="center"/>
    </xf>
    <xf numFmtId="0" fontId="21" fillId="0" borderId="4" xfId="0" applyFont="1" applyBorder="1" applyAlignment="1">
      <alignment horizontal="center"/>
    </xf>
    <xf numFmtId="0" fontId="21" fillId="0" borderId="5" xfId="0" applyFont="1" applyBorder="1" applyAlignment="1">
      <alignment horizontal="center"/>
    </xf>
    <xf numFmtId="3" fontId="23" fillId="5" borderId="11" xfId="0" applyNumberFormat="1" applyFont="1" applyFill="1" applyBorder="1" applyAlignment="1" applyProtection="1">
      <alignment horizontal="center"/>
      <protection locked="0"/>
    </xf>
    <xf numFmtId="0" fontId="21" fillId="0" borderId="11" xfId="0" applyFont="1" applyBorder="1" applyAlignment="1">
      <alignment horizontal="center" vertical="center"/>
    </xf>
    <xf numFmtId="0" fontId="14" fillId="5" borderId="4" xfId="0" applyFont="1" applyFill="1" applyBorder="1" applyAlignment="1" applyProtection="1">
      <alignment wrapText="1"/>
      <protection locked="0"/>
    </xf>
    <xf numFmtId="0" fontId="0" fillId="43" borderId="4" xfId="0" applyFill="1" applyBorder="1" applyAlignment="1" applyProtection="1">
      <alignment horizontal="center"/>
      <protection locked="0"/>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0" fontId="52" fillId="0" borderId="7"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0" xfId="0" applyFont="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10" xfId="0" applyFont="1" applyBorder="1" applyAlignment="1">
      <alignment horizontal="center" vertical="center" wrapText="1"/>
    </xf>
    <xf numFmtId="0" fontId="0" fillId="0" borderId="9" xfId="0" applyBorder="1" applyAlignment="1">
      <alignment horizontal="left"/>
    </xf>
    <xf numFmtId="168" fontId="14" fillId="5" borderId="3" xfId="0" applyNumberFormat="1" applyFont="1" applyFill="1" applyBorder="1" applyAlignment="1" applyProtection="1">
      <alignment horizontal="left"/>
      <protection locked="0"/>
    </xf>
    <xf numFmtId="168" fontId="14" fillId="5" borderId="4" xfId="0" applyNumberFormat="1" applyFont="1" applyFill="1" applyBorder="1" applyAlignment="1" applyProtection="1">
      <alignment horizontal="left"/>
      <protection locked="0"/>
    </xf>
    <xf numFmtId="168" fontId="14" fillId="5" borderId="5" xfId="0" applyNumberFormat="1" applyFont="1" applyFill="1" applyBorder="1" applyAlignment="1" applyProtection="1">
      <alignment horizontal="left"/>
      <protection locked="0"/>
    </xf>
    <xf numFmtId="168" fontId="0" fillId="0" borderId="11" xfId="0" applyNumberFormat="1" applyBorder="1"/>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0" borderId="12" xfId="0" applyFont="1" applyBorder="1" applyAlignment="1">
      <alignment horizontal="center" wrapText="1"/>
    </xf>
    <xf numFmtId="0" fontId="14" fillId="0" borderId="3" xfId="0" applyFont="1" applyBorder="1"/>
    <xf numFmtId="0" fontId="14" fillId="0" borderId="4" xfId="0" applyFont="1" applyBorder="1"/>
    <xf numFmtId="0" fontId="14" fillId="0" borderId="5" xfId="0" applyFont="1" applyBorder="1"/>
    <xf numFmtId="171" fontId="14" fillId="0" borderId="0" xfId="543" applyNumberFormat="1" applyAlignment="1">
      <alignment horizontal="right"/>
    </xf>
    <xf numFmtId="168" fontId="0" fillId="0" borderId="11" xfId="0" applyNumberFormat="1" applyBorder="1" applyAlignment="1">
      <alignment horizontal="right"/>
    </xf>
    <xf numFmtId="0" fontId="21" fillId="0" borderId="6" xfId="0" applyFont="1" applyBorder="1" applyAlignment="1">
      <alignment horizontal="center"/>
    </xf>
    <xf numFmtId="9" fontId="14" fillId="5" borderId="3" xfId="0" applyNumberFormat="1"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5" borderId="11" xfId="0" applyNumberFormat="1" applyFill="1" applyBorder="1" applyProtection="1">
      <protection locked="0"/>
    </xf>
    <xf numFmtId="168" fontId="14" fillId="5" borderId="10" xfId="0" applyNumberFormat="1" applyFont="1" applyFill="1" applyBorder="1" applyAlignment="1" applyProtection="1">
      <alignment horizontal="right"/>
      <protection locked="0"/>
    </xf>
    <xf numFmtId="168" fontId="14" fillId="5" borderId="13" xfId="0" applyNumberFormat="1" applyFont="1" applyFill="1" applyBorder="1" applyAlignment="1" applyProtection="1">
      <alignment horizontal="right"/>
      <protection locked="0"/>
    </xf>
    <xf numFmtId="9" fontId="14"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1" fillId="5" borderId="11" xfId="0" applyFont="1" applyFill="1" applyBorder="1" applyAlignment="1" applyProtection="1">
      <alignment horizontal="center"/>
      <protection locked="0"/>
    </xf>
    <xf numFmtId="0" fontId="14"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0" fontId="0" fillId="5" borderId="4" xfId="0" applyNumberFormat="1" applyFill="1" applyBorder="1" applyAlignment="1" applyProtection="1">
      <alignment horizontal="center"/>
      <protection locked="0"/>
    </xf>
    <xf numFmtId="10" fontId="2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3" fillId="0" borderId="3" xfId="0" applyNumberFormat="1" applyFont="1" applyBorder="1" applyAlignment="1">
      <alignment horizontal="left" vertical="top"/>
    </xf>
    <xf numFmtId="168" fontId="23" fillId="0" borderId="4" xfId="0" applyNumberFormat="1" applyFont="1" applyBorder="1" applyAlignment="1">
      <alignment horizontal="left" vertical="top"/>
    </xf>
    <xf numFmtId="168" fontId="2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4"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4" fillId="5" borderId="6" xfId="244" applyFont="1" applyFill="1" applyBorder="1" applyAlignment="1" applyProtection="1">
      <alignment horizontal="left"/>
      <protection locked="0"/>
    </xf>
    <xf numFmtId="0" fontId="14" fillId="43" borderId="6" xfId="0" applyFont="1" applyFill="1" applyBorder="1" applyAlignment="1" applyProtection="1">
      <alignment vertical="center"/>
      <protection locked="0"/>
    </xf>
    <xf numFmtId="0" fontId="14" fillId="5" borderId="6" xfId="0" applyFont="1" applyFill="1" applyBorder="1" applyAlignment="1" applyProtection="1">
      <alignment horizontal="left" wrapText="1"/>
      <protection locked="0"/>
    </xf>
    <xf numFmtId="0" fontId="23" fillId="5" borderId="6" xfId="0" applyFont="1" applyFill="1" applyBorder="1" applyAlignment="1" applyProtection="1">
      <alignment horizontal="left" wrapText="1"/>
      <protection locked="0"/>
    </xf>
    <xf numFmtId="168" fontId="23" fillId="0" borderId="6" xfId="0" applyNumberFormat="1" applyFont="1" applyBorder="1" applyAlignment="1">
      <alignment horizontal="center"/>
    </xf>
    <xf numFmtId="0" fontId="22" fillId="0" borderId="0" xfId="0" applyFont="1" applyAlignment="1">
      <alignment horizontal="center"/>
    </xf>
    <xf numFmtId="0" fontId="0" fillId="5" borderId="6" xfId="0" applyFill="1" applyBorder="1" applyProtection="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4" fillId="0" borderId="0" xfId="0" applyFont="1" applyAlignment="1" applyProtection="1">
      <alignment horizontal="left"/>
      <protection locked="0"/>
    </xf>
    <xf numFmtId="0" fontId="14"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0" fontId="14" fillId="0" borderId="6" xfId="0" applyFont="1" applyBorder="1" applyAlignment="1" applyProtection="1">
      <alignment horizontal="center"/>
      <protection locked="0"/>
    </xf>
    <xf numFmtId="0" fontId="23"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2" fillId="0" borderId="3" xfId="4494" applyFont="1" applyBorder="1" applyAlignment="1" applyProtection="1">
      <alignment horizontal="center"/>
    </xf>
    <xf numFmtId="9" fontId="22"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166" fontId="0" fillId="5" borderId="6" xfId="0"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2" fillId="43" borderId="6" xfId="0" applyFont="1" applyFill="1" applyBorder="1" applyAlignment="1" applyProtection="1">
      <alignment horizontal="left"/>
      <protection locked="0"/>
    </xf>
    <xf numFmtId="0" fontId="167" fillId="0" borderId="0" xfId="0" applyFont="1" applyAlignment="1" applyProtection="1">
      <alignment horizontal="left" vertical="top" wrapText="1"/>
      <protection locked="0"/>
    </xf>
    <xf numFmtId="0" fontId="14" fillId="0" borderId="6" xfId="0" applyFont="1" applyBorder="1" applyAlignment="1" applyProtection="1">
      <alignment horizontal="left"/>
      <protection locked="0"/>
    </xf>
    <xf numFmtId="0" fontId="15" fillId="0" borderId="0" xfId="244" applyFill="1" applyAlignment="1" applyProtection="1">
      <alignment horizontal="left"/>
      <protection locked="0"/>
    </xf>
    <xf numFmtId="168" fontId="14" fillId="0" borderId="6" xfId="0" applyNumberFormat="1" applyFont="1" applyBorder="1" applyAlignment="1">
      <alignment horizontal="center"/>
    </xf>
    <xf numFmtId="0" fontId="14" fillId="0" borderId="4" xfId="0" applyFont="1" applyBorder="1" applyAlignment="1" applyProtection="1">
      <alignment horizontal="left"/>
      <protection locked="0"/>
    </xf>
    <xf numFmtId="166" fontId="23" fillId="5" borderId="6" xfId="271" applyNumberFormat="1" applyFill="1" applyBorder="1" applyAlignment="1" applyProtection="1">
      <alignment horizontal="left"/>
      <protection locked="0"/>
    </xf>
    <xf numFmtId="0" fontId="23" fillId="0" borderId="6" xfId="0" applyFont="1" applyBorder="1" applyAlignment="1">
      <alignment horizontal="left"/>
    </xf>
    <xf numFmtId="166" fontId="23" fillId="5" borderId="4" xfId="271" applyNumberFormat="1" applyFill="1" applyBorder="1" applyAlignment="1" applyProtection="1">
      <alignment horizontal="left"/>
      <protection locked="0"/>
    </xf>
    <xf numFmtId="0" fontId="14" fillId="5" borderId="0" xfId="244" applyFont="1" applyFill="1" applyBorder="1" applyAlignment="1" applyProtection="1">
      <alignment horizontal="left"/>
      <protection locked="0"/>
    </xf>
    <xf numFmtId="166" fontId="14" fillId="5" borderId="6" xfId="0" applyNumberFormat="1" applyFont="1" applyFill="1" applyBorder="1" applyAlignment="1" applyProtection="1">
      <alignment horizontal="left"/>
      <protection locked="0"/>
    </xf>
    <xf numFmtId="0" fontId="14" fillId="0" borderId="3" xfId="271" applyFont="1" applyBorder="1" applyAlignment="1">
      <alignment horizontal="left"/>
    </xf>
    <xf numFmtId="0" fontId="14" fillId="0" borderId="4" xfId="271" applyFont="1" applyBorder="1" applyAlignment="1">
      <alignment horizontal="left"/>
    </xf>
    <xf numFmtId="0" fontId="14" fillId="0" borderId="5" xfId="271" applyFont="1" applyBorder="1" applyAlignment="1">
      <alignment horizontal="left"/>
    </xf>
    <xf numFmtId="168" fontId="51" fillId="0" borderId="2" xfId="0" applyNumberFormat="1" applyFont="1" applyBorder="1" applyAlignment="1">
      <alignment horizontal="left" vertical="top" wrapText="1"/>
    </xf>
    <xf numFmtId="168" fontId="51" fillId="0" borderId="0" xfId="0" applyNumberFormat="1" applyFont="1" applyAlignment="1">
      <alignment horizontal="left" vertical="top" wrapText="1"/>
    </xf>
    <xf numFmtId="178" fontId="23" fillId="5" borderId="4" xfId="0" applyNumberFormat="1" applyFont="1" applyFill="1" applyBorder="1" applyAlignment="1" applyProtection="1">
      <alignment horizontal="right"/>
      <protection locked="0"/>
    </xf>
    <xf numFmtId="168" fontId="23" fillId="5" borderId="3" xfId="0" applyNumberFormat="1" applyFont="1" applyFill="1" applyBorder="1" applyAlignment="1" applyProtection="1">
      <alignment horizontal="left" vertical="top"/>
      <protection locked="0"/>
    </xf>
    <xf numFmtId="168" fontId="23" fillId="5" borderId="4" xfId="0" applyNumberFormat="1" applyFont="1" applyFill="1" applyBorder="1" applyAlignment="1" applyProtection="1">
      <alignment horizontal="left" vertical="top"/>
      <protection locked="0"/>
    </xf>
    <xf numFmtId="168" fontId="23" fillId="5" borderId="5" xfId="0" applyNumberFormat="1" applyFont="1" applyFill="1" applyBorder="1" applyAlignment="1" applyProtection="1">
      <alignment horizontal="left" vertical="top"/>
      <protection locked="0"/>
    </xf>
    <xf numFmtId="0" fontId="14" fillId="43" borderId="4" xfId="0" applyFont="1" applyFill="1" applyBorder="1" applyAlignment="1" applyProtection="1">
      <alignment horizontal="left" wrapText="1"/>
      <protection locked="0"/>
    </xf>
    <xf numFmtId="168" fontId="14"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0" borderId="12" xfId="0" applyBorder="1" applyAlignment="1">
      <alignment horizontal="center"/>
    </xf>
    <xf numFmtId="0" fontId="21" fillId="0" borderId="9" xfId="0" applyFont="1" applyBorder="1" applyAlignment="1">
      <alignment horizontal="center"/>
    </xf>
    <xf numFmtId="0" fontId="23" fillId="5" borderId="11" xfId="0" applyFont="1" applyFill="1" applyBorder="1" applyAlignment="1" applyProtection="1">
      <alignment horizontal="center"/>
      <protection locked="0"/>
    </xf>
    <xf numFmtId="10" fontId="2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43" borderId="10" xfId="0" applyFill="1" applyBorder="1" applyAlignment="1" applyProtection="1">
      <alignment horizontal="left"/>
      <protection locked="0"/>
    </xf>
    <xf numFmtId="1" fontId="23" fillId="5" borderId="6" xfId="0" applyNumberFormat="1" applyFont="1" applyFill="1" applyBorder="1" applyAlignment="1" applyProtection="1">
      <alignment horizontal="right"/>
      <protection locked="0"/>
    </xf>
    <xf numFmtId="0" fontId="0" fillId="0" borderId="5" xfId="0" applyBorder="1" applyAlignment="1">
      <alignment horizontal="left"/>
    </xf>
    <xf numFmtId="1" fontId="23" fillId="5" borderId="11" xfId="0" quotePrefix="1" applyNumberFormat="1" applyFont="1" applyFill="1" applyBorder="1" applyAlignment="1" applyProtection="1">
      <alignment horizontal="center"/>
      <protection locked="0"/>
    </xf>
    <xf numFmtId="0" fontId="33"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3" fillId="5" borderId="0" xfId="0" applyFont="1" applyFill="1" applyAlignment="1" applyProtection="1">
      <alignment horizontal="left" vertical="top" wrapText="1"/>
      <protection locked="0"/>
    </xf>
    <xf numFmtId="0" fontId="23"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0" borderId="10" xfId="0" applyFont="1" applyBorder="1" applyAlignment="1">
      <alignment horizontal="center"/>
    </xf>
    <xf numFmtId="165" fontId="23" fillId="5" borderId="3" xfId="0" applyNumberFormat="1" applyFont="1" applyFill="1" applyBorder="1" applyAlignment="1" applyProtection="1">
      <alignment horizontal="center"/>
      <protection locked="0"/>
    </xf>
    <xf numFmtId="165" fontId="23" fillId="5" borderId="4" xfId="0" applyNumberFormat="1" applyFont="1" applyFill="1" applyBorder="1" applyAlignment="1" applyProtection="1">
      <alignment horizontal="center"/>
      <protection locked="0"/>
    </xf>
    <xf numFmtId="165" fontId="2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23" fillId="0" borderId="11" xfId="0" applyNumberFormat="1" applyFont="1" applyBorder="1" applyAlignment="1">
      <alignment horizontal="center"/>
    </xf>
    <xf numFmtId="3" fontId="2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4" fillId="0" borderId="4" xfId="0" applyNumberFormat="1" applyFont="1" applyBorder="1" applyAlignment="1">
      <alignment horizontal="left" vertical="top"/>
    </xf>
    <xf numFmtId="168" fontId="14" fillId="0" borderId="5" xfId="0" applyNumberFormat="1" applyFont="1" applyBorder="1" applyAlignment="1">
      <alignment horizontal="left" vertical="top"/>
    </xf>
    <xf numFmtId="3" fontId="0" fillId="0" borderId="6" xfId="0" applyNumberFormat="1" applyBorder="1" applyAlignment="1">
      <alignment horizontal="right"/>
    </xf>
    <xf numFmtId="0" fontId="56" fillId="2" borderId="3" xfId="0" applyFont="1" applyFill="1" applyBorder="1" applyAlignment="1">
      <alignment horizontal="center" vertical="top"/>
    </xf>
    <xf numFmtId="0" fontId="56" fillId="2" borderId="4" xfId="0" applyFont="1" applyFill="1" applyBorder="1" applyAlignment="1">
      <alignment horizontal="center" vertical="top"/>
    </xf>
    <xf numFmtId="0" fontId="56" fillId="2" borderId="5" xfId="0" applyFont="1" applyFill="1" applyBorder="1" applyAlignment="1">
      <alignment horizontal="center" vertical="top"/>
    </xf>
    <xf numFmtId="0" fontId="23" fillId="0" borderId="6" xfId="0" applyFont="1" applyBorder="1" applyAlignment="1">
      <alignment vertical="top" wrapText="1"/>
    </xf>
    <xf numFmtId="177" fontId="23" fillId="5" borderId="6" xfId="0" applyNumberFormat="1" applyFont="1" applyFill="1" applyBorder="1" applyAlignment="1" applyProtection="1">
      <alignment horizontal="left" vertical="top" wrapText="1"/>
      <protection locked="0"/>
    </xf>
    <xf numFmtId="0" fontId="23" fillId="0" borderId="2" xfId="0" applyFont="1" applyBorder="1" applyAlignment="1">
      <alignment vertical="top" wrapText="1"/>
    </xf>
    <xf numFmtId="0" fontId="51" fillId="0" borderId="0" xfId="0" applyFont="1" applyAlignment="1">
      <alignment vertical="top" wrapText="1"/>
    </xf>
    <xf numFmtId="0" fontId="23" fillId="0" borderId="2" xfId="0" applyFont="1" applyBorder="1" applyAlignment="1">
      <alignment horizontal="left" vertical="top" wrapText="1"/>
    </xf>
    <xf numFmtId="0" fontId="52" fillId="0" borderId="0" xfId="0" applyFont="1" applyAlignment="1">
      <alignment vertical="top" wrapText="1"/>
    </xf>
    <xf numFmtId="0" fontId="23" fillId="0" borderId="0" xfId="0" applyFont="1" applyAlignment="1">
      <alignment vertical="top" wrapText="1"/>
    </xf>
    <xf numFmtId="0" fontId="23" fillId="0" borderId="6" xfId="0" applyFont="1" applyBorder="1" applyAlignment="1">
      <alignment horizontal="right" vertical="top" wrapText="1"/>
    </xf>
    <xf numFmtId="0" fontId="52" fillId="0" borderId="0" xfId="569" applyFont="1" applyAlignment="1">
      <alignment vertical="top" wrapText="1"/>
    </xf>
    <xf numFmtId="0" fontId="14" fillId="0" borderId="0" xfId="569" applyAlignment="1">
      <alignment horizontal="right" vertical="top" wrapText="1"/>
    </xf>
    <xf numFmtId="0" fontId="20" fillId="3" borderId="3" xfId="0" applyFont="1" applyFill="1" applyBorder="1" applyAlignment="1">
      <alignment horizontal="left" vertical="top"/>
    </xf>
    <xf numFmtId="0" fontId="20" fillId="3" borderId="4" xfId="0" applyFont="1" applyFill="1" applyBorder="1" applyAlignment="1">
      <alignment horizontal="left" vertical="top"/>
    </xf>
    <xf numFmtId="0" fontId="20" fillId="3" borderId="5" xfId="0" applyFont="1" applyFill="1" applyBorder="1" applyAlignment="1">
      <alignment horizontal="left" vertical="top"/>
    </xf>
    <xf numFmtId="165" fontId="120" fillId="0" borderId="55" xfId="4496" applyNumberFormat="1" applyFont="1" applyBorder="1" applyAlignment="1">
      <alignment horizontal="center" vertical="top" wrapText="1"/>
    </xf>
    <xf numFmtId="165" fontId="120" fillId="0" borderId="6" xfId="4496" applyNumberFormat="1" applyFont="1" applyBorder="1" applyAlignment="1">
      <alignment horizontal="center" vertical="top" wrapText="1"/>
    </xf>
    <xf numFmtId="165" fontId="120" fillId="0" borderId="60" xfId="4496" applyNumberFormat="1" applyFont="1" applyBorder="1" applyAlignment="1">
      <alignment horizontal="center" vertical="top" wrapText="1"/>
    </xf>
    <xf numFmtId="165" fontId="120" fillId="0" borderId="4" xfId="4496" applyNumberFormat="1" applyFont="1" applyBorder="1" applyAlignment="1">
      <alignment horizontal="center" vertical="top" wrapText="1"/>
    </xf>
    <xf numFmtId="0" fontId="120" fillId="5" borderId="60" xfId="4496" applyFont="1" applyFill="1" applyBorder="1" applyAlignment="1" applyProtection="1">
      <alignment horizontal="center"/>
      <protection locked="0"/>
    </xf>
    <xf numFmtId="0" fontId="120" fillId="5" borderId="4" xfId="4496" applyFont="1" applyFill="1" applyBorder="1" applyAlignment="1" applyProtection="1">
      <alignment horizontal="center"/>
      <protection locked="0"/>
    </xf>
    <xf numFmtId="0" fontId="120" fillId="5" borderId="6" xfId="4496" applyFont="1" applyFill="1" applyBorder="1" applyAlignment="1" applyProtection="1">
      <alignment horizontal="center"/>
      <protection locked="0"/>
    </xf>
    <xf numFmtId="0" fontId="14" fillId="0" borderId="50" xfId="4495" applyFont="1" applyBorder="1" applyAlignment="1">
      <alignment horizontal="left" vertical="center" wrapText="1"/>
    </xf>
    <xf numFmtId="0" fontId="14" fillId="0" borderId="51" xfId="4495" applyFont="1" applyBorder="1" applyAlignment="1">
      <alignment horizontal="left" vertical="center" wrapText="1"/>
    </xf>
    <xf numFmtId="0" fontId="14" fillId="0" borderId="52" xfId="4495" applyFont="1" applyBorder="1" applyAlignment="1">
      <alignment horizontal="left" vertical="center" wrapText="1"/>
    </xf>
    <xf numFmtId="0" fontId="14" fillId="0" borderId="57" xfId="4495" applyFont="1" applyBorder="1" applyAlignment="1">
      <alignment horizontal="left" vertical="center" wrapText="1"/>
    </xf>
    <xf numFmtId="0" fontId="14" fillId="0" borderId="58" xfId="4495" applyFont="1" applyBorder="1" applyAlignment="1">
      <alignment horizontal="left" vertical="center" wrapText="1"/>
    </xf>
    <xf numFmtId="0" fontId="14" fillId="0" borderId="59" xfId="4495" applyFont="1" applyBorder="1" applyAlignment="1">
      <alignment horizontal="left" vertical="center" wrapText="1"/>
    </xf>
    <xf numFmtId="0" fontId="14" fillId="0" borderId="53" xfId="4495" applyFont="1" applyBorder="1" applyAlignment="1">
      <alignment horizontal="left" vertical="center" wrapText="1"/>
    </xf>
    <xf numFmtId="0" fontId="14" fillId="0" borderId="0" xfId="4495" applyFont="1" applyAlignment="1">
      <alignment horizontal="left" vertical="center" wrapText="1"/>
    </xf>
    <xf numFmtId="0" fontId="14" fillId="0" borderId="54" xfId="4495" applyFont="1" applyBorder="1" applyAlignment="1">
      <alignment horizontal="left" vertical="center" wrapText="1"/>
    </xf>
    <xf numFmtId="0" fontId="21" fillId="0" borderId="0" xfId="4495" applyFont="1" applyAlignment="1">
      <alignment horizontal="right"/>
    </xf>
    <xf numFmtId="0" fontId="120" fillId="0" borderId="50" xfId="4496" applyFont="1" applyBorder="1" applyAlignment="1">
      <alignment horizontal="left" vertical="top" wrapText="1"/>
    </xf>
    <xf numFmtId="0" fontId="120" fillId="0" borderId="51" xfId="4496" applyFont="1" applyBorder="1" applyAlignment="1">
      <alignment horizontal="left" vertical="top" wrapText="1"/>
    </xf>
    <xf numFmtId="0" fontId="120" fillId="0" borderId="52" xfId="4496" applyFont="1" applyBorder="1" applyAlignment="1">
      <alignment horizontal="left" vertical="top" wrapText="1"/>
    </xf>
    <xf numFmtId="0" fontId="120" fillId="0" borderId="53" xfId="4496" applyFont="1" applyBorder="1" applyAlignment="1">
      <alignment horizontal="left" vertical="top" wrapText="1"/>
    </xf>
    <xf numFmtId="0" fontId="120" fillId="0" borderId="0" xfId="4496" applyFont="1" applyAlignment="1">
      <alignment horizontal="left" vertical="top" wrapText="1"/>
    </xf>
    <xf numFmtId="0" fontId="120" fillId="0" borderId="54" xfId="4496" applyFont="1" applyBorder="1" applyAlignment="1">
      <alignment horizontal="left" vertical="top" wrapText="1"/>
    </xf>
    <xf numFmtId="0" fontId="120" fillId="0" borderId="57" xfId="4496" applyFont="1" applyBorder="1" applyAlignment="1">
      <alignment horizontal="left" vertical="top" wrapText="1"/>
    </xf>
    <xf numFmtId="0" fontId="120" fillId="0" borderId="58" xfId="4496" applyFont="1" applyBorder="1" applyAlignment="1">
      <alignment horizontal="left" vertical="top" wrapText="1"/>
    </xf>
    <xf numFmtId="0" fontId="120" fillId="0" borderId="59" xfId="4496" applyFont="1" applyBorder="1" applyAlignment="1">
      <alignment horizontal="left" vertical="top" wrapText="1"/>
    </xf>
    <xf numFmtId="0" fontId="120" fillId="5" borderId="55" xfId="4496" applyFont="1" applyFill="1" applyBorder="1" applyAlignment="1" applyProtection="1">
      <alignment horizontal="center"/>
      <protection locked="0"/>
    </xf>
    <xf numFmtId="0" fontId="120" fillId="0" borderId="47" xfId="4496" applyFont="1" applyBorder="1"/>
    <xf numFmtId="0" fontId="120" fillId="0" borderId="48" xfId="4496" applyFont="1" applyBorder="1"/>
    <xf numFmtId="0" fontId="120" fillId="0" borderId="49" xfId="4496" applyFont="1" applyBorder="1"/>
    <xf numFmtId="0" fontId="120" fillId="0" borderId="55" xfId="4496" applyFont="1" applyBorder="1" applyAlignment="1">
      <alignment horizontal="center" vertical="top" wrapText="1"/>
    </xf>
    <xf numFmtId="0" fontId="120" fillId="0" borderId="6" xfId="4496" applyFont="1" applyBorder="1" applyAlignment="1">
      <alignment horizontal="center" vertical="top" wrapText="1"/>
    </xf>
    <xf numFmtId="0" fontId="20" fillId="3" borderId="2" xfId="4495" applyFont="1" applyFill="1" applyBorder="1" applyAlignment="1">
      <alignment horizontal="center" vertical="center"/>
    </xf>
    <xf numFmtId="0" fontId="20" fillId="3" borderId="16" xfId="4495" applyFont="1" applyFill="1" applyBorder="1" applyAlignment="1">
      <alignment horizontal="center" vertical="center"/>
    </xf>
    <xf numFmtId="0" fontId="21" fillId="0" borderId="48" xfId="4495" applyFont="1" applyBorder="1" applyAlignment="1">
      <alignment horizontal="left" vertical="top"/>
    </xf>
    <xf numFmtId="0" fontId="21" fillId="0" borderId="49" xfId="4495" applyFont="1" applyBorder="1" applyAlignment="1">
      <alignment horizontal="left" vertical="top"/>
    </xf>
    <xf numFmtId="1" fontId="14" fillId="0" borderId="3" xfId="4495" applyNumberFormat="1" applyFont="1" applyBorder="1" applyAlignment="1">
      <alignment horizontal="center"/>
    </xf>
    <xf numFmtId="1" fontId="14" fillId="0" borderId="4" xfId="4495" applyNumberFormat="1" applyFont="1" applyBorder="1" applyAlignment="1">
      <alignment horizontal="center"/>
    </xf>
    <xf numFmtId="1" fontId="14" fillId="0" borderId="5" xfId="4495" applyNumberFormat="1" applyFont="1" applyBorder="1" applyAlignment="1">
      <alignment horizontal="center"/>
    </xf>
    <xf numFmtId="0" fontId="14" fillId="0" borderId="50" xfId="4495" applyFont="1" applyBorder="1" applyAlignment="1">
      <alignment vertical="center" wrapText="1"/>
    </xf>
    <xf numFmtId="0" fontId="14" fillId="0" borderId="51" xfId="4495" applyFont="1" applyBorder="1" applyAlignment="1">
      <alignment vertical="center" wrapText="1"/>
    </xf>
    <xf numFmtId="0" fontId="14" fillId="0" borderId="52" xfId="4495" applyFont="1" applyBorder="1" applyAlignment="1">
      <alignment vertical="center" wrapText="1"/>
    </xf>
    <xf numFmtId="0" fontId="14" fillId="0" borderId="57" xfId="4495" applyFont="1" applyBorder="1" applyAlignment="1">
      <alignment vertical="center" wrapText="1"/>
    </xf>
    <xf numFmtId="0" fontId="14" fillId="0" borderId="58" xfId="4495" applyFont="1" applyBorder="1" applyAlignment="1">
      <alignment vertical="center" wrapText="1"/>
    </xf>
    <xf numFmtId="0" fontId="14" fillId="0" borderId="59" xfId="4495" applyFont="1" applyBorder="1" applyAlignment="1">
      <alignment vertical="center" wrapText="1"/>
    </xf>
    <xf numFmtId="0" fontId="120" fillId="43" borderId="55" xfId="4496" applyFont="1" applyFill="1" applyBorder="1" applyAlignment="1" applyProtection="1">
      <alignment horizontal="left" vertical="top" wrapText="1"/>
      <protection locked="0"/>
    </xf>
    <xf numFmtId="0" fontId="120" fillId="43" borderId="6" xfId="4496" applyFont="1" applyFill="1" applyBorder="1" applyAlignment="1" applyProtection="1">
      <alignment horizontal="left" vertical="top" wrapText="1"/>
      <protection locked="0"/>
    </xf>
    <xf numFmtId="0" fontId="120" fillId="43" borderId="56" xfId="4496" applyFont="1" applyFill="1" applyBorder="1" applyAlignment="1" applyProtection="1">
      <alignment horizontal="left" vertical="top" wrapText="1"/>
      <protection locked="0"/>
    </xf>
    <xf numFmtId="0" fontId="21" fillId="0" borderId="0" xfId="4495" applyFont="1" applyAlignment="1">
      <alignment horizontal="center" vertical="top"/>
    </xf>
    <xf numFmtId="0" fontId="14" fillId="5" borderId="6" xfId="4495" applyFont="1" applyFill="1" applyBorder="1" applyAlignment="1" applyProtection="1">
      <alignment horizontal="left"/>
      <protection locked="0"/>
    </xf>
    <xf numFmtId="168" fontId="120" fillId="0" borderId="55" xfId="4496" applyNumberFormat="1" applyFont="1" applyBorder="1" applyAlignment="1">
      <alignment horizontal="center" vertical="top"/>
    </xf>
    <xf numFmtId="168" fontId="120" fillId="0" borderId="6" xfId="4496" applyNumberFormat="1" applyFont="1" applyBorder="1" applyAlignment="1">
      <alignment horizontal="center" vertical="top"/>
    </xf>
    <xf numFmtId="10" fontId="120" fillId="0" borderId="3" xfId="4496" applyNumberFormat="1" applyFont="1" applyBorder="1" applyAlignment="1">
      <alignment horizontal="center" vertical="top" wrapText="1"/>
    </xf>
    <xf numFmtId="10" fontId="120" fillId="0" borderId="4" xfId="4496" applyNumberFormat="1" applyFont="1" applyBorder="1" applyAlignment="1">
      <alignment horizontal="center" vertical="top" wrapText="1"/>
    </xf>
    <xf numFmtId="10" fontId="120" fillId="0" borderId="5" xfId="4496" applyNumberFormat="1" applyFont="1" applyBorder="1" applyAlignment="1">
      <alignment horizontal="center" vertical="top" wrapText="1"/>
    </xf>
    <xf numFmtId="1" fontId="120" fillId="0" borderId="55" xfId="4496" applyNumberFormat="1" applyFont="1" applyBorder="1" applyAlignment="1">
      <alignment horizontal="center" vertical="top" wrapText="1"/>
    </xf>
    <xf numFmtId="1" fontId="120" fillId="0" borderId="6" xfId="4496" applyNumberFormat="1" applyFont="1" applyBorder="1" applyAlignment="1">
      <alignment horizontal="center" vertical="top" wrapText="1"/>
    </xf>
    <xf numFmtId="168" fontId="120" fillId="43" borderId="55" xfId="4496" applyNumberFormat="1" applyFont="1" applyFill="1" applyBorder="1" applyAlignment="1" applyProtection="1">
      <alignment horizontal="center" vertical="top" wrapText="1"/>
      <protection locked="0"/>
    </xf>
    <xf numFmtId="168" fontId="120" fillId="43" borderId="6" xfId="4496" applyNumberFormat="1" applyFont="1" applyFill="1" applyBorder="1" applyAlignment="1" applyProtection="1">
      <alignment horizontal="center" vertical="top" wrapText="1"/>
      <protection locked="0"/>
    </xf>
    <xf numFmtId="0" fontId="14" fillId="0" borderId="0" xfId="1192" applyAlignment="1">
      <alignment horizontal="right"/>
    </xf>
    <xf numFmtId="0" fontId="14" fillId="5" borderId="6" xfId="1192" applyFill="1" applyBorder="1" applyAlignment="1" applyProtection="1">
      <alignment horizontal="left"/>
      <protection locked="0"/>
    </xf>
    <xf numFmtId="168" fontId="14" fillId="43" borderId="6" xfId="4495" applyNumberFormat="1" applyFont="1" applyFill="1" applyBorder="1" applyAlignment="1" applyProtection="1">
      <alignment horizontal="right"/>
      <protection locked="0"/>
    </xf>
    <xf numFmtId="9" fontId="14" fillId="0" borderId="6" xfId="1192" applyNumberFormat="1" applyBorder="1" applyAlignment="1">
      <alignment horizontal="center"/>
    </xf>
    <xf numFmtId="9" fontId="14" fillId="0" borderId="6" xfId="1192" quotePrefix="1" applyNumberFormat="1" applyBorder="1" applyAlignment="1">
      <alignment horizontal="center"/>
    </xf>
    <xf numFmtId="9" fontId="14" fillId="0" borderId="0" xfId="1192" quotePrefix="1" applyNumberFormat="1" applyAlignment="1">
      <alignment horizontal="center"/>
    </xf>
    <xf numFmtId="1" fontId="14" fillId="5" borderId="2" xfId="1192" applyNumberFormat="1" applyFill="1" applyBorder="1" applyAlignment="1" applyProtection="1">
      <alignment horizontal="center"/>
      <protection locked="0"/>
    </xf>
    <xf numFmtId="9" fontId="14" fillId="5" borderId="4" xfId="1192" applyNumberFormat="1" applyFill="1" applyBorder="1" applyAlignment="1" applyProtection="1">
      <alignment horizontal="left"/>
      <protection locked="0"/>
    </xf>
    <xf numFmtId="168" fontId="14" fillId="0" borderId="0" xfId="1192" applyNumberFormat="1" applyAlignment="1">
      <alignment horizontal="right"/>
    </xf>
    <xf numFmtId="1" fontId="14" fillId="5" borderId="4" xfId="1192" applyNumberFormat="1" applyFill="1" applyBorder="1" applyAlignment="1" applyProtection="1">
      <alignment horizontal="center"/>
      <protection locked="0"/>
    </xf>
    <xf numFmtId="0" fontId="140" fillId="0" borderId="6" xfId="1192" applyFont="1" applyBorder="1" applyAlignment="1">
      <alignment horizontal="center"/>
    </xf>
    <xf numFmtId="168" fontId="14" fillId="5" borderId="4" xfId="1192" applyNumberFormat="1" applyFill="1" applyBorder="1" applyAlignment="1" applyProtection="1">
      <alignment horizontal="center"/>
      <protection locked="0"/>
    </xf>
    <xf numFmtId="2" fontId="14" fillId="0" borderId="0" xfId="1192" applyNumberFormat="1" applyAlignment="1">
      <alignment horizontal="right"/>
    </xf>
    <xf numFmtId="0" fontId="22" fillId="5" borderId="6" xfId="4495" applyFont="1" applyFill="1" applyBorder="1" applyAlignment="1" applyProtection="1">
      <alignment horizontal="left"/>
      <protection locked="0"/>
    </xf>
    <xf numFmtId="0" fontId="14" fillId="0" borderId="0" xfId="4495" applyFont="1" applyAlignment="1">
      <alignment horizontal="left"/>
    </xf>
    <xf numFmtId="0" fontId="51" fillId="5" borderId="6" xfId="4495" applyFont="1" applyFill="1" applyBorder="1" applyAlignment="1" applyProtection="1">
      <alignment horizontal="left"/>
      <protection locked="0"/>
    </xf>
    <xf numFmtId="0" fontId="14" fillId="5" borderId="6" xfId="4495" applyFont="1" applyFill="1" applyBorder="1" applyAlignment="1" applyProtection="1">
      <alignment horizontal="center"/>
      <protection locked="0"/>
    </xf>
    <xf numFmtId="0" fontId="14" fillId="44" borderId="6" xfId="4495" applyFont="1" applyFill="1" applyBorder="1" applyAlignment="1">
      <alignment horizontal="left"/>
    </xf>
    <xf numFmtId="1" fontId="14" fillId="0" borderId="11" xfId="4495" applyNumberFormat="1" applyFont="1" applyBorder="1" applyAlignment="1">
      <alignment horizontal="center"/>
    </xf>
    <xf numFmtId="0" fontId="14" fillId="0" borderId="11" xfId="4495" applyFont="1" applyBorder="1" applyAlignment="1">
      <alignment horizontal="center"/>
    </xf>
    <xf numFmtId="0" fontId="118" fillId="5" borderId="6" xfId="4495" applyFill="1" applyBorder="1" applyAlignment="1" applyProtection="1">
      <alignment horizontal="center"/>
      <protection locked="0"/>
    </xf>
    <xf numFmtId="0" fontId="21" fillId="0" borderId="0" xfId="4495" applyFont="1" applyAlignment="1">
      <alignment horizontal="left" vertical="top"/>
    </xf>
    <xf numFmtId="0" fontId="118" fillId="0" borderId="0" xfId="4495" applyAlignment="1" applyProtection="1">
      <alignment horizontal="center"/>
      <protection locked="0"/>
    </xf>
    <xf numFmtId="0" fontId="14" fillId="0" borderId="3" xfId="4495" applyFont="1" applyBorder="1" applyAlignment="1">
      <alignment horizontal="center"/>
    </xf>
    <xf numFmtId="0" fontId="14" fillId="0" borderId="4" xfId="4495" applyFont="1" applyBorder="1" applyAlignment="1">
      <alignment horizontal="center"/>
    </xf>
    <xf numFmtId="0" fontId="14" fillId="0" borderId="5" xfId="4495" applyFont="1" applyBorder="1" applyAlignment="1">
      <alignment horizontal="center"/>
    </xf>
    <xf numFmtId="168" fontId="14" fillId="0" borderId="6" xfId="4496" applyNumberFormat="1" applyFont="1" applyBorder="1" applyAlignment="1">
      <alignment horizontal="center"/>
    </xf>
    <xf numFmtId="9" fontId="14" fillId="0" borderId="4" xfId="543" applyNumberFormat="1" applyBorder="1" applyAlignment="1">
      <alignment horizontal="center"/>
    </xf>
    <xf numFmtId="0" fontId="14" fillId="0" borderId="4" xfId="4496" applyFont="1" applyBorder="1" applyAlignment="1">
      <alignment horizontal="center"/>
    </xf>
    <xf numFmtId="0" fontId="14" fillId="0" borderId="5" xfId="4496" applyFont="1" applyBorder="1" applyAlignment="1">
      <alignment horizontal="center"/>
    </xf>
    <xf numFmtId="168" fontId="14" fillId="0" borderId="6" xfId="4495" applyNumberFormat="1" applyFont="1" applyBorder="1" applyAlignment="1">
      <alignment horizontal="right"/>
    </xf>
    <xf numFmtId="168" fontId="116" fillId="0" borderId="6" xfId="4495" applyNumberFormat="1" applyFont="1" applyBorder="1" applyAlignment="1">
      <alignment horizontal="right"/>
    </xf>
    <xf numFmtId="6" fontId="14" fillId="0" borderId="3" xfId="1192" applyNumberFormat="1" applyBorder="1" applyAlignment="1">
      <alignment horizontal="right"/>
    </xf>
    <xf numFmtId="6" fontId="14" fillId="0" borderId="4" xfId="1192" applyNumberFormat="1" applyBorder="1" applyAlignment="1">
      <alignment horizontal="right"/>
    </xf>
    <xf numFmtId="6" fontId="14" fillId="0" borderId="5" xfId="1192" applyNumberFormat="1" applyBorder="1" applyAlignment="1">
      <alignment horizontal="right"/>
    </xf>
    <xf numFmtId="168" fontId="14" fillId="0" borderId="4" xfId="4495" applyNumberFormat="1" applyFont="1" applyBorder="1" applyAlignment="1">
      <alignment horizontal="right"/>
    </xf>
    <xf numFmtId="165" fontId="14" fillId="43" borderId="3" xfId="4495" applyNumberFormat="1" applyFont="1" applyFill="1" applyBorder="1" applyAlignment="1" applyProtection="1">
      <alignment horizontal="center"/>
      <protection locked="0"/>
    </xf>
    <xf numFmtId="165" fontId="14" fillId="43" borderId="4" xfId="4495" applyNumberFormat="1" applyFont="1" applyFill="1" applyBorder="1" applyAlignment="1" applyProtection="1">
      <alignment horizontal="center"/>
      <protection locked="0"/>
    </xf>
    <xf numFmtId="165" fontId="14" fillId="43" borderId="5" xfId="4495" applyNumberFormat="1" applyFont="1" applyFill="1" applyBorder="1" applyAlignment="1" applyProtection="1">
      <alignment horizontal="center"/>
      <protection locked="0"/>
    </xf>
    <xf numFmtId="165" fontId="14" fillId="0" borderId="6" xfId="1192" applyNumberFormat="1" applyBorder="1" applyAlignment="1">
      <alignment horizontal="right"/>
    </xf>
    <xf numFmtId="168" fontId="14" fillId="0" borderId="2" xfId="1192" applyNumberFormat="1" applyBorder="1" applyAlignment="1">
      <alignment horizontal="right"/>
    </xf>
    <xf numFmtId="165" fontId="14" fillId="0" borderId="0" xfId="1192" applyNumberFormat="1" applyAlignment="1">
      <alignment horizontal="right"/>
    </xf>
    <xf numFmtId="0" fontId="14" fillId="0" borderId="53" xfId="4495" applyFont="1" applyBorder="1" applyAlignment="1">
      <alignment horizontal="left" vertical="top" wrapText="1"/>
    </xf>
    <xf numFmtId="0" fontId="14" fillId="0" borderId="0" xfId="4495" applyFont="1" applyAlignment="1">
      <alignment horizontal="left" vertical="top" wrapText="1"/>
    </xf>
    <xf numFmtId="0" fontId="14" fillId="0" borderId="54" xfId="4495" applyFont="1" applyBorder="1" applyAlignment="1">
      <alignment horizontal="left" vertical="top" wrapText="1"/>
    </xf>
    <xf numFmtId="0" fontId="14" fillId="0" borderId="57" xfId="4495" applyFont="1" applyBorder="1" applyAlignment="1">
      <alignment horizontal="left" vertical="top" wrapText="1"/>
    </xf>
    <xf numFmtId="0" fontId="14" fillId="0" borderId="58" xfId="4495" applyFont="1" applyBorder="1" applyAlignment="1">
      <alignment horizontal="left" vertical="top" wrapText="1"/>
    </xf>
    <xf numFmtId="0" fontId="14" fillId="0" borderId="59" xfId="4495" applyFont="1" applyBorder="1" applyAlignment="1">
      <alignment horizontal="left" vertical="top" wrapText="1"/>
    </xf>
    <xf numFmtId="0" fontId="14" fillId="0" borderId="50" xfId="4495" applyFont="1" applyBorder="1" applyAlignment="1">
      <alignment horizontal="left" vertical="top" wrapText="1"/>
    </xf>
    <xf numFmtId="0" fontId="14" fillId="0" borderId="51" xfId="4495" applyFont="1" applyBorder="1" applyAlignment="1">
      <alignment horizontal="left" vertical="top" wrapText="1"/>
    </xf>
    <xf numFmtId="0" fontId="14" fillId="0" borderId="52" xfId="4495" applyFont="1" applyBorder="1" applyAlignment="1">
      <alignment horizontal="left" vertical="top" wrapText="1"/>
    </xf>
    <xf numFmtId="0" fontId="21" fillId="0" borderId="0" xfId="4495" applyFont="1"/>
    <xf numFmtId="0" fontId="14" fillId="43" borderId="53" xfId="4495" applyFont="1" applyFill="1" applyBorder="1" applyAlignment="1" applyProtection="1">
      <alignment vertical="top" wrapText="1"/>
      <protection locked="0"/>
    </xf>
    <xf numFmtId="0" fontId="14" fillId="43" borderId="0" xfId="4495" applyFont="1" applyFill="1" applyAlignment="1" applyProtection="1">
      <alignment vertical="top" wrapText="1"/>
      <protection locked="0"/>
    </xf>
    <xf numFmtId="0" fontId="14" fillId="43" borderId="54" xfId="4495" applyFont="1" applyFill="1" applyBorder="1" applyAlignment="1" applyProtection="1">
      <alignment vertical="top" wrapText="1"/>
      <protection locked="0"/>
    </xf>
    <xf numFmtId="0" fontId="14" fillId="43" borderId="55" xfId="4495" applyFont="1" applyFill="1" applyBorder="1" applyAlignment="1" applyProtection="1">
      <alignment vertical="top" wrapText="1"/>
      <protection locked="0"/>
    </xf>
    <xf numFmtId="0" fontId="14" fillId="43" borderId="6" xfId="4495" applyFont="1" applyFill="1" applyBorder="1" applyAlignment="1" applyProtection="1">
      <alignment vertical="top" wrapText="1"/>
      <protection locked="0"/>
    </xf>
    <xf numFmtId="0" fontId="14" fillId="43" borderId="56" xfId="4495" applyFont="1" applyFill="1" applyBorder="1" applyAlignment="1" applyProtection="1">
      <alignment vertical="top" wrapText="1"/>
      <protection locked="0"/>
    </xf>
    <xf numFmtId="0" fontId="14" fillId="43" borderId="0" xfId="4495" applyFont="1" applyFill="1" applyAlignment="1" applyProtection="1">
      <alignment horizontal="left" vertical="center" wrapText="1"/>
      <protection locked="0"/>
    </xf>
    <xf numFmtId="0" fontId="14" fillId="43" borderId="54" xfId="4495" applyFont="1" applyFill="1" applyBorder="1" applyAlignment="1" applyProtection="1">
      <alignment horizontal="left" vertical="center" wrapText="1"/>
      <protection locked="0"/>
    </xf>
    <xf numFmtId="0" fontId="14" fillId="43" borderId="6" xfId="4495" applyFont="1" applyFill="1" applyBorder="1" applyAlignment="1" applyProtection="1">
      <alignment horizontal="left" vertical="center" wrapText="1"/>
      <protection locked="0"/>
    </xf>
    <xf numFmtId="0" fontId="14" fillId="43" borderId="56" xfId="4495" applyFont="1" applyFill="1" applyBorder="1" applyAlignment="1" applyProtection="1">
      <alignment horizontal="left" vertical="center" wrapText="1"/>
      <protection locked="0"/>
    </xf>
    <xf numFmtId="0" fontId="128" fillId="0" borderId="0" xfId="4495" applyFont="1" applyAlignment="1">
      <alignment horizontal="left" vertical="top" wrapText="1"/>
    </xf>
    <xf numFmtId="0" fontId="118" fillId="5" borderId="55" xfId="4495" applyFill="1" applyBorder="1" applyAlignment="1" applyProtection="1">
      <alignment horizontal="center"/>
      <protection locked="0"/>
    </xf>
    <xf numFmtId="0" fontId="21" fillId="0" borderId="0" xfId="4495" applyFont="1" applyAlignment="1">
      <alignment horizontal="center"/>
    </xf>
    <xf numFmtId="0" fontId="21" fillId="0" borderId="54" xfId="4495" applyFont="1" applyBorder="1" applyAlignment="1">
      <alignment horizontal="center"/>
    </xf>
    <xf numFmtId="0" fontId="22" fillId="0" borderId="51" xfId="4495" applyFont="1" applyBorder="1" applyAlignment="1">
      <alignment horizontal="left" vertical="top" wrapText="1"/>
    </xf>
    <xf numFmtId="0" fontId="22" fillId="0" borderId="0" xfId="4495" applyFont="1" applyAlignment="1">
      <alignment horizontal="left" vertical="top" wrapText="1"/>
    </xf>
    <xf numFmtId="0" fontId="21" fillId="0" borderId="54" xfId="4495" applyFont="1" applyBorder="1" applyAlignment="1">
      <alignment horizontal="center" vertical="top"/>
    </xf>
    <xf numFmtId="0" fontId="118" fillId="5" borderId="62" xfId="4495" applyFill="1" applyBorder="1" applyAlignment="1" applyProtection="1">
      <alignment horizontal="center"/>
      <protection locked="0"/>
    </xf>
    <xf numFmtId="0" fontId="118" fillId="5" borderId="63" xfId="4495" applyFill="1" applyBorder="1" applyAlignment="1" applyProtection="1">
      <alignment horizontal="center"/>
      <protection locked="0"/>
    </xf>
    <xf numFmtId="0" fontId="14" fillId="0" borderId="0" xfId="4495" applyFont="1" applyAlignment="1">
      <alignment horizontal="left" vertical="center" wrapText="1" shrinkToFit="1"/>
    </xf>
    <xf numFmtId="0" fontId="14" fillId="5" borderId="6" xfId="4495" applyFont="1" applyFill="1" applyBorder="1" applyAlignment="1" applyProtection="1">
      <alignment horizontal="center" vertical="center" wrapText="1" shrinkToFit="1"/>
      <protection locked="0"/>
    </xf>
    <xf numFmtId="0" fontId="14" fillId="5" borderId="6" xfId="4495" applyFont="1" applyFill="1" applyBorder="1" applyAlignment="1" applyProtection="1">
      <alignment horizontal="left" wrapText="1" shrinkToFit="1"/>
      <protection locked="0"/>
    </xf>
    <xf numFmtId="0" fontId="14" fillId="43" borderId="6" xfId="1192" applyFill="1" applyBorder="1" applyAlignment="1" applyProtection="1">
      <alignment horizontal="left" vertical="top"/>
      <protection locked="0"/>
    </xf>
    <xf numFmtId="0" fontId="173" fillId="0" borderId="0" xfId="0" applyFont="1" applyAlignment="1" applyProtection="1">
      <alignment horizontal="left"/>
      <protection locked="0"/>
    </xf>
    <xf numFmtId="168" fontId="170" fillId="0" borderId="0" xfId="0" applyNumberFormat="1" applyFont="1" applyAlignment="1">
      <alignment horizontal="center" vertical="top" wrapText="1"/>
    </xf>
    <xf numFmtId="168" fontId="170" fillId="0" borderId="12" xfId="0" applyNumberFormat="1" applyFont="1" applyBorder="1" applyAlignment="1">
      <alignment horizontal="center" vertical="top" wrapText="1"/>
    </xf>
    <xf numFmtId="0" fontId="22" fillId="0" borderId="0" xfId="4495" applyFont="1" applyAlignment="1">
      <alignment horizontal="center"/>
    </xf>
    <xf numFmtId="0" fontId="14" fillId="0" borderId="0" xfId="4495" applyFont="1" applyAlignment="1">
      <alignment wrapText="1"/>
    </xf>
    <xf numFmtId="0" fontId="14" fillId="0" borderId="0" xfId="4495" applyFont="1" applyAlignment="1">
      <alignment horizontal="left" vertical="top" wrapText="1" shrinkToFit="1"/>
    </xf>
    <xf numFmtId="44" fontId="14" fillId="0" borderId="0" xfId="707" applyFont="1" applyFill="1" applyBorder="1" applyAlignment="1" applyProtection="1">
      <alignment horizontal="left" vertical="top" wrapText="1"/>
    </xf>
    <xf numFmtId="0" fontId="21" fillId="0" borderId="0" xfId="4495" applyFont="1" applyAlignment="1">
      <alignment horizontal="left" vertical="top" wrapText="1"/>
    </xf>
    <xf numFmtId="0" fontId="14" fillId="45" borderId="11" xfId="4495" applyFont="1" applyFill="1" applyBorder="1" applyAlignment="1">
      <alignment horizontal="center"/>
    </xf>
    <xf numFmtId="0" fontId="128" fillId="0" borderId="0" xfId="4495" applyFont="1" applyAlignment="1">
      <alignment horizontal="left" vertical="center" wrapText="1"/>
    </xf>
    <xf numFmtId="0" fontId="21" fillId="0" borderId="11" xfId="4495" applyFont="1" applyBorder="1" applyAlignment="1">
      <alignment horizontal="center"/>
    </xf>
    <xf numFmtId="0" fontId="22" fillId="0" borderId="58" xfId="4495" applyFont="1" applyBorder="1" applyAlignment="1">
      <alignment horizontal="left" vertical="top" wrapText="1"/>
    </xf>
    <xf numFmtId="0" fontId="21" fillId="0" borderId="51" xfId="4495" applyFont="1" applyBorder="1" applyAlignment="1">
      <alignment horizontal="center" vertical="top"/>
    </xf>
    <xf numFmtId="0" fontId="21" fillId="0" borderId="52" xfId="4495" applyFont="1" applyBorder="1" applyAlignment="1">
      <alignment horizontal="center" vertical="top"/>
    </xf>
    <xf numFmtId="0" fontId="118" fillId="5" borderId="50" xfId="4495" applyFill="1" applyBorder="1" applyAlignment="1">
      <alignment horizontal="center"/>
    </xf>
    <xf numFmtId="0" fontId="118" fillId="5" borderId="51" xfId="4495" applyFill="1" applyBorder="1" applyAlignment="1">
      <alignment horizontal="center"/>
    </xf>
    <xf numFmtId="0" fontId="51" fillId="0" borderId="51" xfId="4495" applyFont="1" applyBorder="1" applyAlignment="1">
      <alignment horizontal="left" wrapText="1"/>
    </xf>
    <xf numFmtId="0" fontId="51" fillId="0" borderId="0" xfId="4495" applyFont="1" applyAlignment="1">
      <alignment horizontal="left" wrapText="1"/>
    </xf>
    <xf numFmtId="0" fontId="22" fillId="5" borderId="6" xfId="4495" applyFont="1" applyFill="1" applyBorder="1" applyAlignment="1">
      <alignment horizontal="left"/>
    </xf>
    <xf numFmtId="0" fontId="118" fillId="5" borderId="62" xfId="4495" applyFill="1" applyBorder="1" applyAlignment="1">
      <alignment horizontal="center"/>
    </xf>
    <xf numFmtId="0" fontId="118" fillId="5" borderId="63" xfId="4495" applyFill="1" applyBorder="1" applyAlignment="1">
      <alignment horizontal="center"/>
    </xf>
    <xf numFmtId="0" fontId="22" fillId="5" borderId="58" xfId="4495" applyFont="1" applyFill="1" applyBorder="1" applyAlignment="1">
      <alignment horizontal="left"/>
    </xf>
    <xf numFmtId="0" fontId="51" fillId="0" borderId="51" xfId="4495" applyFont="1" applyBorder="1" applyAlignment="1">
      <alignment horizontal="left" vertical="top" wrapText="1"/>
    </xf>
    <xf numFmtId="0" fontId="51" fillId="0" borderId="0" xfId="4495" applyFont="1" applyAlignment="1">
      <alignment horizontal="left" vertical="top" wrapText="1"/>
    </xf>
    <xf numFmtId="9" fontId="22" fillId="5" borderId="58" xfId="4495" applyNumberFormat="1" applyFont="1" applyFill="1" applyBorder="1" applyAlignment="1">
      <alignment horizontal="left"/>
    </xf>
    <xf numFmtId="0" fontId="118" fillId="0" borderId="0" xfId="4495" applyAlignment="1">
      <alignment horizontal="center"/>
    </xf>
    <xf numFmtId="9" fontId="22" fillId="5" borderId="6" xfId="4495" applyNumberFormat="1" applyFont="1" applyFill="1" applyBorder="1" applyAlignment="1">
      <alignment horizontal="left"/>
    </xf>
    <xf numFmtId="0" fontId="118" fillId="5" borderId="55" xfId="4495" applyFill="1" applyBorder="1" applyAlignment="1">
      <alignment horizontal="center"/>
    </xf>
    <xf numFmtId="0" fontId="118" fillId="5" borderId="6" xfId="4495" applyFill="1" applyBorder="1" applyAlignment="1">
      <alignment horizontal="center"/>
    </xf>
    <xf numFmtId="0" fontId="22" fillId="5" borderId="0" xfId="4495" applyFont="1" applyFill="1" applyAlignment="1">
      <alignment horizontal="left" vertical="top" wrapText="1"/>
    </xf>
    <xf numFmtId="0" fontId="22" fillId="5" borderId="58" xfId="4495" applyFont="1" applyFill="1" applyBorder="1" applyAlignment="1">
      <alignment horizontal="left" vertical="top" wrapText="1"/>
    </xf>
    <xf numFmtId="0" fontId="120" fillId="0" borderId="50" xfId="4496" applyFont="1" applyBorder="1" applyAlignment="1">
      <alignment horizontal="left" wrapText="1"/>
    </xf>
    <xf numFmtId="0" fontId="120" fillId="0" borderId="51" xfId="4496" applyFont="1" applyBorder="1" applyAlignment="1">
      <alignment horizontal="left" wrapText="1"/>
    </xf>
    <xf numFmtId="0" fontId="120" fillId="0" borderId="52" xfId="4496" applyFont="1" applyBorder="1" applyAlignment="1">
      <alignment horizontal="left" wrapText="1"/>
    </xf>
    <xf numFmtId="0" fontId="120" fillId="0" borderId="57" xfId="4496" applyFont="1" applyBorder="1" applyAlignment="1">
      <alignment horizontal="left" wrapText="1"/>
    </xf>
    <xf numFmtId="0" fontId="120" fillId="0" borderId="58" xfId="4496" applyFont="1" applyBorder="1" applyAlignment="1">
      <alignment horizontal="left" wrapText="1"/>
    </xf>
    <xf numFmtId="0" fontId="120" fillId="0" borderId="59" xfId="4496" applyFont="1" applyBorder="1" applyAlignment="1">
      <alignment horizontal="left" wrapText="1"/>
    </xf>
    <xf numFmtId="0" fontId="118" fillId="0" borderId="53" xfId="4495" applyBorder="1" applyAlignment="1">
      <alignment horizontal="center"/>
    </xf>
    <xf numFmtId="0" fontId="22" fillId="5" borderId="0" xfId="4495" applyFont="1" applyFill="1" applyAlignment="1">
      <alignment horizontal="left" vertical="top"/>
    </xf>
    <xf numFmtId="0" fontId="118" fillId="5" borderId="53" xfId="4495" applyFill="1" applyBorder="1" applyAlignment="1">
      <alignment horizontal="center"/>
    </xf>
    <xf numFmtId="0" fontId="118" fillId="5" borderId="0" xfId="4495" applyFill="1" applyAlignment="1">
      <alignment horizontal="center"/>
    </xf>
    <xf numFmtId="0" fontId="21" fillId="0" borderId="4" xfId="4495" applyFont="1" applyBorder="1" applyAlignment="1">
      <alignment horizontal="left"/>
    </xf>
    <xf numFmtId="0" fontId="21" fillId="0" borderId="5" xfId="4495" applyFont="1" applyBorder="1" applyAlignment="1">
      <alignment horizontal="left"/>
    </xf>
    <xf numFmtId="1" fontId="21" fillId="0" borderId="4" xfId="4495" applyNumberFormat="1" applyFont="1" applyBorder="1" applyAlignment="1">
      <alignment horizontal="center" wrapText="1"/>
    </xf>
    <xf numFmtId="0" fontId="21" fillId="0" borderId="4" xfId="4495" applyFont="1" applyBorder="1" applyAlignment="1">
      <alignment horizontal="center" wrapText="1"/>
    </xf>
    <xf numFmtId="0" fontId="21" fillId="0" borderId="5" xfId="4495" applyFont="1" applyBorder="1" applyAlignment="1">
      <alignment horizontal="center" wrapText="1"/>
    </xf>
    <xf numFmtId="0" fontId="21" fillId="0" borderId="3" xfId="4495" applyFont="1" applyBorder="1" applyAlignment="1">
      <alignment horizontal="center" wrapText="1"/>
    </xf>
    <xf numFmtId="0" fontId="14" fillId="0" borderId="50" xfId="4496" applyFont="1" applyBorder="1" applyAlignment="1">
      <alignment horizontal="left" wrapText="1"/>
    </xf>
    <xf numFmtId="0" fontId="14" fillId="0" borderId="51" xfId="4496" applyFont="1" applyBorder="1" applyAlignment="1">
      <alignment horizontal="left" wrapText="1"/>
    </xf>
    <xf numFmtId="0" fontId="14" fillId="0" borderId="52" xfId="4496" applyFont="1" applyBorder="1" applyAlignment="1">
      <alignment horizontal="left" wrapText="1"/>
    </xf>
    <xf numFmtId="0" fontId="14" fillId="0" borderId="53" xfId="4496" applyFont="1" applyBorder="1" applyAlignment="1">
      <alignment horizontal="left" wrapText="1"/>
    </xf>
    <xf numFmtId="0" fontId="14" fillId="0" borderId="0" xfId="4496" applyFont="1" applyAlignment="1">
      <alignment horizontal="left" wrapText="1"/>
    </xf>
    <xf numFmtId="0" fontId="14" fillId="0" borderId="54" xfId="4496" applyFont="1" applyBorder="1" applyAlignment="1">
      <alignment horizontal="left" wrapText="1"/>
    </xf>
    <xf numFmtId="0" fontId="14" fillId="0" borderId="57" xfId="4496" applyFont="1" applyBorder="1" applyAlignment="1">
      <alignment horizontal="left" wrapText="1"/>
    </xf>
    <xf numFmtId="0" fontId="14" fillId="0" borderId="58" xfId="4496" applyFont="1" applyBorder="1" applyAlignment="1">
      <alignment horizontal="left" wrapText="1"/>
    </xf>
    <xf numFmtId="0" fontId="14" fillId="0" borderId="59" xfId="4496" applyFont="1" applyBorder="1" applyAlignment="1">
      <alignment horizontal="left" wrapText="1"/>
    </xf>
    <xf numFmtId="1" fontId="14" fillId="0" borderId="4" xfId="4496" applyNumberFormat="1" applyFont="1" applyBorder="1" applyAlignment="1">
      <alignment horizontal="center"/>
    </xf>
    <xf numFmtId="1" fontId="14" fillId="0" borderId="5" xfId="4496" applyNumberFormat="1" applyFont="1" applyBorder="1" applyAlignment="1">
      <alignment horizontal="center"/>
    </xf>
    <xf numFmtId="49" fontId="20" fillId="3" borderId="2" xfId="4495" applyNumberFormat="1" applyFont="1" applyFill="1" applyBorder="1" applyAlignment="1">
      <alignment horizontal="center" vertical="center" wrapText="1"/>
    </xf>
    <xf numFmtId="49" fontId="20" fillId="3" borderId="2" xfId="4495" applyNumberFormat="1" applyFont="1" applyFill="1" applyBorder="1" applyAlignment="1">
      <alignment horizontal="center" vertical="center"/>
    </xf>
    <xf numFmtId="49" fontId="20" fillId="3" borderId="0" xfId="4495" applyNumberFormat="1" applyFont="1" applyFill="1" applyAlignment="1">
      <alignment horizontal="center" vertical="center"/>
    </xf>
    <xf numFmtId="0" fontId="21" fillId="0" borderId="1" xfId="4495" applyFont="1" applyBorder="1" applyAlignment="1">
      <alignment horizontal="center" wrapText="1"/>
    </xf>
    <xf numFmtId="0" fontId="21" fillId="0" borderId="2" xfId="4495" applyFont="1" applyBorder="1" applyAlignment="1">
      <alignment horizontal="center" wrapText="1"/>
    </xf>
    <xf numFmtId="0" fontId="21" fillId="0" borderId="7" xfId="4495" applyFont="1" applyBorder="1" applyAlignment="1">
      <alignment horizontal="center" wrapText="1"/>
    </xf>
    <xf numFmtId="0" fontId="21" fillId="0" borderId="9" xfId="4495" applyFont="1" applyBorder="1" applyAlignment="1">
      <alignment horizontal="center" wrapText="1"/>
    </xf>
    <xf numFmtId="0" fontId="21" fillId="0" borderId="6" xfId="4495" applyFont="1" applyBorder="1" applyAlignment="1">
      <alignment horizontal="center" wrapText="1"/>
    </xf>
    <xf numFmtId="0" fontId="21" fillId="0" borderId="10" xfId="4495" applyFont="1" applyBorder="1" applyAlignment="1">
      <alignment horizontal="center" wrapText="1"/>
    </xf>
    <xf numFmtId="1" fontId="21" fillId="0" borderId="11" xfId="4495" applyNumberFormat="1" applyFont="1" applyBorder="1" applyAlignment="1">
      <alignment horizontal="center"/>
    </xf>
    <xf numFmtId="0" fontId="14" fillId="0" borderId="4" xfId="4495" applyFont="1" applyBorder="1" applyAlignment="1">
      <alignment horizontal="left"/>
    </xf>
    <xf numFmtId="0" fontId="14" fillId="0" borderId="5" xfId="4495" applyFont="1" applyBorder="1" applyAlignment="1">
      <alignment horizontal="left"/>
    </xf>
    <xf numFmtId="1" fontId="14" fillId="46" borderId="11" xfId="4495" applyNumberFormat="1" applyFont="1" applyFill="1" applyBorder="1" applyAlignment="1">
      <alignment horizontal="center"/>
    </xf>
    <xf numFmtId="0" fontId="21" fillId="0" borderId="3" xfId="4495" applyFont="1" applyBorder="1" applyAlignment="1">
      <alignment horizontal="left"/>
    </xf>
    <xf numFmtId="0" fontId="14" fillId="5" borderId="11" xfId="4495" applyFont="1" applyFill="1" applyBorder="1" applyAlignment="1" applyProtection="1">
      <alignment horizontal="center"/>
      <protection locked="0"/>
    </xf>
    <xf numFmtId="0" fontId="21" fillId="0" borderId="3" xfId="4495" applyFont="1" applyBorder="1" applyAlignment="1">
      <alignment horizontal="center"/>
    </xf>
    <xf numFmtId="0" fontId="21" fillId="0" borderId="4" xfId="4495" applyFont="1" applyBorder="1" applyAlignment="1">
      <alignment horizontal="center"/>
    </xf>
    <xf numFmtId="0" fontId="21" fillId="0" borderId="5" xfId="4495" applyFont="1" applyBorder="1" applyAlignment="1">
      <alignment horizontal="center"/>
    </xf>
    <xf numFmtId="164" fontId="62" fillId="0" borderId="1" xfId="4495" applyNumberFormat="1" applyFont="1" applyBorder="1" applyAlignment="1">
      <alignment horizontal="right" vertical="center"/>
    </xf>
    <xf numFmtId="164" fontId="62" fillId="0" borderId="2" xfId="4495" applyNumberFormat="1" applyFont="1" applyBorder="1" applyAlignment="1">
      <alignment horizontal="right" vertical="center"/>
    </xf>
    <xf numFmtId="164" fontId="62" fillId="0" borderId="7" xfId="4495" applyNumberFormat="1" applyFont="1" applyBorder="1" applyAlignment="1">
      <alignment horizontal="right" vertical="center"/>
    </xf>
    <xf numFmtId="164" fontId="62" fillId="0" borderId="9" xfId="4495" applyNumberFormat="1" applyFont="1" applyBorder="1" applyAlignment="1">
      <alignment horizontal="right" vertical="center"/>
    </xf>
    <xf numFmtId="164" fontId="62" fillId="0" borderId="6" xfId="4495" applyNumberFormat="1" applyFont="1" applyBorder="1" applyAlignment="1">
      <alignment horizontal="right" vertical="center"/>
    </xf>
    <xf numFmtId="164" fontId="62" fillId="0" borderId="10" xfId="4495" applyNumberFormat="1" applyFont="1" applyBorder="1" applyAlignment="1">
      <alignment horizontal="right" vertical="center"/>
    </xf>
    <xf numFmtId="180" fontId="62" fillId="0" borderId="1" xfId="4495" applyNumberFormat="1" applyFont="1" applyBorder="1" applyAlignment="1">
      <alignment horizontal="center" vertical="center"/>
    </xf>
    <xf numFmtId="180" fontId="62" fillId="0" borderId="2" xfId="4495" applyNumberFormat="1" applyFont="1" applyBorder="1" applyAlignment="1">
      <alignment horizontal="center" vertical="center"/>
    </xf>
    <xf numFmtId="180" fontId="62" fillId="0" borderId="7" xfId="4495" applyNumberFormat="1" applyFont="1" applyBorder="1" applyAlignment="1">
      <alignment horizontal="center" vertical="center"/>
    </xf>
    <xf numFmtId="180" fontId="62" fillId="0" borderId="9" xfId="4495" applyNumberFormat="1" applyFont="1" applyBorder="1" applyAlignment="1">
      <alignment horizontal="center" vertical="center"/>
    </xf>
    <xf numFmtId="180" fontId="62" fillId="0" borderId="6" xfId="4495" applyNumberFormat="1" applyFont="1" applyBorder="1" applyAlignment="1">
      <alignment horizontal="center" vertical="center"/>
    </xf>
    <xf numFmtId="180" fontId="62" fillId="0" borderId="10" xfId="4495" applyNumberFormat="1" applyFont="1" applyBorder="1" applyAlignment="1">
      <alignment horizontal="center" vertical="center"/>
    </xf>
    <xf numFmtId="168" fontId="14" fillId="0" borderId="6" xfId="1192" applyNumberFormat="1" applyBorder="1" applyAlignment="1">
      <alignment horizontal="right"/>
    </xf>
    <xf numFmtId="0" fontId="116" fillId="0" borderId="4" xfId="1192" applyFont="1" applyBorder="1" applyAlignment="1">
      <alignment horizontal="left"/>
    </xf>
    <xf numFmtId="168" fontId="14" fillId="43" borderId="6" xfId="543" applyNumberFormat="1" applyFill="1" applyBorder="1" applyAlignment="1" applyProtection="1">
      <alignment horizontal="center"/>
      <protection locked="0"/>
    </xf>
    <xf numFmtId="0" fontId="14" fillId="0" borderId="6" xfId="1192" applyBorder="1" applyAlignment="1">
      <alignment horizontal="left"/>
    </xf>
    <xf numFmtId="0" fontId="14" fillId="0" borderId="6" xfId="1192" applyBorder="1" applyAlignment="1">
      <alignment horizontal="right"/>
    </xf>
    <xf numFmtId="168" fontId="14" fillId="43" borderId="6" xfId="1192" applyNumberFormat="1" applyFill="1" applyBorder="1" applyAlignment="1" applyProtection="1">
      <alignment horizontal="right"/>
      <protection locked="0"/>
    </xf>
    <xf numFmtId="10" fontId="22" fillId="0" borderId="2" xfId="4495" applyNumberFormat="1" applyFont="1" applyBorder="1" applyAlignment="1">
      <alignment horizontal="center"/>
    </xf>
    <xf numFmtId="4" fontId="22" fillId="0" borderId="0" xfId="4495" applyNumberFormat="1" applyFont="1" applyAlignment="1">
      <alignment horizontal="center"/>
    </xf>
    <xf numFmtId="0" fontId="30" fillId="42" borderId="2" xfId="4495" applyFont="1" applyFill="1" applyBorder="1" applyAlignment="1">
      <alignment horizontal="center"/>
    </xf>
    <xf numFmtId="0" fontId="30" fillId="42" borderId="6" xfId="4495" applyFont="1" applyFill="1" applyBorder="1" applyAlignment="1">
      <alignment horizontal="center"/>
    </xf>
    <xf numFmtId="4" fontId="22" fillId="0" borderId="6" xfId="4495" applyNumberFormat="1" applyFont="1" applyBorder="1" applyAlignment="1">
      <alignment horizontal="center"/>
    </xf>
    <xf numFmtId="168" fontId="14" fillId="0" borderId="4" xfId="1192" applyNumberFormat="1" applyBorder="1" applyAlignment="1">
      <alignment horizontal="right"/>
    </xf>
    <xf numFmtId="168" fontId="14" fillId="0" borderId="4" xfId="4496" applyNumberFormat="1" applyFont="1" applyBorder="1" applyAlignment="1">
      <alignment horizontal="center"/>
    </xf>
    <xf numFmtId="9" fontId="14" fillId="0" borderId="4" xfId="4496" applyNumberFormat="1" applyFont="1" applyBorder="1" applyAlignment="1">
      <alignment horizontal="center"/>
    </xf>
    <xf numFmtId="164" fontId="14" fillId="0" borderId="50" xfId="4495" applyNumberFormat="1" applyFont="1" applyBorder="1" applyAlignment="1">
      <alignment horizontal="left" vertical="top" wrapText="1"/>
    </xf>
    <xf numFmtId="164" fontId="14" fillId="0" borderId="51" xfId="4495" applyNumberFormat="1" applyFont="1" applyBorder="1" applyAlignment="1">
      <alignment horizontal="left" vertical="top" wrapText="1"/>
    </xf>
    <xf numFmtId="164" fontId="14" fillId="0" borderId="52" xfId="4495" applyNumberFormat="1" applyFont="1" applyBorder="1" applyAlignment="1">
      <alignment horizontal="left" vertical="top" wrapText="1"/>
    </xf>
    <xf numFmtId="164" fontId="14" fillId="0" borderId="53" xfId="4495" applyNumberFormat="1" applyFont="1" applyBorder="1" applyAlignment="1">
      <alignment horizontal="left" vertical="top" wrapText="1"/>
    </xf>
    <xf numFmtId="164" fontId="14" fillId="0" borderId="0" xfId="4495" applyNumberFormat="1" applyFont="1" applyAlignment="1">
      <alignment horizontal="left" vertical="top" wrapText="1"/>
    </xf>
    <xf numFmtId="164" fontId="14" fillId="0" borderId="54" xfId="4495" applyNumberFormat="1" applyFont="1" applyBorder="1" applyAlignment="1">
      <alignment horizontal="left" vertical="top" wrapText="1"/>
    </xf>
    <xf numFmtId="164" fontId="14" fillId="0" borderId="57" xfId="4495" applyNumberFormat="1" applyFont="1" applyBorder="1" applyAlignment="1">
      <alignment horizontal="left" vertical="top" wrapText="1"/>
    </xf>
    <xf numFmtId="164" fontId="14" fillId="0" borderId="58" xfId="4495" applyNumberFormat="1" applyFont="1" applyBorder="1" applyAlignment="1">
      <alignment horizontal="left" vertical="top" wrapText="1"/>
    </xf>
    <xf numFmtId="164" fontId="14" fillId="0" borderId="59" xfId="4495" applyNumberFormat="1" applyFont="1" applyBorder="1" applyAlignment="1">
      <alignment horizontal="left" vertical="top" wrapText="1"/>
    </xf>
    <xf numFmtId="4" fontId="22" fillId="0" borderId="3" xfId="4495" applyNumberFormat="1" applyFont="1" applyBorder="1" applyAlignment="1">
      <alignment horizontal="center"/>
    </xf>
    <xf numFmtId="4" fontId="22" fillId="0" borderId="4" xfId="4495" applyNumberFormat="1" applyFont="1" applyBorder="1" applyAlignment="1">
      <alignment horizontal="center"/>
    </xf>
    <xf numFmtId="4" fontId="22" fillId="0" borderId="5" xfId="4495" applyNumberFormat="1" applyFont="1" applyBorder="1" applyAlignment="1">
      <alignment horizontal="center"/>
    </xf>
    <xf numFmtId="165" fontId="120" fillId="0" borderId="3" xfId="4496" applyNumberFormat="1" applyFont="1" applyBorder="1" applyAlignment="1">
      <alignment horizontal="center" vertical="top" wrapText="1"/>
    </xf>
    <xf numFmtId="165" fontId="120" fillId="0" borderId="5" xfId="4496" applyNumberFormat="1" applyFont="1" applyBorder="1" applyAlignment="1">
      <alignment horizontal="center" vertical="top" wrapText="1"/>
    </xf>
    <xf numFmtId="3" fontId="14" fillId="43" borderId="6" xfId="1192" applyNumberFormat="1" applyFill="1" applyBorder="1" applyAlignment="1" applyProtection="1">
      <alignment horizontal="right"/>
      <protection locked="0"/>
    </xf>
    <xf numFmtId="0" fontId="140" fillId="0" borderId="0" xfId="1192" applyFont="1" applyAlignment="1">
      <alignment horizontal="center"/>
    </xf>
    <xf numFmtId="0" fontId="96" fillId="0" borderId="0" xfId="4496" applyFont="1" applyAlignment="1">
      <alignment horizontal="left" wrapText="1"/>
    </xf>
    <xf numFmtId="0" fontId="96" fillId="43" borderId="0" xfId="4496" applyFont="1" applyFill="1" applyAlignment="1" applyProtection="1">
      <alignment horizontal="left" vertical="top" wrapText="1"/>
      <protection locked="0"/>
    </xf>
    <xf numFmtId="0" fontId="96" fillId="43" borderId="6" xfId="4496" applyFont="1" applyFill="1" applyBorder="1" applyAlignment="1" applyProtection="1">
      <alignment horizontal="left" vertical="top" wrapText="1"/>
      <protection locked="0"/>
    </xf>
    <xf numFmtId="0" fontId="96" fillId="0" borderId="80" xfId="4496" applyFont="1" applyBorder="1" applyAlignment="1">
      <alignment horizontal="right"/>
    </xf>
    <xf numFmtId="0" fontId="96" fillId="0" borderId="11" xfId="4496" applyFont="1" applyBorder="1" applyAlignment="1">
      <alignment horizontal="right"/>
    </xf>
    <xf numFmtId="0" fontId="96" fillId="0" borderId="72" xfId="4496" applyFont="1" applyBorder="1" applyAlignment="1">
      <alignment horizontal="right"/>
    </xf>
    <xf numFmtId="0" fontId="96" fillId="0" borderId="73" xfId="4496" applyFont="1" applyBorder="1" applyAlignment="1">
      <alignment horizontal="right"/>
    </xf>
    <xf numFmtId="0" fontId="96" fillId="0" borderId="11" xfId="4496" applyFont="1" applyBorder="1"/>
    <xf numFmtId="0" fontId="96" fillId="0" borderId="91" xfId="4496" applyFont="1" applyBorder="1"/>
    <xf numFmtId="0" fontId="96" fillId="0" borderId="73" xfId="4496" applyFont="1" applyBorder="1"/>
    <xf numFmtId="0" fontId="96" fillId="0" borderId="93" xfId="4496" applyFont="1" applyBorder="1"/>
    <xf numFmtId="0" fontId="96" fillId="0" borderId="70" xfId="4496" applyFont="1" applyBorder="1" applyAlignment="1">
      <alignment horizontal="right"/>
    </xf>
    <xf numFmtId="0" fontId="96" fillId="0" borderId="71" xfId="4496" applyFont="1" applyBorder="1" applyAlignment="1">
      <alignment horizontal="right"/>
    </xf>
    <xf numFmtId="0" fontId="135" fillId="0" borderId="90" xfId="4496" applyFont="1" applyBorder="1" applyAlignment="1">
      <alignment horizontal="center" vertical="top" wrapText="1"/>
    </xf>
    <xf numFmtId="0" fontId="135" fillId="0" borderId="89" xfId="4496" applyFont="1" applyBorder="1" applyAlignment="1">
      <alignment horizontal="center" vertical="top" wrapText="1"/>
    </xf>
    <xf numFmtId="0" fontId="96" fillId="0" borderId="71" xfId="4496" applyFont="1" applyBorder="1"/>
    <xf numFmtId="0" fontId="96" fillId="0" borderId="74" xfId="4496" applyFont="1" applyBorder="1"/>
    <xf numFmtId="49" fontId="134" fillId="3" borderId="0" xfId="1192" applyNumberFormat="1" applyFont="1" applyFill="1" applyAlignment="1">
      <alignment horizontal="center" vertical="center"/>
    </xf>
    <xf numFmtId="0" fontId="96" fillId="0" borderId="11" xfId="4496" applyFont="1" applyBorder="1" applyAlignment="1">
      <alignment horizontal="left" indent="1"/>
    </xf>
    <xf numFmtId="0" fontId="135" fillId="45" borderId="3" xfId="4496" applyFont="1" applyFill="1" applyBorder="1" applyAlignment="1">
      <alignment horizontal="center" vertical="center"/>
    </xf>
    <xf numFmtId="0" fontId="135" fillId="45" borderId="4" xfId="4496" applyFont="1" applyFill="1" applyBorder="1" applyAlignment="1">
      <alignment horizontal="center" vertical="center"/>
    </xf>
    <xf numFmtId="0" fontId="135" fillId="45" borderId="5" xfId="4496" applyFont="1" applyFill="1" applyBorder="1" applyAlignment="1">
      <alignment horizontal="center" vertical="center"/>
    </xf>
    <xf numFmtId="9" fontId="135" fillId="45" borderId="3" xfId="4499" applyFont="1" applyFill="1" applyBorder="1" applyAlignment="1" applyProtection="1">
      <alignment horizontal="center" vertical="center"/>
    </xf>
    <xf numFmtId="9" fontId="135" fillId="45" borderId="4" xfId="4499" applyFont="1" applyFill="1" applyBorder="1" applyAlignment="1" applyProtection="1">
      <alignment horizontal="center" vertical="center"/>
    </xf>
    <xf numFmtId="9" fontId="135" fillId="45" borderId="5" xfId="4499" applyFont="1" applyFill="1" applyBorder="1" applyAlignment="1" applyProtection="1">
      <alignment horizontal="center" vertical="center"/>
    </xf>
    <xf numFmtId="0" fontId="96" fillId="0" borderId="15" xfId="4496" applyFont="1" applyBorder="1" applyAlignment="1">
      <alignment horizontal="left" indent="1"/>
    </xf>
    <xf numFmtId="0" fontId="135" fillId="0" borderId="71" xfId="4496" applyFont="1" applyBorder="1" applyAlignment="1">
      <alignment horizontal="left" indent="1"/>
    </xf>
    <xf numFmtId="168" fontId="96" fillId="0" borderId="11" xfId="4499" applyNumberFormat="1" applyFont="1" applyFill="1" applyBorder="1" applyAlignment="1" applyProtection="1">
      <alignment horizontal="left" vertical="center" indent="1"/>
    </xf>
    <xf numFmtId="168" fontId="96" fillId="0" borderId="13" xfId="4499" applyNumberFormat="1" applyFont="1" applyFill="1" applyBorder="1" applyAlignment="1" applyProtection="1">
      <alignment horizontal="left" vertical="center" indent="1"/>
    </xf>
    <xf numFmtId="49" fontId="96" fillId="45" borderId="15" xfId="4496" applyNumberFormat="1" applyFont="1" applyFill="1" applyBorder="1" applyAlignment="1">
      <alignment horizontal="center" vertical="center" wrapText="1"/>
    </xf>
    <xf numFmtId="49" fontId="96" fillId="45" borderId="13" xfId="4496" applyNumberFormat="1" applyFont="1" applyFill="1" applyBorder="1" applyAlignment="1">
      <alignment horizontal="center" vertical="center" wrapText="1"/>
    </xf>
    <xf numFmtId="168" fontId="96" fillId="0" borderId="84" xfId="4499" applyNumberFormat="1" applyFont="1" applyFill="1" applyBorder="1" applyAlignment="1" applyProtection="1">
      <alignment horizontal="left" vertical="center" indent="1"/>
    </xf>
    <xf numFmtId="168" fontId="96" fillId="0" borderId="83" xfId="4499" applyNumberFormat="1" applyFont="1" applyFill="1" applyBorder="1" applyAlignment="1" applyProtection="1">
      <alignment horizontal="left" vertical="center" indent="1"/>
    </xf>
    <xf numFmtId="43" fontId="144" fillId="53" borderId="80" xfId="698" applyFont="1" applyFill="1" applyBorder="1" applyAlignment="1" applyProtection="1">
      <alignment horizontal="right"/>
      <protection hidden="1"/>
    </xf>
    <xf numFmtId="43" fontId="144" fillId="53" borderId="11" xfId="698" applyFont="1" applyFill="1" applyBorder="1" applyAlignment="1" applyProtection="1">
      <alignment horizontal="right"/>
      <protection hidden="1"/>
    </xf>
    <xf numFmtId="44" fontId="144" fillId="0" borderId="11" xfId="700" applyFont="1" applyBorder="1" applyAlignment="1" applyProtection="1">
      <alignment horizontal="center"/>
      <protection hidden="1"/>
    </xf>
    <xf numFmtId="164" fontId="144" fillId="0" borderId="11" xfId="700" applyNumberFormat="1" applyFont="1" applyBorder="1" applyAlignment="1" applyProtection="1">
      <alignment horizontal="center"/>
      <protection hidden="1"/>
    </xf>
    <xf numFmtId="9" fontId="144" fillId="0" borderId="11" xfId="1022" applyFont="1" applyBorder="1" applyAlignment="1" applyProtection="1">
      <alignment horizontal="center"/>
      <protection hidden="1"/>
    </xf>
    <xf numFmtId="0" fontId="146" fillId="53" borderId="80" xfId="698" applyNumberFormat="1" applyFont="1" applyFill="1" applyBorder="1" applyAlignment="1" applyProtection="1">
      <alignment horizontal="center"/>
      <protection hidden="1"/>
    </xf>
    <xf numFmtId="0" fontId="146" fillId="53" borderId="11" xfId="698" applyNumberFormat="1" applyFont="1" applyFill="1" applyBorder="1" applyAlignment="1" applyProtection="1">
      <alignment horizontal="center"/>
      <protection hidden="1"/>
    </xf>
    <xf numFmtId="0" fontId="146" fillId="49" borderId="11" xfId="0" applyFont="1" applyFill="1" applyBorder="1" applyAlignment="1" applyProtection="1">
      <alignment horizontal="center"/>
      <protection locked="0"/>
    </xf>
    <xf numFmtId="14" fontId="176" fillId="49" borderId="11" xfId="700" applyNumberFormat="1" applyFont="1" applyFill="1" applyBorder="1" applyAlignment="1" applyProtection="1">
      <alignment horizontal="center"/>
      <protection locked="0"/>
    </xf>
    <xf numFmtId="164" fontId="146" fillId="49" borderId="11" xfId="700" applyNumberFormat="1" applyFont="1" applyFill="1" applyBorder="1" applyAlignment="1" applyProtection="1">
      <alignment horizontal="center"/>
      <protection locked="0"/>
    </xf>
    <xf numFmtId="9" fontId="146" fillId="49" borderId="11" xfId="1022" applyFont="1" applyFill="1" applyBorder="1" applyAlignment="1" applyProtection="1">
      <alignment horizontal="center"/>
      <protection locked="0"/>
    </xf>
    <xf numFmtId="0" fontId="146" fillId="49" borderId="3" xfId="0" applyFont="1" applyFill="1" applyBorder="1" applyAlignment="1" applyProtection="1">
      <alignment horizontal="center"/>
      <protection locked="0"/>
    </xf>
    <xf numFmtId="0" fontId="146" fillId="49" borderId="4" xfId="0" applyFont="1" applyFill="1" applyBorder="1" applyAlignment="1" applyProtection="1">
      <alignment horizontal="center"/>
      <protection locked="0"/>
    </xf>
    <xf numFmtId="0" fontId="146" fillId="49" borderId="5" xfId="0" applyFont="1" applyFill="1" applyBorder="1" applyAlignment="1" applyProtection="1">
      <alignment horizontal="center"/>
      <protection locked="0"/>
    </xf>
    <xf numFmtId="44" fontId="2" fillId="0" borderId="11" xfId="700" applyFont="1" applyBorder="1" applyAlignment="1" applyProtection="1">
      <alignment horizontal="center"/>
      <protection hidden="1"/>
    </xf>
    <xf numFmtId="44" fontId="2" fillId="49" borderId="11" xfId="700" applyFont="1" applyFill="1" applyBorder="1" applyAlignment="1" applyProtection="1">
      <alignment horizontal="center"/>
      <protection hidden="1"/>
    </xf>
    <xf numFmtId="44" fontId="2" fillId="44" borderId="11" xfId="700" applyFont="1" applyFill="1" applyBorder="1" applyAlignment="1" applyProtection="1">
      <alignment horizontal="center"/>
      <protection hidden="1"/>
    </xf>
    <xf numFmtId="168" fontId="146" fillId="49" borderId="11" xfId="8727" applyNumberFormat="1" applyFont="1" applyFill="1" applyBorder="1" applyAlignment="1">
      <alignment horizontal="center"/>
    </xf>
    <xf numFmtId="0" fontId="144" fillId="44" borderId="11" xfId="8726" applyFont="1" applyFill="1" applyBorder="1" applyAlignment="1">
      <alignment horizontal="left"/>
    </xf>
    <xf numFmtId="0" fontId="2" fillId="48" borderId="3" xfId="8726" applyFill="1" applyBorder="1" applyAlignment="1">
      <alignment horizontal="center"/>
    </xf>
    <xf numFmtId="0" fontId="2" fillId="48" borderId="4" xfId="8726" applyFill="1" applyBorder="1" applyAlignment="1">
      <alignment horizontal="center"/>
    </xf>
    <xf numFmtId="0" fontId="2" fillId="48" borderId="5" xfId="8726" applyFill="1" applyBorder="1" applyAlignment="1">
      <alignment horizontal="center"/>
    </xf>
    <xf numFmtId="0" fontId="161" fillId="48" borderId="3" xfId="8726" applyFont="1" applyFill="1" applyBorder="1" applyAlignment="1">
      <alignment horizontal="center"/>
    </xf>
    <xf numFmtId="0" fontId="161" fillId="48" borderId="4" xfId="8726" applyFont="1" applyFill="1" applyBorder="1" applyAlignment="1">
      <alignment horizontal="center"/>
    </xf>
    <xf numFmtId="0" fontId="161" fillId="48" borderId="5" xfId="8726" applyFont="1" applyFill="1" applyBorder="1" applyAlignment="1">
      <alignment horizontal="center"/>
    </xf>
    <xf numFmtId="43" fontId="146" fillId="53" borderId="11" xfId="698" applyFont="1" applyFill="1" applyBorder="1" applyAlignment="1" applyProtection="1">
      <alignment horizontal="left" wrapText="1"/>
      <protection hidden="1"/>
    </xf>
    <xf numFmtId="0" fontId="161" fillId="45" borderId="11" xfId="8726" applyFont="1" applyFill="1" applyBorder="1" applyAlignment="1">
      <alignment horizontal="left"/>
    </xf>
    <xf numFmtId="0" fontId="171" fillId="45" borderId="11" xfId="8726" applyFont="1" applyFill="1" applyBorder="1" applyAlignment="1">
      <alignment horizontal="left" wrapText="1"/>
    </xf>
    <xf numFmtId="0" fontId="148" fillId="45" borderId="13" xfId="0" applyFont="1" applyFill="1" applyBorder="1" applyAlignment="1" applyProtection="1">
      <alignment horizontal="left" wrapText="1"/>
      <protection hidden="1"/>
    </xf>
    <xf numFmtId="0" fontId="148" fillId="45" borderId="13" xfId="0" applyFont="1" applyFill="1" applyBorder="1" applyAlignment="1" applyProtection="1">
      <alignment horizontal="center" wrapText="1"/>
      <protection hidden="1"/>
    </xf>
    <xf numFmtId="182" fontId="2" fillId="0" borderId="13" xfId="8726" applyNumberFormat="1" applyBorder="1" applyAlignment="1">
      <alignment horizontal="center"/>
    </xf>
    <xf numFmtId="0" fontId="2" fillId="0" borderId="13" xfId="8726" applyBorder="1" applyAlignment="1">
      <alignment horizontal="center"/>
    </xf>
    <xf numFmtId="0" fontId="147" fillId="45" borderId="11" xfId="8726" applyFont="1" applyFill="1" applyBorder="1" applyAlignment="1">
      <alignment horizontal="center" wrapText="1"/>
    </xf>
    <xf numFmtId="0" fontId="148" fillId="45" borderId="11" xfId="8726" applyFont="1" applyFill="1" applyBorder="1" applyAlignment="1">
      <alignment horizontal="center"/>
    </xf>
    <xf numFmtId="0" fontId="148" fillId="45" borderId="91" xfId="8726" applyFont="1" applyFill="1" applyBorder="1" applyAlignment="1">
      <alignment horizontal="center"/>
    </xf>
    <xf numFmtId="0" fontId="147" fillId="45" borderId="80" xfId="8726" applyFont="1" applyFill="1" applyBorder="1" applyAlignment="1">
      <alignment horizontal="center"/>
    </xf>
    <xf numFmtId="0" fontId="147" fillId="45" borderId="11" xfId="8726" applyFont="1" applyFill="1" applyBorder="1" applyAlignment="1">
      <alignment horizontal="center"/>
    </xf>
    <xf numFmtId="0" fontId="2" fillId="49" borderId="11" xfId="8726" applyFill="1" applyBorder="1" applyAlignment="1" applyProtection="1">
      <alignment horizontal="center"/>
      <protection locked="0"/>
    </xf>
    <xf numFmtId="0" fontId="161" fillId="45" borderId="80" xfId="8726" applyFont="1" applyFill="1" applyBorder="1" applyAlignment="1">
      <alignment horizontal="right"/>
    </xf>
    <xf numFmtId="0" fontId="161" fillId="45" borderId="11" xfId="8726" applyFont="1" applyFill="1" applyBorder="1" applyAlignment="1">
      <alignment horizontal="right"/>
    </xf>
    <xf numFmtId="0" fontId="100" fillId="45" borderId="70" xfId="8726" applyFont="1" applyFill="1" applyBorder="1" applyAlignment="1">
      <alignment horizontal="center" wrapText="1"/>
    </xf>
    <xf numFmtId="0" fontId="100" fillId="45" borderId="71" xfId="8726" applyFont="1" applyFill="1" applyBorder="1" applyAlignment="1">
      <alignment horizontal="center" wrapText="1"/>
    </xf>
    <xf numFmtId="0" fontId="100" fillId="45" borderId="74" xfId="8726" applyFont="1" applyFill="1" applyBorder="1" applyAlignment="1">
      <alignment horizontal="center" wrapText="1"/>
    </xf>
    <xf numFmtId="0" fontId="2" fillId="49" borderId="91" xfId="8726" applyFill="1" applyBorder="1" applyAlignment="1" applyProtection="1">
      <alignment horizontal="center"/>
      <protection locked="0"/>
    </xf>
    <xf numFmtId="0" fontId="100" fillId="45" borderId="104" xfId="8726" applyFont="1" applyFill="1" applyBorder="1" applyAlignment="1">
      <alignment horizontal="center"/>
    </xf>
    <xf numFmtId="0" fontId="100" fillId="45" borderId="97" xfId="8726" applyFont="1" applyFill="1" applyBorder="1" applyAlignment="1">
      <alignment horizontal="center"/>
    </xf>
    <xf numFmtId="0" fontId="100" fillId="45" borderId="98" xfId="8726" applyFont="1" applyFill="1" applyBorder="1" applyAlignment="1">
      <alignment horizontal="center"/>
    </xf>
    <xf numFmtId="43" fontId="144" fillId="56" borderId="13" xfId="698" applyFont="1" applyFill="1" applyBorder="1" applyAlignment="1" applyProtection="1">
      <alignment horizontal="center"/>
      <protection hidden="1"/>
    </xf>
    <xf numFmtId="43" fontId="146" fillId="53" borderId="11" xfId="698" applyFont="1" applyFill="1" applyBorder="1" applyAlignment="1" applyProtection="1">
      <alignment horizontal="left"/>
      <protection hidden="1"/>
    </xf>
    <xf numFmtId="0" fontId="161" fillId="49" borderId="80" xfId="8726" applyFont="1" applyFill="1" applyBorder="1" applyAlignment="1">
      <alignment horizontal="left" vertical="top"/>
    </xf>
    <xf numFmtId="0" fontId="161" fillId="49" borderId="11" xfId="8726" applyFont="1" applyFill="1" applyBorder="1" applyAlignment="1">
      <alignment horizontal="left" vertical="top"/>
    </xf>
    <xf numFmtId="0" fontId="161" fillId="49" borderId="91" xfId="8726" applyFont="1" applyFill="1" applyBorder="1" applyAlignment="1">
      <alignment horizontal="left" vertical="top"/>
    </xf>
    <xf numFmtId="0" fontId="161" fillId="49" borderId="72" xfId="8726" applyFont="1" applyFill="1" applyBorder="1" applyAlignment="1">
      <alignment horizontal="left" vertical="top"/>
    </xf>
    <xf numFmtId="0" fontId="161" fillId="49" borderId="73" xfId="8726" applyFont="1" applyFill="1" applyBorder="1" applyAlignment="1">
      <alignment horizontal="left" vertical="top"/>
    </xf>
    <xf numFmtId="0" fontId="161" fillId="49" borderId="93" xfId="8726" applyFont="1" applyFill="1" applyBorder="1" applyAlignment="1">
      <alignment horizontal="left" vertical="top"/>
    </xf>
    <xf numFmtId="0" fontId="147" fillId="45" borderId="72" xfId="8726" applyFont="1" applyFill="1" applyBorder="1" applyAlignment="1">
      <alignment horizontal="center"/>
    </xf>
    <xf numFmtId="0" fontId="147" fillId="45" borderId="73" xfId="8726" applyFont="1" applyFill="1" applyBorder="1" applyAlignment="1">
      <alignment horizontal="center"/>
    </xf>
    <xf numFmtId="0" fontId="2" fillId="49" borderId="73" xfId="8726" applyFill="1" applyBorder="1" applyAlignment="1" applyProtection="1">
      <alignment horizontal="center"/>
      <protection locked="0"/>
    </xf>
    <xf numFmtId="0" fontId="2" fillId="49" borderId="93" xfId="8726" applyFill="1" applyBorder="1" applyAlignment="1" applyProtection="1">
      <alignment horizontal="center"/>
      <protection locked="0"/>
    </xf>
    <xf numFmtId="1" fontId="146" fillId="49" borderId="11" xfId="8726" applyNumberFormat="1" applyFont="1" applyFill="1" applyBorder="1" applyAlignment="1" applyProtection="1">
      <alignment horizontal="center"/>
      <protection locked="0"/>
    </xf>
    <xf numFmtId="0" fontId="143" fillId="47" borderId="65" xfId="8726" applyFont="1" applyFill="1" applyBorder="1" applyAlignment="1">
      <alignment horizontal="center"/>
    </xf>
    <xf numFmtId="0" fontId="143" fillId="47" borderId="29" xfId="8726" applyFont="1" applyFill="1" applyBorder="1" applyAlignment="1">
      <alignment horizontal="center"/>
    </xf>
    <xf numFmtId="0" fontId="143" fillId="47" borderId="31" xfId="8726" applyFont="1" applyFill="1" applyBorder="1" applyAlignment="1">
      <alignment horizontal="center"/>
    </xf>
    <xf numFmtId="0" fontId="144" fillId="49" borderId="66" xfId="8726" applyFont="1" applyFill="1" applyBorder="1" applyAlignment="1">
      <alignment horizontal="center"/>
    </xf>
    <xf numFmtId="0" fontId="144" fillId="49" borderId="0" xfId="8726" applyFont="1" applyFill="1" applyAlignment="1">
      <alignment horizontal="center"/>
    </xf>
    <xf numFmtId="0" fontId="144" fillId="49" borderId="41" xfId="8726" applyFont="1" applyFill="1" applyBorder="1" applyAlignment="1">
      <alignment horizontal="center"/>
    </xf>
    <xf numFmtId="0" fontId="146" fillId="44" borderId="67" xfId="8726" applyFont="1" applyFill="1" applyBorder="1" applyAlignment="1">
      <alignment horizontal="left"/>
    </xf>
    <xf numFmtId="0" fontId="146" fillId="44" borderId="68" xfId="8726" applyFont="1" applyFill="1" applyBorder="1" applyAlignment="1">
      <alignment horizontal="left"/>
    </xf>
    <xf numFmtId="0" fontId="146" fillId="44" borderId="69" xfId="8726" applyFont="1" applyFill="1" applyBorder="1" applyAlignment="1">
      <alignment horizontal="left"/>
    </xf>
    <xf numFmtId="0" fontId="159" fillId="45" borderId="11" xfId="8726" applyFont="1" applyFill="1" applyBorder="1" applyAlignment="1">
      <alignment horizontal="right"/>
    </xf>
    <xf numFmtId="14" fontId="146"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center"/>
      <protection locked="0"/>
    </xf>
    <xf numFmtId="0" fontId="145" fillId="45" borderId="11" xfId="8726" applyFont="1" applyFill="1" applyBorder="1" applyAlignment="1">
      <alignment horizontal="right"/>
    </xf>
    <xf numFmtId="0" fontId="2" fillId="44" borderId="67" xfId="8726" applyFill="1" applyBorder="1" applyAlignment="1">
      <alignment horizontal="center"/>
    </xf>
    <xf numFmtId="0" fontId="2" fillId="44" borderId="68" xfId="8726" applyFill="1" applyBorder="1" applyAlignment="1">
      <alignment horizontal="center"/>
    </xf>
    <xf numFmtId="0" fontId="2" fillId="44" borderId="69" xfId="8726" applyFill="1" applyBorder="1" applyAlignment="1">
      <alignment horizontal="center"/>
    </xf>
    <xf numFmtId="0" fontId="100" fillId="45" borderId="70" xfId="8726" applyFont="1" applyFill="1" applyBorder="1" applyAlignment="1">
      <alignment horizontal="left" wrapText="1"/>
    </xf>
    <xf numFmtId="0" fontId="100" fillId="45" borderId="71" xfId="8726" applyFont="1" applyFill="1" applyBorder="1" applyAlignment="1">
      <alignment horizontal="left" wrapText="1"/>
    </xf>
    <xf numFmtId="0" fontId="100" fillId="45" borderId="80" xfId="8726" applyFont="1" applyFill="1" applyBorder="1" applyAlignment="1">
      <alignment horizontal="left" wrapText="1"/>
    </xf>
    <xf numFmtId="0" fontId="100" fillId="45" borderId="11" xfId="8726" applyFont="1" applyFill="1" applyBorder="1" applyAlignment="1">
      <alignment horizontal="left" wrapText="1"/>
    </xf>
    <xf numFmtId="0" fontId="146" fillId="49" borderId="71" xfId="8726" applyFont="1" applyFill="1" applyBorder="1" applyAlignment="1" applyProtection="1">
      <alignment horizontal="left" wrapText="1"/>
      <protection locked="0"/>
    </xf>
    <xf numFmtId="0" fontId="146" fillId="49" borderId="74" xfId="8726" applyFont="1" applyFill="1" applyBorder="1" applyAlignment="1" applyProtection="1">
      <alignment horizontal="left" wrapText="1"/>
      <protection locked="0"/>
    </xf>
    <xf numFmtId="0" fontId="146" fillId="49" borderId="11" xfId="8726" applyFont="1" applyFill="1" applyBorder="1" applyAlignment="1" applyProtection="1">
      <alignment horizontal="left" wrapText="1"/>
      <protection locked="0"/>
    </xf>
    <xf numFmtId="0" fontId="146" fillId="49" borderId="91" xfId="8726" applyFont="1" applyFill="1" applyBorder="1" applyAlignment="1" applyProtection="1">
      <alignment horizontal="left" wrapText="1"/>
      <protection locked="0"/>
    </xf>
    <xf numFmtId="168" fontId="163" fillId="44" borderId="11" xfId="8727" applyNumberFormat="1" applyFont="1" applyFill="1" applyBorder="1" applyAlignment="1" applyProtection="1">
      <alignment horizontal="left"/>
    </xf>
    <xf numFmtId="0" fontId="147" fillId="45" borderId="11" xfId="8726" applyFont="1" applyFill="1" applyBorder="1" applyAlignment="1">
      <alignment horizontal="right"/>
    </xf>
    <xf numFmtId="1" fontId="2" fillId="44" borderId="11" xfId="8726" applyNumberFormat="1" applyFill="1" applyBorder="1" applyAlignment="1">
      <alignment horizontal="center"/>
    </xf>
    <xf numFmtId="0" fontId="2" fillId="44" borderId="11" xfId="8726" applyFill="1" applyBorder="1" applyAlignment="1">
      <alignment horizontal="center"/>
    </xf>
    <xf numFmtId="0" fontId="145" fillId="45" borderId="11" xfId="8726" applyFont="1" applyFill="1" applyBorder="1" applyAlignment="1">
      <alignment horizontal="right" wrapText="1"/>
    </xf>
    <xf numFmtId="14" fontId="146" fillId="49" borderId="11" xfId="8726" applyNumberFormat="1" applyFont="1" applyFill="1" applyBorder="1" applyAlignment="1" applyProtection="1">
      <alignment horizontal="center" vertical="center"/>
      <protection locked="0"/>
    </xf>
    <xf numFmtId="0" fontId="146" fillId="49" borderId="11" xfId="8726" applyFont="1" applyFill="1" applyBorder="1" applyAlignment="1" applyProtection="1">
      <alignment horizontal="center" vertical="center"/>
      <protection locked="0"/>
    </xf>
    <xf numFmtId="0" fontId="100" fillId="45" borderId="67" xfId="8726" applyFont="1" applyFill="1" applyBorder="1" applyAlignment="1">
      <alignment horizontal="center"/>
    </xf>
    <xf numFmtId="0" fontId="100" fillId="45" borderId="68" xfId="8726" applyFont="1" applyFill="1" applyBorder="1" applyAlignment="1">
      <alignment horizontal="center"/>
    </xf>
    <xf numFmtId="0" fontId="100" fillId="45" borderId="69" xfId="8726" applyFont="1" applyFill="1" applyBorder="1" applyAlignment="1">
      <alignment horizontal="center"/>
    </xf>
    <xf numFmtId="0" fontId="146" fillId="49" borderId="67" xfId="8726" applyFont="1" applyFill="1" applyBorder="1" applyAlignment="1" applyProtection="1">
      <alignment horizontal="center"/>
      <protection locked="0"/>
    </xf>
    <xf numFmtId="0" fontId="146" fillId="49" borderId="68" xfId="8726" applyFont="1" applyFill="1" applyBorder="1" applyAlignment="1" applyProtection="1">
      <alignment horizontal="center"/>
      <protection locked="0"/>
    </xf>
    <xf numFmtId="0" fontId="146" fillId="49" borderId="69" xfId="8726" applyFont="1" applyFill="1" applyBorder="1" applyAlignment="1" applyProtection="1">
      <alignment horizontal="center"/>
      <protection locked="0"/>
    </xf>
    <xf numFmtId="0" fontId="100" fillId="45" borderId="67" xfId="8726" applyFont="1" applyFill="1" applyBorder="1" applyAlignment="1">
      <alignment horizontal="right"/>
    </xf>
    <xf numFmtId="0" fontId="100" fillId="45" borderId="68" xfId="8726" applyFont="1" applyFill="1" applyBorder="1" applyAlignment="1">
      <alignment horizontal="right"/>
    </xf>
    <xf numFmtId="0" fontId="100" fillId="45" borderId="99" xfId="8726" applyFont="1" applyFill="1" applyBorder="1" applyAlignment="1">
      <alignment horizontal="right"/>
    </xf>
    <xf numFmtId="0" fontId="2" fillId="44" borderId="97" xfId="8726" applyFill="1" applyBorder="1" applyAlignment="1">
      <alignment horizontal="center"/>
    </xf>
    <xf numFmtId="0" fontId="2" fillId="44" borderId="98" xfId="8726" applyFill="1" applyBorder="1" applyAlignment="1">
      <alignment horizontal="center"/>
    </xf>
    <xf numFmtId="0" fontId="144" fillId="45" borderId="75" xfId="8726" applyFont="1" applyFill="1" applyBorder="1" applyAlignment="1">
      <alignment horizontal="center"/>
    </xf>
    <xf numFmtId="0" fontId="144" fillId="45" borderId="76" xfId="8726" applyFont="1" applyFill="1" applyBorder="1" applyAlignment="1">
      <alignment horizontal="center"/>
    </xf>
    <xf numFmtId="0" fontId="144" fillId="45" borderId="77" xfId="8726" applyFont="1" applyFill="1" applyBorder="1" applyAlignment="1">
      <alignment horizontal="center"/>
    </xf>
    <xf numFmtId="0" fontId="147" fillId="45" borderId="78" xfId="8726" applyFont="1" applyFill="1" applyBorder="1" applyAlignment="1">
      <alignment horizontal="center"/>
    </xf>
    <xf numFmtId="0" fontId="147" fillId="45" borderId="2" xfId="8726" applyFont="1" applyFill="1" applyBorder="1" applyAlignment="1">
      <alignment horizontal="center"/>
    </xf>
    <xf numFmtId="0" fontId="147" fillId="45" borderId="7" xfId="8726" applyFont="1" applyFill="1" applyBorder="1" applyAlignment="1">
      <alignment horizontal="center"/>
    </xf>
    <xf numFmtId="0" fontId="147" fillId="45" borderId="3" xfId="8726" applyFont="1" applyFill="1" applyBorder="1" applyAlignment="1">
      <alignment horizontal="center"/>
    </xf>
    <xf numFmtId="0" fontId="147" fillId="45" borderId="4" xfId="8726" applyFont="1" applyFill="1" applyBorder="1" applyAlignment="1">
      <alignment horizontal="center"/>
    </xf>
    <xf numFmtId="0" fontId="147" fillId="45" borderId="5" xfId="8726" applyFont="1" applyFill="1" applyBorder="1" applyAlignment="1">
      <alignment horizontal="center"/>
    </xf>
    <xf numFmtId="0" fontId="147" fillId="45" borderId="79" xfId="8726" applyFont="1" applyFill="1" applyBorder="1" applyAlignment="1">
      <alignment horizontal="center"/>
    </xf>
    <xf numFmtId="9" fontId="161" fillId="49" borderId="92" xfId="8726" applyNumberFormat="1" applyFont="1" applyFill="1" applyBorder="1" applyAlignment="1">
      <alignment horizontal="center"/>
    </xf>
    <xf numFmtId="9" fontId="161" fillId="49" borderId="4" xfId="8726" applyNumberFormat="1" applyFont="1" applyFill="1" applyBorder="1" applyAlignment="1">
      <alignment horizontal="center"/>
    </xf>
    <xf numFmtId="9" fontId="161" fillId="49" borderId="5" xfId="8726" applyNumberFormat="1" applyFont="1" applyFill="1" applyBorder="1" applyAlignment="1">
      <alignment horizontal="center"/>
    </xf>
    <xf numFmtId="0" fontId="161" fillId="44" borderId="3" xfId="8726" applyFont="1" applyFill="1" applyBorder="1" applyAlignment="1">
      <alignment horizontal="center"/>
    </xf>
    <xf numFmtId="0" fontId="161" fillId="44" borderId="4" xfId="8726" applyFont="1" applyFill="1" applyBorder="1" applyAlignment="1">
      <alignment horizontal="center"/>
    </xf>
    <xf numFmtId="0" fontId="161" fillId="44" borderId="5" xfId="8726" applyFont="1" applyFill="1" applyBorder="1" applyAlignment="1">
      <alignment horizontal="center"/>
    </xf>
    <xf numFmtId="9" fontId="147" fillId="44" borderId="3" xfId="8726" applyNumberFormat="1" applyFont="1" applyFill="1" applyBorder="1" applyAlignment="1">
      <alignment horizontal="center"/>
    </xf>
    <xf numFmtId="9" fontId="147" fillId="44" borderId="4" xfId="8726" applyNumberFormat="1" applyFont="1" applyFill="1" applyBorder="1" applyAlignment="1">
      <alignment horizontal="center"/>
    </xf>
    <xf numFmtId="9" fontId="147" fillId="44" borderId="79" xfId="8726" applyNumberFormat="1" applyFont="1" applyFill="1" applyBorder="1" applyAlignment="1">
      <alignment horizontal="center"/>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0" fontId="148" fillId="44" borderId="9" xfId="8726" applyFont="1" applyFill="1" applyBorder="1" applyAlignment="1">
      <alignment horizontal="center"/>
    </xf>
    <xf numFmtId="0" fontId="148" fillId="44" borderId="6" xfId="8726" applyFont="1" applyFill="1" applyBorder="1" applyAlignment="1">
      <alignment horizontal="center"/>
    </xf>
    <xf numFmtId="0" fontId="148" fillId="44" borderId="10" xfId="8726" applyFont="1" applyFill="1" applyBorder="1" applyAlignment="1">
      <alignment horizontal="center"/>
    </xf>
    <xf numFmtId="0" fontId="148" fillId="44" borderId="103" xfId="8726" applyFont="1" applyFill="1" applyBorder="1" applyAlignment="1">
      <alignment horizontal="center"/>
    </xf>
    <xf numFmtId="0" fontId="147" fillId="44" borderId="81" xfId="8726" applyFont="1" applyFill="1" applyBorder="1" applyAlignment="1">
      <alignment horizontal="center"/>
    </xf>
    <xf numFmtId="0" fontId="147" fillId="44" borderId="82" xfId="8726" applyFont="1" applyFill="1" applyBorder="1" applyAlignment="1">
      <alignment horizontal="center"/>
    </xf>
    <xf numFmtId="0" fontId="147" fillId="44" borderId="83" xfId="8726" applyFont="1" applyFill="1" applyBorder="1" applyAlignment="1">
      <alignment horizontal="center"/>
    </xf>
    <xf numFmtId="0" fontId="161" fillId="44" borderId="84" xfId="8726" applyFont="1" applyFill="1" applyBorder="1" applyAlignment="1">
      <alignment horizontal="center"/>
    </xf>
    <xf numFmtId="0" fontId="161" fillId="44" borderId="82" xfId="8726" applyFont="1" applyFill="1" applyBorder="1" applyAlignment="1">
      <alignment horizontal="center"/>
    </xf>
    <xf numFmtId="0" fontId="161" fillId="44" borderId="83" xfId="8726" applyFont="1" applyFill="1" applyBorder="1" applyAlignment="1">
      <alignment horizontal="center"/>
    </xf>
    <xf numFmtId="9" fontId="147" fillId="44" borderId="84" xfId="8726" applyNumberFormat="1" applyFont="1" applyFill="1" applyBorder="1" applyAlignment="1">
      <alignment horizontal="center"/>
    </xf>
    <xf numFmtId="9" fontId="147" fillId="44" borderId="82" xfId="8726" applyNumberFormat="1" applyFont="1" applyFill="1" applyBorder="1" applyAlignment="1">
      <alignment horizontal="center"/>
    </xf>
    <xf numFmtId="9" fontId="147" fillId="44" borderId="85" xfId="8726" applyNumberFormat="1" applyFont="1" applyFill="1" applyBorder="1" applyAlignment="1">
      <alignment horizontal="center"/>
    </xf>
    <xf numFmtId="0" fontId="147" fillId="45" borderId="13"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11" xfId="8726" applyFont="1" applyFill="1" applyBorder="1" applyAlignment="1">
      <alignment horizontal="center" vertical="center"/>
    </xf>
    <xf numFmtId="0" fontId="147" fillId="45" borderId="9" xfId="8726" applyFont="1" applyFill="1" applyBorder="1" applyAlignment="1">
      <alignment horizontal="center" vertical="center"/>
    </xf>
    <xf numFmtId="0" fontId="147" fillId="45" borderId="3" xfId="8726" applyFont="1" applyFill="1" applyBorder="1" applyAlignment="1">
      <alignment horizontal="center" vertical="center"/>
    </xf>
    <xf numFmtId="9" fontId="147" fillId="49" borderId="13" xfId="8726" applyNumberFormat="1" applyFont="1" applyFill="1" applyBorder="1" applyAlignment="1" applyProtection="1">
      <alignment horizontal="center"/>
      <protection locked="0"/>
    </xf>
    <xf numFmtId="0" fontId="147" fillId="44" borderId="86" xfId="8726" applyFont="1" applyFill="1" applyBorder="1" applyAlignment="1">
      <alignment horizontal="center"/>
    </xf>
    <xf numFmtId="0" fontId="147" fillId="44" borderId="42" xfId="8726" applyFont="1" applyFill="1" applyBorder="1" applyAlignment="1">
      <alignment horizontal="center"/>
    </xf>
    <xf numFmtId="0" fontId="147" fillId="44" borderId="87" xfId="8726" applyFont="1" applyFill="1" applyBorder="1" applyAlignment="1">
      <alignment horizontal="center"/>
    </xf>
    <xf numFmtId="0" fontId="147" fillId="44" borderId="88" xfId="8726" applyFont="1" applyFill="1" applyBorder="1" applyAlignment="1">
      <alignment horizontal="center"/>
    </xf>
    <xf numFmtId="0" fontId="163" fillId="49" borderId="80" xfId="8726" applyFont="1" applyFill="1" applyBorder="1" applyAlignment="1" applyProtection="1">
      <alignment horizontal="right"/>
      <protection locked="0"/>
    </xf>
    <xf numFmtId="0" fontId="163" fillId="49" borderId="11" xfId="8726" applyFont="1" applyFill="1" applyBorder="1" applyAlignment="1" applyProtection="1">
      <alignment horizontal="right"/>
      <protection locked="0"/>
    </xf>
    <xf numFmtId="0" fontId="162" fillId="49" borderId="11" xfId="8726"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44" fillId="45" borderId="67" xfId="8726" applyFont="1" applyFill="1" applyBorder="1" applyAlignment="1">
      <alignment horizontal="center"/>
    </xf>
    <xf numFmtId="0" fontId="144" fillId="45" borderId="68" xfId="8726" applyFont="1" applyFill="1" applyBorder="1" applyAlignment="1">
      <alignment horizontal="center"/>
    </xf>
    <xf numFmtId="0" fontId="144" fillId="45" borderId="69" xfId="8726" applyFont="1" applyFill="1" applyBorder="1" applyAlignment="1">
      <alignment horizontal="center"/>
    </xf>
    <xf numFmtId="0" fontId="148" fillId="45" borderId="65" xfId="8726" applyFont="1" applyFill="1" applyBorder="1" applyAlignment="1">
      <alignment horizontal="center" vertical="center" wrapText="1"/>
    </xf>
    <xf numFmtId="0" fontId="148" fillId="45" borderId="29" xfId="8726" applyFont="1" applyFill="1" applyBorder="1" applyAlignment="1">
      <alignment horizontal="center" vertical="center" wrapText="1"/>
    </xf>
    <xf numFmtId="0" fontId="148" fillId="45" borderId="31" xfId="8726" applyFont="1" applyFill="1" applyBorder="1" applyAlignment="1">
      <alignment horizontal="center" vertical="center" wrapText="1"/>
    </xf>
    <xf numFmtId="0" fontId="148" fillId="45" borderId="86" xfId="8726" applyFont="1" applyFill="1" applyBorder="1" applyAlignment="1">
      <alignment horizontal="center" vertical="center" wrapText="1"/>
    </xf>
    <xf numFmtId="0" fontId="148" fillId="45" borderId="42" xfId="8726" applyFont="1" applyFill="1" applyBorder="1" applyAlignment="1">
      <alignment horizontal="center" vertical="center" wrapText="1"/>
    </xf>
    <xf numFmtId="0" fontId="148" fillId="45" borderId="44" xfId="8726" applyFont="1" applyFill="1" applyBorder="1" applyAlignment="1">
      <alignment horizontal="center" vertical="center" wrapText="1"/>
    </xf>
    <xf numFmtId="0" fontId="148" fillId="45" borderId="67" xfId="8726" applyFont="1" applyFill="1" applyBorder="1" applyAlignment="1">
      <alignment horizontal="center"/>
    </xf>
    <xf numFmtId="0" fontId="148" fillId="45" borderId="68" xfId="8726" applyFont="1" applyFill="1" applyBorder="1" applyAlignment="1">
      <alignment horizontal="center"/>
    </xf>
    <xf numFmtId="0" fontId="148" fillId="45" borderId="69" xfId="8726" applyFont="1" applyFill="1" applyBorder="1" applyAlignment="1">
      <alignment horizontal="center"/>
    </xf>
    <xf numFmtId="9" fontId="147" fillId="44" borderId="88" xfId="1022" applyFont="1" applyFill="1" applyBorder="1" applyAlignment="1">
      <alignment horizontal="center"/>
    </xf>
    <xf numFmtId="9" fontId="147" fillId="44" borderId="42" xfId="1022" applyFont="1" applyFill="1" applyBorder="1" applyAlignment="1">
      <alignment horizontal="center"/>
    </xf>
    <xf numFmtId="9" fontId="147" fillId="44" borderId="44" xfId="1022" applyFont="1" applyFill="1" applyBorder="1" applyAlignment="1">
      <alignment horizontal="center"/>
    </xf>
    <xf numFmtId="0" fontId="148" fillId="45" borderId="95"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80" xfId="8726" applyFont="1" applyFill="1" applyBorder="1" applyAlignment="1">
      <alignment horizontal="center" vertical="center"/>
    </xf>
    <xf numFmtId="0" fontId="148" fillId="45" borderId="11" xfId="8726" applyFont="1" applyFill="1" applyBorder="1" applyAlignment="1">
      <alignment horizontal="center" vertical="center"/>
    </xf>
    <xf numFmtId="1" fontId="162" fillId="49" borderId="3" xfId="8726" applyNumberFormat="1" applyFont="1" applyFill="1" applyBorder="1" applyAlignment="1" applyProtection="1">
      <alignment horizontal="center"/>
      <protection locked="0"/>
    </xf>
    <xf numFmtId="1" fontId="162" fillId="49" borderId="4" xfId="8726" applyNumberFormat="1" applyFont="1" applyFill="1" applyBorder="1" applyAlignment="1" applyProtection="1">
      <alignment horizontal="center"/>
      <protection locked="0"/>
    </xf>
    <xf numFmtId="1" fontId="162" fillId="49" borderId="5" xfId="8726" applyNumberFormat="1" applyFont="1" applyFill="1" applyBorder="1" applyAlignment="1" applyProtection="1">
      <alignment horizontal="center"/>
      <protection locked="0"/>
    </xf>
    <xf numFmtId="1" fontId="148" fillId="44" borderId="3" xfId="8726" applyNumberFormat="1" applyFont="1" applyFill="1" applyBorder="1" applyAlignment="1">
      <alignment horizontal="center"/>
    </xf>
    <xf numFmtId="1" fontId="148" fillId="44" borderId="4" xfId="8726" applyNumberFormat="1" applyFont="1" applyFill="1" applyBorder="1" applyAlignment="1">
      <alignment horizontal="center"/>
    </xf>
    <xf numFmtId="1" fontId="148" fillId="44" borderId="5" xfId="8726" applyNumberFormat="1" applyFont="1" applyFill="1" applyBorder="1" applyAlignment="1">
      <alignment horizontal="center"/>
    </xf>
    <xf numFmtId="9" fontId="148" fillId="44" borderId="3" xfId="8728" applyFont="1" applyFill="1" applyBorder="1" applyAlignment="1">
      <alignment horizontal="center"/>
    </xf>
    <xf numFmtId="9" fontId="148" fillId="44" borderId="4" xfId="8728" applyFont="1" applyFill="1" applyBorder="1" applyAlignment="1">
      <alignment horizontal="center"/>
    </xf>
    <xf numFmtId="9" fontId="148" fillId="44" borderId="79" xfId="8728" applyFont="1" applyFill="1" applyBorder="1" applyAlignment="1">
      <alignment horizontal="center"/>
    </xf>
    <xf numFmtId="0" fontId="161" fillId="49" borderId="80" xfId="8726" applyFont="1" applyFill="1" applyBorder="1" applyAlignment="1" applyProtection="1">
      <alignment horizontal="right"/>
      <protection locked="0"/>
    </xf>
    <xf numFmtId="0" fontId="161" fillId="49" borderId="11" xfId="8726" applyFont="1" applyFill="1" applyBorder="1" applyAlignment="1" applyProtection="1">
      <alignment horizontal="right"/>
      <protection locked="0"/>
    </xf>
    <xf numFmtId="1" fontId="162" fillId="49" borderId="84" xfId="8726" applyNumberFormat="1" applyFont="1" applyFill="1" applyBorder="1" applyAlignment="1" applyProtection="1">
      <alignment horizontal="center"/>
      <protection locked="0"/>
    </xf>
    <xf numFmtId="1" fontId="162" fillId="49" borderId="82" xfId="8726" applyNumberFormat="1" applyFont="1" applyFill="1" applyBorder="1" applyAlignment="1" applyProtection="1">
      <alignment horizontal="center"/>
      <protection locked="0"/>
    </xf>
    <xf numFmtId="1" fontId="162" fillId="49" borderId="83" xfId="8726" applyNumberFormat="1" applyFont="1" applyFill="1" applyBorder="1" applyAlignment="1" applyProtection="1">
      <alignment horizontal="center"/>
      <protection locked="0"/>
    </xf>
    <xf numFmtId="9" fontId="148" fillId="44" borderId="84" xfId="8728" applyFont="1" applyFill="1" applyBorder="1" applyAlignment="1">
      <alignment horizontal="center"/>
    </xf>
    <xf numFmtId="9" fontId="148" fillId="44" borderId="82" xfId="8728" applyFont="1" applyFill="1" applyBorder="1" applyAlignment="1">
      <alignment horizontal="center"/>
    </xf>
    <xf numFmtId="9" fontId="148" fillId="44" borderId="85" xfId="8728" applyFont="1" applyFill="1" applyBorder="1" applyAlignment="1">
      <alignment horizontal="center"/>
    </xf>
    <xf numFmtId="0" fontId="144" fillId="45" borderId="70" xfId="8726" applyFont="1" applyFill="1" applyBorder="1" applyAlignment="1">
      <alignment horizontal="center"/>
    </xf>
    <xf numFmtId="0" fontId="144" fillId="45" borderId="71" xfId="8726" applyFont="1" applyFill="1" applyBorder="1" applyAlignment="1">
      <alignment horizontal="center"/>
    </xf>
    <xf numFmtId="0" fontId="144" fillId="45" borderId="74" xfId="8726" applyFont="1" applyFill="1" applyBorder="1" applyAlignment="1">
      <alignment horizontal="center"/>
    </xf>
    <xf numFmtId="0" fontId="148" fillId="45" borderId="11" xfId="8726" applyFont="1" applyFill="1" applyBorder="1" applyAlignment="1">
      <alignment horizontal="center" vertical="center" wrapText="1"/>
    </xf>
    <xf numFmtId="0" fontId="148" fillId="45" borderId="91" xfId="8726" applyFont="1" applyFill="1" applyBorder="1" applyAlignment="1">
      <alignment horizontal="center" vertical="center" wrapText="1"/>
    </xf>
    <xf numFmtId="1" fontId="162" fillId="49" borderId="73" xfId="8726" applyNumberFormat="1" applyFont="1" applyFill="1" applyBorder="1" applyAlignment="1" applyProtection="1">
      <alignment horizontal="center"/>
      <protection locked="0"/>
    </xf>
    <xf numFmtId="0" fontId="161" fillId="49" borderId="72" xfId="8726" applyFont="1" applyFill="1" applyBorder="1" applyAlignment="1" applyProtection="1">
      <alignment horizontal="right"/>
      <protection locked="0"/>
    </xf>
    <xf numFmtId="0" fontId="161" fillId="49" borderId="73" xfId="8726" applyFont="1" applyFill="1" applyBorder="1" applyAlignment="1" applyProtection="1">
      <alignment horizontal="right"/>
      <protection locked="0"/>
    </xf>
    <xf numFmtId="0" fontId="162"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168" fontId="161" fillId="49" borderId="11" xfId="8727" applyNumberFormat="1"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61" fillId="49" borderId="11" xfId="700" applyNumberFormat="1" applyFont="1" applyFill="1" applyBorder="1" applyAlignment="1" applyProtection="1">
      <alignment horizontal="left"/>
      <protection locked="0"/>
    </xf>
    <xf numFmtId="0" fontId="161" fillId="49" borderId="91" xfId="700" applyNumberFormat="1" applyFont="1" applyFill="1" applyBorder="1" applyAlignment="1" applyProtection="1">
      <alignment horizontal="left"/>
      <protection locked="0"/>
    </xf>
    <xf numFmtId="0" fontId="161" fillId="44" borderId="80" xfId="8726" applyFont="1" applyFill="1" applyBorder="1" applyAlignment="1" applyProtection="1">
      <alignment horizontal="right"/>
      <protection locked="0"/>
    </xf>
    <xf numFmtId="0" fontId="161" fillId="44" borderId="11" xfId="8726" applyFont="1" applyFill="1" applyBorder="1" applyAlignment="1" applyProtection="1">
      <alignment horizontal="right"/>
      <protection locked="0"/>
    </xf>
    <xf numFmtId="0" fontId="161" fillId="44" borderId="91" xfId="8726" applyFont="1" applyFill="1" applyBorder="1" applyAlignment="1" applyProtection="1">
      <alignment horizontal="right"/>
      <protection locked="0"/>
    </xf>
    <xf numFmtId="0" fontId="161" fillId="49" borderId="5" xfId="8726" applyFont="1" applyFill="1" applyBorder="1" applyAlignment="1" applyProtection="1">
      <alignment horizontal="left"/>
      <protection locked="0"/>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1" fillId="44" borderId="72" xfId="8726" applyFont="1" applyFill="1" applyBorder="1" applyAlignment="1" applyProtection="1">
      <alignment horizontal="right"/>
      <protection locked="0"/>
    </xf>
    <xf numFmtId="0" fontId="161" fillId="44" borderId="73" xfId="8726" applyFont="1" applyFill="1" applyBorder="1" applyAlignment="1" applyProtection="1">
      <alignment horizontal="right"/>
      <protection locked="0"/>
    </xf>
    <xf numFmtId="0" fontId="161" fillId="44" borderId="93" xfId="8726" applyFont="1" applyFill="1" applyBorder="1" applyAlignment="1" applyProtection="1">
      <alignment horizontal="right"/>
      <protection locked="0"/>
    </xf>
    <xf numFmtId="168" fontId="147" fillId="45" borderId="73" xfId="8727" applyNumberFormat="1" applyFont="1" applyFill="1" applyBorder="1" applyAlignment="1">
      <alignment horizontal="center"/>
    </xf>
    <xf numFmtId="1" fontId="147" fillId="45" borderId="73" xfId="8727" applyNumberFormat="1" applyFont="1" applyFill="1" applyBorder="1" applyAlignment="1">
      <alignment horizontal="center"/>
    </xf>
    <xf numFmtId="0" fontId="147" fillId="45" borderId="73" xfId="8727" applyNumberFormat="1" applyFont="1" applyFill="1" applyBorder="1" applyAlignment="1">
      <alignment horizontal="center"/>
    </xf>
    <xf numFmtId="0" fontId="147" fillId="45" borderId="93" xfId="8727" applyNumberFormat="1" applyFont="1" applyFill="1" applyBorder="1" applyAlignment="1">
      <alignment horizontal="center"/>
    </xf>
    <xf numFmtId="0" fontId="144" fillId="45" borderId="65" xfId="8726" applyFont="1" applyFill="1" applyBorder="1" applyAlignment="1">
      <alignment horizontal="center"/>
    </xf>
    <xf numFmtId="0" fontId="144" fillId="45" borderId="29" xfId="8726" applyFont="1" applyFill="1" applyBorder="1" applyAlignment="1">
      <alignment horizontal="center"/>
    </xf>
    <xf numFmtId="0" fontId="144" fillId="45" borderId="31" xfId="8726" applyFont="1" applyFill="1" applyBorder="1" applyAlignment="1">
      <alignment horizontal="center"/>
    </xf>
    <xf numFmtId="0" fontId="161" fillId="49" borderId="83" xfId="8726" applyFont="1" applyFill="1" applyBorder="1" applyAlignment="1" applyProtection="1">
      <alignment horizontal="left"/>
      <protection locked="0"/>
    </xf>
    <xf numFmtId="0" fontId="161" fillId="49" borderId="73" xfId="8726" applyFont="1" applyFill="1" applyBorder="1" applyAlignment="1" applyProtection="1">
      <alignment horizontal="left"/>
      <protection locked="0"/>
    </xf>
    <xf numFmtId="0" fontId="161" fillId="49" borderId="93" xfId="8726" applyFont="1" applyFill="1" applyBorder="1" applyAlignment="1" applyProtection="1">
      <alignment horizontal="left"/>
      <protection locked="0"/>
    </xf>
    <xf numFmtId="0" fontId="161" fillId="49" borderId="80" xfId="8726" applyFont="1" applyFill="1" applyBorder="1" applyAlignment="1" applyProtection="1">
      <alignment horizontal="left" vertical="top"/>
      <protection locked="0"/>
    </xf>
    <xf numFmtId="0" fontId="161" fillId="49" borderId="11" xfId="8726" applyFont="1" applyFill="1" applyBorder="1" applyAlignment="1" applyProtection="1">
      <alignment horizontal="left" vertical="top"/>
      <protection locked="0"/>
    </xf>
    <xf numFmtId="0" fontId="161" fillId="49" borderId="91" xfId="8726" applyFont="1" applyFill="1" applyBorder="1" applyAlignment="1" applyProtection="1">
      <alignment horizontal="left" vertical="top"/>
      <protection locked="0"/>
    </xf>
    <xf numFmtId="0" fontId="161" fillId="49" borderId="72" xfId="8726" applyFont="1" applyFill="1" applyBorder="1" applyAlignment="1" applyProtection="1">
      <alignment horizontal="left" vertical="top"/>
      <protection locked="0"/>
    </xf>
    <xf numFmtId="0" fontId="161" fillId="49" borderId="73" xfId="8726" applyFont="1" applyFill="1" applyBorder="1" applyAlignment="1" applyProtection="1">
      <alignment horizontal="left" vertical="top"/>
      <protection locked="0"/>
    </xf>
    <xf numFmtId="0" fontId="161" fillId="49" borderId="93" xfId="8726" applyFont="1" applyFill="1" applyBorder="1" applyAlignment="1" applyProtection="1">
      <alignment horizontal="left" vertical="top"/>
      <protection locked="0"/>
    </xf>
    <xf numFmtId="0" fontId="161" fillId="49" borderId="80" xfId="8726" applyFont="1" applyFill="1" applyBorder="1" applyAlignment="1" applyProtection="1">
      <alignment horizontal="center"/>
      <protection locked="0"/>
    </xf>
    <xf numFmtId="168" fontId="163" fillId="49" borderId="11" xfId="700" applyNumberFormat="1" applyFont="1" applyFill="1" applyBorder="1" applyAlignment="1" applyProtection="1">
      <alignment horizontal="left"/>
      <protection locked="0"/>
    </xf>
    <xf numFmtId="168" fontId="163" fillId="49" borderId="91" xfId="700" applyNumberFormat="1" applyFont="1" applyFill="1" applyBorder="1" applyAlignment="1" applyProtection="1">
      <alignment horizontal="left"/>
      <protection locked="0"/>
    </xf>
    <xf numFmtId="0" fontId="144" fillId="45" borderId="94" xfId="8726" applyFont="1" applyFill="1" applyBorder="1" applyAlignment="1">
      <alignment horizontal="right"/>
    </xf>
    <xf numFmtId="0" fontId="144" fillId="45" borderId="43" xfId="8726" applyFont="1" applyFill="1" applyBorder="1" applyAlignment="1">
      <alignment horizontal="right"/>
    </xf>
    <xf numFmtId="0" fontId="161" fillId="49" borderId="71" xfId="8726" applyFont="1" applyFill="1" applyBorder="1" applyAlignment="1" applyProtection="1">
      <alignment horizontal="left"/>
      <protection locked="0"/>
    </xf>
    <xf numFmtId="0" fontId="161" fillId="49" borderId="74" xfId="8726" applyFont="1" applyFill="1" applyBorder="1" applyAlignment="1" applyProtection="1">
      <alignment horizontal="left"/>
      <protection locked="0"/>
    </xf>
    <xf numFmtId="0" fontId="144" fillId="45" borderId="72" xfId="8726" applyFont="1" applyFill="1" applyBorder="1" applyAlignment="1">
      <alignment horizontal="center"/>
    </xf>
    <xf numFmtId="0" fontId="144" fillId="45" borderId="73" xfId="8726" applyFont="1" applyFill="1" applyBorder="1" applyAlignment="1">
      <alignment horizontal="center"/>
    </xf>
    <xf numFmtId="0" fontId="100" fillId="45" borderId="74" xfId="8726" applyFont="1" applyFill="1" applyBorder="1" applyAlignment="1">
      <alignment horizontal="left" wrapText="1"/>
    </xf>
    <xf numFmtId="0" fontId="100" fillId="45" borderId="91" xfId="8726" applyFont="1" applyFill="1" applyBorder="1" applyAlignment="1">
      <alignment horizontal="left" wrapText="1"/>
    </xf>
    <xf numFmtId="0" fontId="100" fillId="45" borderId="65" xfId="8726" applyFont="1" applyFill="1" applyBorder="1" applyAlignment="1">
      <alignment horizontal="center"/>
    </xf>
    <xf numFmtId="0" fontId="100" fillId="45" borderId="29" xfId="8726" applyFont="1" applyFill="1" applyBorder="1" applyAlignment="1">
      <alignment horizontal="center"/>
    </xf>
    <xf numFmtId="0" fontId="100" fillId="45" borderId="31" xfId="8726" applyFont="1" applyFill="1" applyBorder="1" applyAlignment="1">
      <alignment horizontal="center"/>
    </xf>
    <xf numFmtId="0" fontId="100" fillId="45" borderId="80" xfId="8726" applyFont="1" applyFill="1" applyBorder="1" applyAlignment="1">
      <alignment horizontal="center"/>
    </xf>
    <xf numFmtId="0" fontId="100" fillId="45" borderId="11" xfId="8726" applyFont="1" applyFill="1" applyBorder="1" applyAlignment="1">
      <alignment horizontal="center"/>
    </xf>
    <xf numFmtId="0" fontId="158" fillId="45" borderId="11" xfId="8726" applyFont="1" applyFill="1" applyBorder="1" applyAlignment="1">
      <alignment horizontal="left"/>
    </xf>
    <xf numFmtId="0" fontId="158" fillId="45" borderId="91" xfId="8726" applyFont="1" applyFill="1" applyBorder="1" applyAlignment="1">
      <alignment horizontal="left"/>
    </xf>
    <xf numFmtId="0" fontId="2" fillId="47" borderId="73" xfId="8726" applyFill="1" applyBorder="1" applyAlignment="1" applyProtection="1">
      <alignment horizontal="center"/>
      <protection locked="0"/>
    </xf>
    <xf numFmtId="0" fontId="2" fillId="47" borderId="93" xfId="8726" applyFill="1" applyBorder="1" applyAlignment="1" applyProtection="1">
      <alignment horizontal="center"/>
      <protection locked="0"/>
    </xf>
    <xf numFmtId="0" fontId="159" fillId="45" borderId="80" xfId="8726" applyFont="1" applyFill="1" applyBorder="1" applyAlignment="1">
      <alignment horizontal="left"/>
    </xf>
    <xf numFmtId="0" fontId="159" fillId="45" borderId="11" xfId="8726" applyFont="1" applyFill="1" applyBorder="1" applyAlignment="1">
      <alignment horizontal="left"/>
    </xf>
    <xf numFmtId="0" fontId="159" fillId="45" borderId="72" xfId="8726" applyFont="1" applyFill="1" applyBorder="1" applyAlignment="1">
      <alignment horizontal="left"/>
    </xf>
    <xf numFmtId="0" fontId="159" fillId="45" borderId="73" xfId="8726" applyFont="1" applyFill="1" applyBorder="1" applyAlignment="1">
      <alignment horizontal="left"/>
    </xf>
    <xf numFmtId="0" fontId="144" fillId="45" borderId="70" xfId="8726" applyFont="1" applyFill="1" applyBorder="1" applyAlignment="1">
      <alignment horizontal="left"/>
    </xf>
    <xf numFmtId="0" fontId="144" fillId="45" borderId="71" xfId="8726" applyFont="1" applyFill="1" applyBorder="1" applyAlignment="1">
      <alignment horizontal="left"/>
    </xf>
    <xf numFmtId="0" fontId="146" fillId="49" borderId="71" xfId="8726" applyFont="1" applyFill="1" applyBorder="1" applyAlignment="1" applyProtection="1">
      <alignment horizontal="left"/>
      <protection locked="0"/>
    </xf>
    <xf numFmtId="0" fontId="146" fillId="49" borderId="74" xfId="8726" applyFont="1" applyFill="1" applyBorder="1" applyAlignment="1" applyProtection="1">
      <alignment horizontal="left"/>
      <protection locked="0"/>
    </xf>
    <xf numFmtId="0" fontId="152" fillId="45" borderId="80" xfId="8726" applyFont="1" applyFill="1" applyBorder="1" applyAlignment="1">
      <alignment horizontal="left"/>
    </xf>
    <xf numFmtId="0" fontId="152" fillId="45" borderId="11" xfId="8726" applyFont="1" applyFill="1" applyBorder="1" applyAlignment="1">
      <alignment horizontal="left"/>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3" fillId="49" borderId="80" xfId="8726" applyFont="1" applyFill="1" applyBorder="1" applyAlignment="1" applyProtection="1">
      <alignment horizontal="left" vertical="top"/>
      <protection locked="0"/>
    </xf>
    <xf numFmtId="0" fontId="163" fillId="49" borderId="11" xfId="8726" applyFont="1" applyFill="1" applyBorder="1" applyAlignment="1" applyProtection="1">
      <alignment horizontal="left" vertical="top"/>
      <protection locked="0"/>
    </xf>
    <xf numFmtId="0" fontId="163" fillId="49" borderId="91" xfId="8726" applyFont="1" applyFill="1" applyBorder="1" applyAlignment="1" applyProtection="1">
      <alignment horizontal="left" vertical="top"/>
      <protection locked="0"/>
    </xf>
    <xf numFmtId="0" fontId="163" fillId="49" borderId="72" xfId="8726" applyFont="1" applyFill="1" applyBorder="1" applyAlignment="1" applyProtection="1">
      <alignment horizontal="left" vertical="top"/>
      <protection locked="0"/>
    </xf>
    <xf numFmtId="0" fontId="163" fillId="49" borderId="73" xfId="8726" applyFont="1" applyFill="1" applyBorder="1" applyAlignment="1" applyProtection="1">
      <alignment horizontal="left" vertical="top"/>
      <protection locked="0"/>
    </xf>
    <xf numFmtId="0" fontId="163" fillId="49" borderId="93" xfId="8726" applyFont="1" applyFill="1" applyBorder="1" applyAlignment="1" applyProtection="1">
      <alignment horizontal="left" vertical="top"/>
      <protection locked="0"/>
    </xf>
    <xf numFmtId="0" fontId="148" fillId="45" borderId="11" xfId="8726" applyFont="1" applyFill="1" applyBorder="1" applyAlignment="1">
      <alignment horizontal="center" wrapText="1"/>
    </xf>
    <xf numFmtId="0" fontId="148" fillId="45" borderId="91" xfId="8726" applyFont="1" applyFill="1" applyBorder="1" applyAlignment="1">
      <alignment horizontal="center" wrapText="1"/>
    </xf>
    <xf numFmtId="0" fontId="100" fillId="45" borderId="91" xfId="8726" applyFont="1" applyFill="1" applyBorder="1" applyAlignment="1">
      <alignment horizontal="center"/>
    </xf>
    <xf numFmtId="0" fontId="171" fillId="45" borderId="80" xfId="8726" applyFont="1" applyFill="1" applyBorder="1" applyAlignment="1">
      <alignment horizontal="center"/>
    </xf>
    <xf numFmtId="0" fontId="171" fillId="45" borderId="11" xfId="8726" applyFont="1" applyFill="1" applyBorder="1" applyAlignment="1">
      <alignment horizontal="center"/>
    </xf>
    <xf numFmtId="0" fontId="163" fillId="49" borderId="11" xfId="8726" applyFont="1" applyFill="1" applyBorder="1" applyAlignment="1" applyProtection="1">
      <alignment horizontal="center"/>
      <protection locked="0"/>
    </xf>
    <xf numFmtId="14" fontId="161" fillId="49" borderId="11" xfId="8726" applyNumberFormat="1" applyFont="1" applyFill="1" applyBorder="1" applyAlignment="1" applyProtection="1">
      <alignment horizontal="center"/>
      <protection locked="0"/>
    </xf>
    <xf numFmtId="168" fontId="163" fillId="49" borderId="11" xfId="8727" applyNumberFormat="1" applyFont="1" applyFill="1" applyBorder="1" applyAlignment="1" applyProtection="1">
      <alignment horizontal="center"/>
      <protection locked="0"/>
    </xf>
    <xf numFmtId="168" fontId="163" fillId="49" borderId="91" xfId="8727" applyNumberFormat="1" applyFont="1" applyFill="1" applyBorder="1" applyAlignment="1" applyProtection="1">
      <alignment horizontal="center"/>
      <protection locked="0"/>
    </xf>
    <xf numFmtId="14" fontId="163" fillId="49" borderId="11" xfId="8726" applyNumberFormat="1" applyFont="1" applyFill="1" applyBorder="1" applyAlignment="1" applyProtection="1">
      <alignment horizontal="center"/>
      <protection locked="0"/>
    </xf>
    <xf numFmtId="0" fontId="157" fillId="49" borderId="11" xfId="8726" applyFont="1" applyFill="1" applyBorder="1" applyAlignment="1" applyProtection="1">
      <alignment horizontal="left"/>
      <protection locked="0"/>
    </xf>
    <xf numFmtId="0" fontId="171" fillId="45" borderId="72" xfId="8726" applyFont="1" applyFill="1" applyBorder="1" applyAlignment="1">
      <alignment horizontal="center"/>
    </xf>
    <xf numFmtId="0" fontId="171" fillId="45" borderId="73" xfId="8726" applyFont="1" applyFill="1" applyBorder="1" applyAlignment="1">
      <alignment horizontal="center"/>
    </xf>
    <xf numFmtId="0" fontId="157" fillId="49" borderId="73" xfId="8726" applyFont="1" applyFill="1" applyBorder="1" applyAlignment="1" applyProtection="1">
      <alignment horizontal="left"/>
      <protection locked="0"/>
    </xf>
    <xf numFmtId="0" fontId="163" fillId="49" borderId="73" xfId="8726" applyFont="1" applyFill="1" applyBorder="1" applyAlignment="1" applyProtection="1">
      <alignment horizontal="center"/>
      <protection locked="0"/>
    </xf>
    <xf numFmtId="14" fontId="163" fillId="49" borderId="73" xfId="8726" applyNumberFormat="1" applyFont="1" applyFill="1" applyBorder="1" applyAlignment="1" applyProtection="1">
      <alignment horizontal="center"/>
      <protection locked="0"/>
    </xf>
    <xf numFmtId="168" fontId="163" fillId="49" borderId="73" xfId="8727" applyNumberFormat="1" applyFont="1" applyFill="1" applyBorder="1" applyAlignment="1" applyProtection="1">
      <alignment horizontal="center"/>
      <protection locked="0"/>
    </xf>
    <xf numFmtId="168" fontId="163" fillId="49" borderId="93" xfId="8727" applyNumberFormat="1" applyFont="1" applyFill="1" applyBorder="1" applyAlignment="1" applyProtection="1">
      <alignment horizontal="center"/>
      <protection locked="0"/>
    </xf>
    <xf numFmtId="0" fontId="161" fillId="49" borderId="72" xfId="8726" applyFont="1" applyFill="1" applyBorder="1" applyAlignment="1" applyProtection="1">
      <alignment horizontal="center"/>
      <protection locked="0"/>
    </xf>
    <xf numFmtId="0" fontId="161" fillId="49" borderId="73" xfId="8726" applyFont="1" applyFill="1" applyBorder="1" applyAlignment="1" applyProtection="1">
      <alignment horizontal="center"/>
      <protection locked="0"/>
    </xf>
    <xf numFmtId="14" fontId="161" fillId="49" borderId="73" xfId="8726" applyNumberFormat="1" applyFont="1" applyFill="1" applyBorder="1" applyAlignment="1" applyProtection="1">
      <alignment horizontal="center"/>
      <protection locked="0"/>
    </xf>
    <xf numFmtId="14" fontId="161" fillId="49" borderId="93" xfId="8726" applyNumberFormat="1" applyFont="1" applyFill="1" applyBorder="1" applyAlignment="1" applyProtection="1">
      <alignment horizontal="center"/>
      <protection locked="0"/>
    </xf>
    <xf numFmtId="0" fontId="100" fillId="45" borderId="65" xfId="8726" applyFont="1" applyFill="1" applyBorder="1" applyAlignment="1">
      <alignment horizontal="left" wrapText="1"/>
    </xf>
    <xf numFmtId="0" fontId="100" fillId="45" borderId="29" xfId="8726" applyFont="1" applyFill="1" applyBorder="1" applyAlignment="1">
      <alignment horizontal="left" wrapText="1"/>
    </xf>
    <xf numFmtId="0" fontId="100" fillId="45" borderId="31" xfId="8726" applyFont="1" applyFill="1" applyBorder="1" applyAlignment="1">
      <alignment horizontal="left" wrapText="1"/>
    </xf>
    <xf numFmtId="0" fontId="100" fillId="45" borderId="86" xfId="8726" applyFont="1" applyFill="1" applyBorder="1" applyAlignment="1">
      <alignment horizontal="left" wrapText="1"/>
    </xf>
    <xf numFmtId="0" fontId="100" fillId="45" borderId="42" xfId="8726" applyFont="1" applyFill="1" applyBorder="1" applyAlignment="1">
      <alignment horizontal="left" wrapText="1"/>
    </xf>
    <xf numFmtId="0" fontId="100" fillId="45" borderId="44" xfId="8726" applyFont="1" applyFill="1" applyBorder="1" applyAlignment="1">
      <alignment horizontal="left" wrapText="1"/>
    </xf>
    <xf numFmtId="0" fontId="100" fillId="45" borderId="70" xfId="8726" applyFont="1" applyFill="1" applyBorder="1" applyAlignment="1">
      <alignment horizontal="center"/>
    </xf>
    <xf numFmtId="0" fontId="100" fillId="45" borderId="71" xfId="8726" applyFont="1" applyFill="1" applyBorder="1" applyAlignment="1">
      <alignment horizontal="center"/>
    </xf>
    <xf numFmtId="0" fontId="100" fillId="45" borderId="74" xfId="8726" applyFont="1" applyFill="1" applyBorder="1" applyAlignment="1">
      <alignment horizontal="center"/>
    </xf>
    <xf numFmtId="0" fontId="144" fillId="45" borderId="74" xfId="8726" applyFont="1" applyFill="1" applyBorder="1" applyAlignment="1">
      <alignment horizontal="left"/>
    </xf>
    <xf numFmtId="14" fontId="161" fillId="49" borderId="91" xfId="8726" applyNumberFormat="1" applyFont="1" applyFill="1" applyBorder="1" applyAlignment="1" applyProtection="1">
      <alignment horizontal="center"/>
      <protection locked="0"/>
    </xf>
    <xf numFmtId="168" fontId="161" fillId="44" borderId="11" xfId="700" applyNumberFormat="1" applyFont="1" applyFill="1" applyBorder="1" applyAlignment="1">
      <alignment horizontal="left"/>
    </xf>
    <xf numFmtId="168" fontId="163" fillId="44" borderId="11" xfId="700" applyNumberFormat="1" applyFont="1" applyFill="1" applyBorder="1" applyAlignment="1">
      <alignment horizontal="left"/>
    </xf>
    <xf numFmtId="0" fontId="147" fillId="47" borderId="11" xfId="8726" applyFont="1" applyFill="1" applyBorder="1" applyAlignment="1">
      <alignment horizontal="center"/>
    </xf>
    <xf numFmtId="0" fontId="147" fillId="47" borderId="91" xfId="8726" applyFont="1" applyFill="1" applyBorder="1" applyAlignment="1">
      <alignment horizontal="center"/>
    </xf>
    <xf numFmtId="0" fontId="163" fillId="45" borderId="80" xfId="8726" applyFont="1" applyFill="1" applyBorder="1" applyAlignment="1">
      <alignment horizontal="right"/>
    </xf>
    <xf numFmtId="0" fontId="163" fillId="45" borderId="11" xfId="8726" applyFont="1" applyFill="1" applyBorder="1" applyAlignment="1">
      <alignment horizontal="right"/>
    </xf>
    <xf numFmtId="44" fontId="2" fillId="49" borderId="11" xfId="700" applyFont="1" applyFill="1" applyBorder="1" applyAlignment="1" applyProtection="1">
      <alignment horizontal="center"/>
      <protection locked="0"/>
    </xf>
    <xf numFmtId="43" fontId="144" fillId="55" borderId="104" xfId="698" applyFont="1" applyFill="1" applyBorder="1" applyAlignment="1" applyProtection="1">
      <alignment horizontal="center"/>
      <protection hidden="1"/>
    </xf>
    <xf numFmtId="43" fontId="144" fillId="55" borderId="97" xfId="698" applyFont="1" applyFill="1" applyBorder="1" applyAlignment="1" applyProtection="1">
      <alignment horizontal="center"/>
      <protection hidden="1"/>
    </xf>
    <xf numFmtId="43" fontId="144" fillId="55" borderId="98" xfId="698" applyFont="1" applyFill="1" applyBorder="1" applyAlignment="1" applyProtection="1">
      <alignment horizontal="center"/>
      <protection hidden="1"/>
    </xf>
    <xf numFmtId="43" fontId="146" fillId="53" borderId="13" xfId="698" applyFont="1" applyFill="1" applyBorder="1" applyAlignment="1" applyProtection="1">
      <alignment horizontal="left"/>
      <protection hidden="1"/>
    </xf>
    <xf numFmtId="44" fontId="2" fillId="49" borderId="13" xfId="700" applyFont="1" applyFill="1" applyBorder="1" applyAlignment="1" applyProtection="1">
      <alignment horizontal="center"/>
      <protection locked="0"/>
    </xf>
    <xf numFmtId="0" fontId="161" fillId="48" borderId="9" xfId="8726" applyFont="1" applyFill="1" applyBorder="1" applyAlignment="1">
      <alignment horizontal="center"/>
    </xf>
    <xf numFmtId="0" fontId="161" fillId="48" borderId="6" xfId="8726" applyFont="1" applyFill="1" applyBorder="1" applyAlignment="1">
      <alignment horizontal="center"/>
    </xf>
    <xf numFmtId="0" fontId="161" fillId="48" borderId="10" xfId="8726" applyFont="1" applyFill="1" applyBorder="1" applyAlignment="1">
      <alignment horizontal="center"/>
    </xf>
    <xf numFmtId="168" fontId="161" fillId="49" borderId="11" xfId="700" applyNumberFormat="1" applyFont="1" applyFill="1" applyBorder="1" applyAlignment="1" applyProtection="1">
      <alignment horizontal="left"/>
      <protection locked="0"/>
    </xf>
    <xf numFmtId="44" fontId="2" fillId="49" borderId="97" xfId="700" applyFont="1" applyFill="1" applyBorder="1" applyAlignment="1" applyProtection="1">
      <alignment horizontal="center"/>
      <protection locked="0"/>
    </xf>
    <xf numFmtId="168" fontId="145" fillId="48" borderId="0" xfId="700" applyNumberFormat="1" applyFont="1" applyFill="1" applyBorder="1" applyAlignment="1" applyProtection="1">
      <alignment horizontal="left"/>
      <protection locked="0"/>
    </xf>
    <xf numFmtId="0" fontId="148" fillId="45" borderId="67" xfId="0" applyFont="1" applyFill="1" applyBorder="1" applyAlignment="1" applyProtection="1">
      <alignment horizontal="center" wrapText="1"/>
      <protection hidden="1"/>
    </xf>
    <xf numFmtId="0" fontId="148" fillId="45" borderId="68" xfId="0" applyFont="1" applyFill="1" applyBorder="1" applyAlignment="1" applyProtection="1">
      <alignment horizontal="center" wrapText="1"/>
      <protection hidden="1"/>
    </xf>
    <xf numFmtId="0" fontId="148" fillId="45" borderId="69" xfId="0" applyFont="1" applyFill="1" applyBorder="1" applyAlignment="1" applyProtection="1">
      <alignment horizontal="center" wrapText="1"/>
      <protection hidden="1"/>
    </xf>
    <xf numFmtId="182" fontId="2" fillId="49" borderId="11" xfId="700" applyNumberFormat="1" applyFont="1" applyFill="1" applyBorder="1" applyAlignment="1" applyProtection="1">
      <alignment horizontal="center"/>
      <protection locked="0"/>
    </xf>
    <xf numFmtId="0" fontId="2" fillId="48" borderId="1" xfId="8726" applyFill="1" applyBorder="1" applyAlignment="1">
      <alignment horizontal="center"/>
    </xf>
    <xf numFmtId="0" fontId="2" fillId="48" borderId="2" xfId="8726" applyFill="1" applyBorder="1" applyAlignment="1">
      <alignment horizontal="center"/>
    </xf>
    <xf numFmtId="0" fontId="2" fillId="48" borderId="7" xfId="8726" applyFill="1" applyBorder="1" applyAlignment="1">
      <alignment horizontal="center"/>
    </xf>
    <xf numFmtId="0" fontId="163" fillId="45" borderId="70" xfId="8726" applyFont="1" applyFill="1" applyBorder="1" applyAlignment="1">
      <alignment horizontal="right"/>
    </xf>
    <xf numFmtId="0" fontId="163" fillId="45" borderId="71" xfId="8726" applyFont="1" applyFill="1" applyBorder="1" applyAlignment="1">
      <alignment horizontal="right"/>
    </xf>
    <xf numFmtId="168" fontId="146" fillId="44" borderId="71" xfId="700" applyNumberFormat="1" applyFont="1" applyFill="1" applyBorder="1" applyAlignment="1">
      <alignment horizontal="left"/>
    </xf>
    <xf numFmtId="168" fontId="146" fillId="44" borderId="74" xfId="700" applyNumberFormat="1" applyFont="1" applyFill="1" applyBorder="1" applyAlignment="1">
      <alignment horizontal="left"/>
    </xf>
    <xf numFmtId="0" fontId="161" fillId="49" borderId="81" xfId="8726" applyFont="1" applyFill="1" applyBorder="1" applyAlignment="1" applyProtection="1">
      <alignment horizontal="center"/>
      <protection locked="0"/>
    </xf>
    <xf numFmtId="0" fontId="161" fillId="49" borderId="82" xfId="8726" applyFont="1" applyFill="1" applyBorder="1" applyAlignment="1" applyProtection="1">
      <alignment horizontal="center"/>
      <protection locked="0"/>
    </xf>
    <xf numFmtId="0" fontId="163" fillId="49" borderId="73" xfId="8726" applyFont="1" applyFill="1" applyBorder="1" applyAlignment="1" applyProtection="1">
      <alignment horizontal="left"/>
      <protection locked="0"/>
    </xf>
    <xf numFmtId="0" fontId="163" fillId="49" borderId="93" xfId="8726" applyFont="1" applyFill="1" applyBorder="1" applyAlignment="1" applyProtection="1">
      <alignment horizontal="left"/>
      <protection locked="0"/>
    </xf>
    <xf numFmtId="168" fontId="161" fillId="49" borderId="82" xfId="700" applyNumberFormat="1" applyFont="1" applyFill="1" applyBorder="1" applyAlignment="1" applyProtection="1">
      <alignment horizontal="left"/>
      <protection locked="0"/>
    </xf>
    <xf numFmtId="168" fontId="161" fillId="49" borderId="85" xfId="700" applyNumberFormat="1" applyFont="1" applyFill="1" applyBorder="1" applyAlignment="1" applyProtection="1">
      <alignment horizontal="left"/>
      <protection locked="0"/>
    </xf>
    <xf numFmtId="0" fontId="161" fillId="49" borderId="81" xfId="8726" applyFont="1" applyFill="1" applyBorder="1" applyAlignment="1" applyProtection="1">
      <alignment horizontal="left"/>
      <protection locked="0"/>
    </xf>
    <xf numFmtId="0" fontId="161" fillId="49" borderId="82" xfId="8726" applyFont="1" applyFill="1" applyBorder="1" applyAlignment="1" applyProtection="1">
      <alignment horizontal="left"/>
      <protection locked="0"/>
    </xf>
    <xf numFmtId="0" fontId="161" fillId="49" borderId="85" xfId="8726" applyFont="1" applyFill="1" applyBorder="1" applyAlignment="1" applyProtection="1">
      <alignment horizontal="left"/>
      <protection locked="0"/>
    </xf>
    <xf numFmtId="0" fontId="171" fillId="48" borderId="0" xfId="8726" applyFont="1" applyFill="1" applyAlignment="1">
      <alignment horizontal="left" wrapText="1"/>
    </xf>
    <xf numFmtId="0" fontId="171" fillId="48" borderId="41" xfId="8726" applyFont="1" applyFill="1" applyBorder="1" applyAlignment="1">
      <alignment horizontal="left" wrapText="1"/>
    </xf>
    <xf numFmtId="0" fontId="163" fillId="49" borderId="11" xfId="8726" applyFont="1" applyFill="1" applyBorder="1" applyAlignment="1" applyProtection="1">
      <alignment horizontal="left"/>
      <protection locked="0"/>
    </xf>
    <xf numFmtId="0" fontId="163" fillId="49" borderId="80" xfId="8726" applyFont="1" applyFill="1" applyBorder="1" applyAlignment="1" applyProtection="1">
      <alignment horizontal="center"/>
      <protection locked="0"/>
    </xf>
    <xf numFmtId="10" fontId="161" fillId="49" borderId="11" xfId="1022" applyNumberFormat="1" applyFont="1" applyFill="1" applyBorder="1" applyAlignment="1" applyProtection="1">
      <alignment horizontal="center"/>
      <protection locked="0"/>
    </xf>
    <xf numFmtId="43" fontId="144" fillId="45" borderId="67" xfId="698" applyFont="1" applyFill="1" applyBorder="1" applyAlignment="1" applyProtection="1">
      <alignment horizontal="center"/>
      <protection hidden="1"/>
    </xf>
    <xf numFmtId="43" fontId="144" fillId="45" borderId="68" xfId="698" applyFont="1" applyFill="1" applyBorder="1" applyAlignment="1" applyProtection="1">
      <alignment horizontal="center"/>
      <protection hidden="1"/>
    </xf>
    <xf numFmtId="43" fontId="144" fillId="45" borderId="69" xfId="698" applyFont="1" applyFill="1" applyBorder="1" applyAlignment="1" applyProtection="1">
      <alignment horizontal="center"/>
      <protection hidden="1"/>
    </xf>
    <xf numFmtId="43" fontId="145" fillId="53" borderId="66" xfId="698" applyFont="1" applyFill="1" applyBorder="1" applyAlignment="1" applyProtection="1">
      <alignment horizontal="center" wrapText="1"/>
      <protection hidden="1"/>
    </xf>
    <xf numFmtId="43" fontId="145" fillId="53" borderId="0" xfId="698" applyFont="1" applyFill="1" applyBorder="1" applyAlignment="1" applyProtection="1">
      <alignment horizontal="center" wrapText="1"/>
      <protection hidden="1"/>
    </xf>
    <xf numFmtId="43" fontId="145" fillId="53" borderId="12" xfId="698" applyFont="1" applyFill="1" applyBorder="1" applyAlignment="1" applyProtection="1">
      <alignment horizontal="center" wrapText="1"/>
      <protection hidden="1"/>
    </xf>
    <xf numFmtId="43" fontId="145" fillId="53" borderId="102" xfId="698" applyFont="1" applyFill="1" applyBorder="1" applyAlignment="1" applyProtection="1">
      <alignment horizontal="center" wrapText="1"/>
      <protection hidden="1"/>
    </xf>
    <xf numFmtId="43" fontId="145" fillId="53" borderId="6" xfId="698" applyFont="1" applyFill="1" applyBorder="1" applyAlignment="1" applyProtection="1">
      <alignment horizontal="center" wrapText="1"/>
      <protection hidden="1"/>
    </xf>
    <xf numFmtId="43" fontId="145" fillId="53" borderId="10" xfId="698" applyFont="1" applyFill="1" applyBorder="1" applyAlignment="1" applyProtection="1">
      <alignment horizontal="center" wrapText="1"/>
      <protection hidden="1"/>
    </xf>
    <xf numFmtId="43" fontId="145" fillId="53" borderId="8" xfId="698" applyFont="1" applyFill="1" applyBorder="1" applyAlignment="1" applyProtection="1">
      <alignment horizontal="center" wrapText="1"/>
      <protection hidden="1"/>
    </xf>
    <xf numFmtId="43" fontId="145" fillId="53" borderId="9" xfId="698" applyFont="1" applyFill="1" applyBorder="1" applyAlignment="1" applyProtection="1">
      <alignment horizontal="center" wrapText="1"/>
      <protection hidden="1"/>
    </xf>
    <xf numFmtId="14" fontId="145" fillId="0" borderId="8" xfId="700" applyNumberFormat="1" applyFont="1" applyFill="1" applyBorder="1" applyAlignment="1" applyProtection="1">
      <alignment horizontal="center" wrapText="1"/>
      <protection hidden="1"/>
    </xf>
    <xf numFmtId="14" fontId="145" fillId="0" borderId="0" xfId="700" applyNumberFormat="1" applyFont="1" applyFill="1" applyBorder="1" applyAlignment="1" applyProtection="1">
      <alignment horizontal="center" wrapText="1"/>
      <protection hidden="1"/>
    </xf>
    <xf numFmtId="14" fontId="145" fillId="0" borderId="12" xfId="700" applyNumberFormat="1" applyFont="1" applyFill="1" applyBorder="1" applyAlignment="1" applyProtection="1">
      <alignment horizontal="center" wrapText="1"/>
      <protection hidden="1"/>
    </xf>
    <xf numFmtId="14" fontId="145" fillId="0" borderId="9" xfId="700" applyNumberFormat="1" applyFont="1" applyFill="1" applyBorder="1" applyAlignment="1" applyProtection="1">
      <alignment horizontal="center" wrapText="1"/>
      <protection hidden="1"/>
    </xf>
    <xf numFmtId="14" fontId="145" fillId="0" borderId="6" xfId="700" applyNumberFormat="1" applyFont="1" applyFill="1" applyBorder="1" applyAlignment="1" applyProtection="1">
      <alignment horizontal="center" wrapText="1"/>
      <protection hidden="1"/>
    </xf>
    <xf numFmtId="14" fontId="145" fillId="0" borderId="10" xfId="700" applyNumberFormat="1" applyFont="1" applyFill="1" applyBorder="1" applyAlignment="1" applyProtection="1">
      <alignment horizontal="center" wrapText="1"/>
      <protection hidden="1"/>
    </xf>
    <xf numFmtId="44" fontId="145" fillId="0" borderId="8" xfId="700" applyFont="1" applyBorder="1" applyAlignment="1" applyProtection="1">
      <alignment horizontal="center" wrapText="1"/>
      <protection hidden="1"/>
    </xf>
    <xf numFmtId="44" fontId="145" fillId="0" borderId="0" xfId="700" applyFont="1" applyBorder="1" applyAlignment="1" applyProtection="1">
      <alignment horizontal="center" wrapText="1"/>
      <protection hidden="1"/>
    </xf>
    <xf numFmtId="44" fontId="145" fillId="0" borderId="12" xfId="700" applyFont="1" applyBorder="1" applyAlignment="1" applyProtection="1">
      <alignment horizontal="center" wrapText="1"/>
      <protection hidden="1"/>
    </xf>
    <xf numFmtId="44" fontId="145" fillId="0" borderId="9" xfId="700" applyFont="1" applyBorder="1" applyAlignment="1" applyProtection="1">
      <alignment horizontal="center" wrapText="1"/>
      <protection hidden="1"/>
    </xf>
    <xf numFmtId="44" fontId="145" fillId="0" borderId="6" xfId="700" applyFont="1" applyBorder="1" applyAlignment="1" applyProtection="1">
      <alignment horizontal="center" wrapText="1"/>
      <protection hidden="1"/>
    </xf>
    <xf numFmtId="44" fontId="145" fillId="0" borderId="10" xfId="700" applyFont="1" applyBorder="1" applyAlignment="1" applyProtection="1">
      <alignment horizontal="center" wrapText="1"/>
      <protection hidden="1"/>
    </xf>
    <xf numFmtId="0" fontId="100" fillId="0" borderId="67" xfId="8726" applyFont="1" applyBorder="1" applyAlignment="1">
      <alignment horizontal="left"/>
    </xf>
    <xf numFmtId="0" fontId="100" fillId="0" borderId="68" xfId="8726" applyFont="1" applyBorder="1" applyAlignment="1">
      <alignment horizontal="left"/>
    </xf>
    <xf numFmtId="0" fontId="147" fillId="45" borderId="72" xfId="8726" applyFont="1" applyFill="1" applyBorder="1" applyAlignment="1">
      <alignment horizontal="right"/>
    </xf>
    <xf numFmtId="0" fontId="147" fillId="45" borderId="73" xfId="8726" applyFont="1" applyFill="1" applyBorder="1" applyAlignment="1">
      <alignment horizontal="right"/>
    </xf>
    <xf numFmtId="0" fontId="148" fillId="44" borderId="73" xfId="700" applyNumberFormat="1" applyFont="1" applyFill="1" applyBorder="1" applyAlignment="1">
      <alignment horizontal="left"/>
    </xf>
    <xf numFmtId="168" fontId="148" fillId="44" borderId="73" xfId="700" applyNumberFormat="1" applyFont="1" applyFill="1" applyBorder="1" applyAlignment="1">
      <alignment horizontal="left"/>
    </xf>
    <xf numFmtId="168" fontId="148" fillId="44" borderId="93" xfId="700" applyNumberFormat="1" applyFont="1" applyFill="1" applyBorder="1" applyAlignment="1">
      <alignment horizontal="left"/>
    </xf>
    <xf numFmtId="0" fontId="144" fillId="48" borderId="0" xfId="8726" applyFont="1" applyFill="1" applyAlignment="1">
      <alignment horizontal="right"/>
    </xf>
    <xf numFmtId="0" fontId="146" fillId="49" borderId="3" xfId="8726" applyFont="1" applyFill="1" applyBorder="1" applyAlignment="1" applyProtection="1">
      <alignment horizontal="center"/>
      <protection locked="0"/>
    </xf>
    <xf numFmtId="0" fontId="146" fillId="49" borderId="4" xfId="8726" applyFont="1" applyFill="1" applyBorder="1" applyAlignment="1" applyProtection="1">
      <alignment horizontal="center"/>
      <protection locked="0"/>
    </xf>
    <xf numFmtId="0" fontId="146" fillId="49" borderId="79" xfId="8726" applyFont="1" applyFill="1" applyBorder="1" applyAlignment="1" applyProtection="1">
      <alignment horizontal="center"/>
      <protection locked="0"/>
    </xf>
    <xf numFmtId="0" fontId="100" fillId="44" borderId="0" xfId="8726" applyFont="1" applyFill="1" applyAlignment="1">
      <alignment horizontal="left"/>
    </xf>
    <xf numFmtId="0" fontId="148" fillId="44" borderId="0" xfId="8726" applyFont="1" applyFill="1" applyAlignment="1">
      <alignment horizontal="left" vertical="top"/>
    </xf>
    <xf numFmtId="0" fontId="100" fillId="44" borderId="0" xfId="4503" applyFont="1" applyFill="1" applyBorder="1" applyAlignment="1">
      <alignment horizontal="left" vertical="top"/>
    </xf>
    <xf numFmtId="0" fontId="172" fillId="48" borderId="65" xfId="8726" applyFont="1" applyFill="1" applyBorder="1" applyAlignment="1">
      <alignment horizontal="center"/>
    </xf>
    <xf numFmtId="0" fontId="172" fillId="48" borderId="29" xfId="8726" applyFont="1" applyFill="1" applyBorder="1" applyAlignment="1">
      <alignment horizontal="center"/>
    </xf>
    <xf numFmtId="0" fontId="172" fillId="48" borderId="31" xfId="8726" applyFont="1" applyFill="1" applyBorder="1" applyAlignment="1">
      <alignment horizontal="center"/>
    </xf>
    <xf numFmtId="0" fontId="2" fillId="48" borderId="66" xfId="8726" applyFill="1" applyBorder="1" applyAlignment="1">
      <alignment horizontal="center"/>
    </xf>
    <xf numFmtId="0" fontId="2" fillId="48" borderId="0" xfId="8726" applyFill="1" applyAlignment="1">
      <alignment horizontal="center"/>
    </xf>
    <xf numFmtId="0" fontId="2" fillId="48" borderId="41" xfId="8726" applyFill="1" applyBorder="1" applyAlignment="1">
      <alignment horizontal="center"/>
    </xf>
    <xf numFmtId="0" fontId="144" fillId="48" borderId="66" xfId="8726" applyFont="1" applyFill="1" applyBorder="1" applyAlignment="1">
      <alignment horizontal="center"/>
    </xf>
    <xf numFmtId="0" fontId="144" fillId="48" borderId="0" xfId="8726" applyFont="1" applyFill="1" applyAlignment="1">
      <alignment horizontal="center"/>
    </xf>
    <xf numFmtId="0" fontId="144" fillId="48" borderId="41" xfId="8726" applyFont="1" applyFill="1" applyBorder="1" applyAlignment="1">
      <alignment horizontal="center"/>
    </xf>
    <xf numFmtId="0" fontId="100" fillId="48" borderId="66" xfId="8726" applyFont="1" applyFill="1" applyBorder="1" applyAlignment="1">
      <alignment horizontal="center"/>
    </xf>
    <xf numFmtId="0" fontId="100" fillId="48" borderId="0" xfId="8726" applyFont="1" applyFill="1" applyAlignment="1">
      <alignment horizontal="center"/>
    </xf>
    <xf numFmtId="0" fontId="100" fillId="48" borderId="41" xfId="8726" applyFont="1" applyFill="1" applyBorder="1" applyAlignment="1">
      <alignment horizontal="center"/>
    </xf>
    <xf numFmtId="14" fontId="2" fillId="49" borderId="67" xfId="8726" applyNumberFormat="1" applyFill="1" applyBorder="1" applyAlignment="1" applyProtection="1">
      <alignment horizontal="center"/>
      <protection locked="0"/>
    </xf>
    <xf numFmtId="14" fontId="2" fillId="49" borderId="68" xfId="8726" applyNumberFormat="1" applyFill="1" applyBorder="1" applyAlignment="1" applyProtection="1">
      <alignment horizontal="center"/>
      <protection locked="0"/>
    </xf>
    <xf numFmtId="14" fontId="2" fillId="49" borderId="69" xfId="8726" applyNumberFormat="1" applyFill="1" applyBorder="1" applyAlignment="1" applyProtection="1">
      <alignment horizontal="center"/>
      <protection locked="0"/>
    </xf>
    <xf numFmtId="0" fontId="2" fillId="49" borderId="67" xfId="8726" applyFill="1" applyBorder="1" applyAlignment="1" applyProtection="1">
      <alignment horizontal="left"/>
      <protection locked="0"/>
    </xf>
    <xf numFmtId="0" fontId="2" fillId="49" borderId="68" xfId="8726" applyFill="1" applyBorder="1" applyAlignment="1" applyProtection="1">
      <alignment horizontal="left"/>
      <protection locked="0"/>
    </xf>
    <xf numFmtId="0" fontId="2" fillId="49" borderId="69" xfId="8726" applyFill="1" applyBorder="1" applyAlignment="1" applyProtection="1">
      <alignment horizontal="left"/>
      <protection locked="0"/>
    </xf>
    <xf numFmtId="0" fontId="2" fillId="49" borderId="67" xfId="8726" applyFill="1" applyBorder="1" applyAlignment="1" applyProtection="1">
      <alignment horizontal="center"/>
      <protection locked="0"/>
    </xf>
    <xf numFmtId="0" fontId="2" fillId="49" borderId="68" xfId="8726" applyFill="1" applyBorder="1" applyAlignment="1" applyProtection="1">
      <alignment horizontal="center"/>
      <protection locked="0"/>
    </xf>
    <xf numFmtId="0" fontId="2" fillId="49" borderId="69" xfId="8726" applyFill="1" applyBorder="1" applyAlignment="1" applyProtection="1">
      <alignment horizontal="center"/>
      <protection locked="0"/>
    </xf>
    <xf numFmtId="0" fontId="100" fillId="48" borderId="42" xfId="8726" applyFont="1" applyFill="1" applyBorder="1" applyAlignment="1">
      <alignment horizontal="center"/>
    </xf>
    <xf numFmtId="0" fontId="144" fillId="48" borderId="0" xfId="8726" applyFont="1" applyFill="1" applyAlignment="1">
      <alignment horizontal="left" vertical="top" wrapText="1"/>
    </xf>
    <xf numFmtId="0" fontId="100" fillId="48" borderId="0" xfId="8726" applyFont="1" applyFill="1" applyAlignment="1">
      <alignment horizontal="left"/>
    </xf>
    <xf numFmtId="0" fontId="176" fillId="54" borderId="3" xfId="698" applyNumberFormat="1" applyFont="1" applyFill="1" applyBorder="1" applyAlignment="1" applyProtection="1">
      <alignment horizontal="center"/>
      <protection locked="0"/>
    </xf>
    <xf numFmtId="0" fontId="176" fillId="54" borderId="4" xfId="698" applyNumberFormat="1" applyFont="1" applyFill="1" applyBorder="1" applyAlignment="1" applyProtection="1">
      <alignment horizontal="center"/>
      <protection locked="0"/>
    </xf>
    <xf numFmtId="0" fontId="176" fillId="54" borderId="79" xfId="698" applyNumberFormat="1" applyFont="1" applyFill="1" applyBorder="1" applyAlignment="1" applyProtection="1">
      <alignment horizontal="center"/>
      <protection locked="0"/>
    </xf>
    <xf numFmtId="43" fontId="144" fillId="53" borderId="3" xfId="698" applyFont="1" applyFill="1" applyBorder="1" applyAlignment="1" applyProtection="1">
      <alignment horizontal="center"/>
      <protection hidden="1"/>
    </xf>
    <xf numFmtId="43" fontId="144" fillId="53" borderId="4" xfId="698" applyFont="1" applyFill="1" applyBorder="1" applyAlignment="1" applyProtection="1">
      <alignment horizontal="center"/>
      <protection hidden="1"/>
    </xf>
    <xf numFmtId="43" fontId="144" fillId="53" borderId="79" xfId="698" applyFont="1" applyFill="1" applyBorder="1" applyAlignment="1" applyProtection="1">
      <alignment horizontal="center"/>
      <protection hidden="1"/>
    </xf>
    <xf numFmtId="43" fontId="145" fillId="53" borderId="41" xfId="698" applyFont="1" applyFill="1" applyBorder="1" applyAlignment="1" applyProtection="1">
      <alignment horizontal="center" wrapText="1"/>
      <protection hidden="1"/>
    </xf>
    <xf numFmtId="43" fontId="145" fillId="53" borderId="103" xfId="698" applyFont="1" applyFill="1" applyBorder="1" applyAlignment="1" applyProtection="1">
      <alignment horizontal="center" wrapText="1"/>
      <protection hidden="1"/>
    </xf>
    <xf numFmtId="44" fontId="176" fillId="49" borderId="11" xfId="700" applyFont="1" applyFill="1" applyBorder="1" applyAlignment="1" applyProtection="1">
      <alignment horizontal="center"/>
      <protection locked="0"/>
    </xf>
    <xf numFmtId="168" fontId="144" fillId="45" borderId="43" xfId="8726" applyNumberFormat="1" applyFont="1" applyFill="1" applyBorder="1" applyAlignment="1">
      <alignment horizontal="left"/>
    </xf>
    <xf numFmtId="168" fontId="144" fillId="45" borderId="96" xfId="8726" applyNumberFormat="1" applyFont="1" applyFill="1" applyBorder="1" applyAlignment="1">
      <alignment horizontal="left"/>
    </xf>
    <xf numFmtId="0" fontId="2" fillId="49" borderId="1" xfId="8726" applyFill="1" applyBorder="1" applyAlignment="1" applyProtection="1">
      <alignment horizontal="center"/>
      <protection locked="0"/>
    </xf>
    <xf numFmtId="0" fontId="2" fillId="49" borderId="2" xfId="8726" applyFill="1" applyBorder="1" applyAlignment="1" applyProtection="1">
      <alignment horizontal="center"/>
      <protection locked="0"/>
    </xf>
    <xf numFmtId="0" fontId="2" fillId="49" borderId="4" xfId="8726" applyFill="1" applyBorder="1" applyAlignment="1" applyProtection="1">
      <alignment horizontal="center"/>
      <protection locked="0"/>
    </xf>
    <xf numFmtId="0" fontId="2" fillId="49" borderId="79" xfId="8726" applyFill="1" applyBorder="1" applyAlignment="1" applyProtection="1">
      <alignment horizontal="center"/>
      <protection locked="0"/>
    </xf>
    <xf numFmtId="10" fontId="2" fillId="0" borderId="84" xfId="8726" applyNumberFormat="1" applyBorder="1" applyAlignment="1">
      <alignment horizontal="center"/>
    </xf>
    <xf numFmtId="10" fontId="2" fillId="0" borderId="82" xfId="8726" applyNumberFormat="1" applyBorder="1" applyAlignment="1">
      <alignment horizontal="center"/>
    </xf>
    <xf numFmtId="10" fontId="2" fillId="0" borderId="85" xfId="8726" applyNumberFormat="1" applyBorder="1" applyAlignment="1">
      <alignment horizontal="center"/>
    </xf>
    <xf numFmtId="0" fontId="146" fillId="49" borderId="89" xfId="8726" applyFont="1" applyFill="1" applyBorder="1" applyAlignment="1" applyProtection="1">
      <alignment horizontal="left"/>
      <protection locked="0"/>
    </xf>
    <xf numFmtId="0" fontId="144" fillId="45" borderId="80" xfId="8726" applyFont="1" applyFill="1" applyBorder="1" applyAlignment="1">
      <alignment horizontal="center"/>
    </xf>
    <xf numFmtId="0" fontId="144" fillId="45" borderId="11" xfId="8726" applyFont="1" applyFill="1" applyBorder="1" applyAlignment="1">
      <alignment horizontal="center"/>
    </xf>
    <xf numFmtId="0" fontId="144" fillId="45" borderId="3" xfId="8726" applyFont="1" applyFill="1" applyBorder="1" applyAlignment="1">
      <alignment horizontal="center"/>
    </xf>
    <xf numFmtId="0" fontId="144" fillId="45" borderId="4" xfId="8726" applyFont="1" applyFill="1" applyBorder="1" applyAlignment="1">
      <alignment horizontal="center"/>
    </xf>
    <xf numFmtId="0" fontId="144" fillId="45" borderId="79" xfId="8726" applyFont="1" applyFill="1" applyBorder="1" applyAlignment="1">
      <alignment horizontal="center"/>
    </xf>
    <xf numFmtId="0" fontId="100" fillId="45" borderId="72" xfId="8726" applyFont="1" applyFill="1" applyBorder="1" applyAlignment="1">
      <alignment horizontal="center"/>
    </xf>
    <xf numFmtId="0" fontId="100" fillId="45" borderId="73" xfId="8726" applyFont="1" applyFill="1" applyBorder="1" applyAlignment="1">
      <alignment horizontal="center"/>
    </xf>
    <xf numFmtId="14" fontId="146" fillId="49" borderId="83" xfId="8726" applyNumberFormat="1" applyFont="1" applyFill="1" applyBorder="1" applyAlignment="1" applyProtection="1">
      <alignment horizontal="center"/>
      <protection locked="0"/>
    </xf>
    <xf numFmtId="0" fontId="146" fillId="49" borderId="73" xfId="8726" applyFont="1" applyFill="1" applyBorder="1" applyAlignment="1" applyProtection="1">
      <alignment horizontal="center"/>
      <protection locked="0"/>
    </xf>
    <xf numFmtId="0" fontId="146" fillId="49" borderId="93" xfId="8726" applyFont="1" applyFill="1" applyBorder="1" applyAlignment="1" applyProtection="1">
      <alignment horizontal="center"/>
      <protection locked="0"/>
    </xf>
    <xf numFmtId="10" fontId="2" fillId="49" borderId="84" xfId="8726" applyNumberFormat="1" applyFill="1" applyBorder="1" applyAlignment="1" applyProtection="1">
      <alignment horizontal="center"/>
      <protection locked="0"/>
    </xf>
    <xf numFmtId="10" fontId="2" fillId="49" borderId="82" xfId="8726" applyNumberFormat="1" applyFill="1" applyBorder="1" applyAlignment="1" applyProtection="1">
      <alignment horizontal="center"/>
      <protection locked="0"/>
    </xf>
    <xf numFmtId="10" fontId="2" fillId="49" borderId="85" xfId="8726" applyNumberFormat="1" applyFill="1" applyBorder="1" applyAlignment="1" applyProtection="1">
      <alignment horizontal="center"/>
      <protection locked="0"/>
    </xf>
    <xf numFmtId="0" fontId="2" fillId="49" borderId="3" xfId="8726" applyFill="1" applyBorder="1" applyAlignment="1" applyProtection="1">
      <alignment horizontal="center"/>
      <protection locked="0"/>
    </xf>
    <xf numFmtId="0" fontId="144" fillId="45" borderId="95" xfId="8726" applyFont="1" applyFill="1" applyBorder="1" applyAlignment="1">
      <alignment horizontal="center"/>
    </xf>
    <xf numFmtId="0" fontId="144" fillId="45" borderId="13" xfId="8726" applyFont="1" applyFill="1" applyBorder="1" applyAlignment="1">
      <alignment horizontal="center"/>
    </xf>
    <xf numFmtId="168" fontId="14" fillId="0" borderId="11" xfId="569" applyNumberFormat="1" applyBorder="1"/>
    <xf numFmtId="168" fontId="14" fillId="0" borderId="3" xfId="569" applyNumberFormat="1" applyBorder="1"/>
    <xf numFmtId="168" fontId="14" fillId="0" borderId="4" xfId="569" applyNumberFormat="1" applyBorder="1"/>
    <xf numFmtId="168" fontId="14" fillId="0" borderId="5" xfId="569" applyNumberFormat="1" applyBorder="1"/>
    <xf numFmtId="168" fontId="14" fillId="0" borderId="11" xfId="569" applyNumberFormat="1" applyBorder="1" applyAlignment="1">
      <alignment wrapText="1"/>
    </xf>
    <xf numFmtId="168" fontId="14" fillId="0" borderId="11" xfId="569" applyNumberFormat="1" applyBorder="1" applyAlignment="1">
      <alignment horizontal="right"/>
    </xf>
    <xf numFmtId="9" fontId="14" fillId="0" borderId="15" xfId="569" applyNumberFormat="1" applyBorder="1" applyAlignment="1">
      <alignment horizontal="center"/>
    </xf>
    <xf numFmtId="168" fontId="14" fillId="0" borderId="11" xfId="569" applyNumberFormat="1" applyBorder="1" applyAlignment="1">
      <alignment horizontal="center"/>
    </xf>
    <xf numFmtId="0" fontId="14" fillId="0" borderId="11" xfId="569" applyBorder="1" applyAlignment="1">
      <alignment horizontal="center"/>
    </xf>
    <xf numFmtId="176" fontId="14" fillId="5" borderId="3" xfId="569" applyNumberFormat="1" applyFill="1" applyBorder="1" applyAlignment="1" applyProtection="1">
      <alignment horizontal="right"/>
      <protection locked="0"/>
    </xf>
    <xf numFmtId="176" fontId="14" fillId="5" borderId="4" xfId="569" applyNumberFormat="1" applyFill="1" applyBorder="1" applyAlignment="1" applyProtection="1">
      <alignment horizontal="right"/>
      <protection locked="0"/>
    </xf>
    <xf numFmtId="176" fontId="14" fillId="5" borderId="5" xfId="569" applyNumberFormat="1" applyFill="1" applyBorder="1" applyAlignment="1" applyProtection="1">
      <alignment horizontal="right"/>
      <protection locked="0"/>
    </xf>
    <xf numFmtId="0" fontId="105" fillId="0" borderId="0" xfId="0" applyFont="1" applyAlignment="1">
      <alignment horizontal="left" vertical="top" wrapText="1"/>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21" fillId="0" borderId="6" xfId="569" applyFont="1" applyBorder="1" applyAlignment="1">
      <alignment horizontal="center"/>
    </xf>
    <xf numFmtId="168" fontId="14" fillId="0" borderId="3" xfId="569" applyNumberFormat="1" applyBorder="1" applyAlignment="1">
      <alignment horizontal="center"/>
    </xf>
    <xf numFmtId="0" fontId="14" fillId="0" borderId="4" xfId="569" applyBorder="1" applyAlignment="1">
      <alignment horizontal="center"/>
    </xf>
    <xf numFmtId="0" fontId="14" fillId="0" borderId="5" xfId="569" applyBorder="1" applyAlignment="1">
      <alignment horizontal="center"/>
    </xf>
    <xf numFmtId="0" fontId="105" fillId="0" borderId="0" xfId="569" applyFont="1" applyAlignment="1">
      <alignment horizontal="left" wrapText="1"/>
    </xf>
    <xf numFmtId="168" fontId="14" fillId="0" borderId="3" xfId="569" applyNumberFormat="1" applyBorder="1" applyAlignment="1">
      <alignment horizontal="right"/>
    </xf>
    <xf numFmtId="168" fontId="14" fillId="0" borderId="4" xfId="569" applyNumberFormat="1" applyBorder="1" applyAlignment="1">
      <alignment horizontal="right"/>
    </xf>
    <xf numFmtId="168" fontId="14" fillId="0" borderId="5" xfId="569" applyNumberFormat="1" applyBorder="1" applyAlignment="1">
      <alignment horizontal="right"/>
    </xf>
    <xf numFmtId="168" fontId="14" fillId="0" borderId="3" xfId="569" applyNumberFormat="1" applyBorder="1" applyAlignment="1" applyProtection="1">
      <alignment horizontal="right"/>
      <protection locked="0"/>
    </xf>
    <xf numFmtId="168" fontId="14" fillId="0" borderId="4" xfId="569" applyNumberFormat="1" applyBorder="1" applyAlignment="1" applyProtection="1">
      <alignment horizontal="right"/>
      <protection locked="0"/>
    </xf>
    <xf numFmtId="168" fontId="14" fillId="0" borderId="5" xfId="569" applyNumberFormat="1" applyBorder="1" applyAlignment="1" applyProtection="1">
      <alignment horizontal="right"/>
      <protection locked="0"/>
    </xf>
    <xf numFmtId="0" fontId="21" fillId="0" borderId="16" xfId="271" applyFont="1" applyBorder="1" applyAlignment="1">
      <alignment horizontal="center"/>
    </xf>
    <xf numFmtId="168" fontId="14" fillId="0" borderId="4" xfId="569" applyNumberFormat="1" applyBorder="1" applyAlignment="1">
      <alignment horizontal="center"/>
    </xf>
    <xf numFmtId="168" fontId="14" fillId="0" borderId="5" xfId="569" applyNumberFormat="1" applyBorder="1" applyAlignment="1">
      <alignment horizontal="center"/>
    </xf>
    <xf numFmtId="0" fontId="21" fillId="0" borderId="11" xfId="569" applyFont="1" applyBorder="1" applyAlignment="1">
      <alignment horizontal="center" wrapText="1"/>
    </xf>
    <xf numFmtId="0" fontId="21" fillId="0" borderId="11" xfId="569" applyFont="1" applyBorder="1" applyAlignment="1">
      <alignment horizontal="center"/>
    </xf>
    <xf numFmtId="165" fontId="14" fillId="0" borderId="11" xfId="569" applyNumberFormat="1" applyBorder="1" applyAlignment="1" applyProtection="1">
      <alignment horizontal="center"/>
      <protection locked="0"/>
    </xf>
    <xf numFmtId="0" fontId="51" fillId="0" borderId="0" xfId="569" applyFont="1" applyAlignment="1">
      <alignment horizontal="left"/>
    </xf>
    <xf numFmtId="5" fontId="14" fillId="0" borderId="5" xfId="569" applyNumberFormat="1" applyBorder="1" applyAlignment="1">
      <alignment horizontal="center"/>
    </xf>
    <xf numFmtId="5" fontId="14" fillId="0" borderId="11" xfId="569" applyNumberFormat="1" applyBorder="1" applyAlignment="1">
      <alignment horizontal="center"/>
    </xf>
    <xf numFmtId="5" fontId="14" fillId="0" borderId="3" xfId="569" applyNumberFormat="1" applyBorder="1" applyAlignment="1">
      <alignment horizontal="center"/>
    </xf>
    <xf numFmtId="5" fontId="14" fillId="0" borderId="4" xfId="569" applyNumberFormat="1" applyBorder="1" applyAlignment="1">
      <alignment horizontal="center"/>
    </xf>
    <xf numFmtId="168" fontId="14" fillId="5" borderId="5" xfId="569" applyNumberFormat="1" applyFill="1" applyBorder="1" applyAlignment="1" applyProtection="1">
      <alignment horizontal="center"/>
      <protection locked="0"/>
    </xf>
    <xf numFmtId="168" fontId="14" fillId="5" borderId="11" xfId="569" applyNumberFormat="1" applyFill="1" applyBorder="1" applyAlignment="1" applyProtection="1">
      <alignment horizontal="center"/>
      <protection locked="0"/>
    </xf>
    <xf numFmtId="9" fontId="14" fillId="0" borderId="5" xfId="569" applyNumberFormat="1" applyBorder="1" applyAlignment="1">
      <alignment horizontal="center"/>
    </xf>
    <xf numFmtId="9" fontId="14" fillId="0" borderId="11" xfId="569" applyNumberFormat="1" applyBorder="1" applyAlignment="1">
      <alignment horizontal="center"/>
    </xf>
    <xf numFmtId="9" fontId="14" fillId="0" borderId="9" xfId="569" applyNumberFormat="1" applyBorder="1" applyAlignment="1">
      <alignment horizontal="center" vertical="center"/>
    </xf>
    <xf numFmtId="9" fontId="14" fillId="0" borderId="6" xfId="569" applyNumberFormat="1" applyBorder="1" applyAlignment="1">
      <alignment horizontal="center" vertical="center"/>
    </xf>
    <xf numFmtId="9" fontId="14" fillId="0" borderId="10" xfId="569" applyNumberFormat="1" applyBorder="1" applyAlignment="1">
      <alignment horizontal="center" vertical="center"/>
    </xf>
    <xf numFmtId="168" fontId="14" fillId="2" borderId="3" xfId="569" applyNumberFormat="1" applyFill="1" applyBorder="1" applyAlignment="1">
      <alignment horizontal="center"/>
    </xf>
    <xf numFmtId="168" fontId="14" fillId="2" borderId="4" xfId="569" applyNumberFormat="1" applyFill="1" applyBorder="1" applyAlignment="1">
      <alignment horizontal="center"/>
    </xf>
    <xf numFmtId="168" fontId="14" fillId="2" borderId="5" xfId="569" applyNumberFormat="1" applyFill="1" applyBorder="1" applyAlignment="1">
      <alignment horizontal="center"/>
    </xf>
    <xf numFmtId="168" fontId="14" fillId="5" borderId="10" xfId="569" applyNumberFormat="1" applyFill="1" applyBorder="1" applyAlignment="1" applyProtection="1">
      <alignment horizontal="center"/>
      <protection locked="0"/>
    </xf>
    <xf numFmtId="168" fontId="14" fillId="5" borderId="13" xfId="569" applyNumberFormat="1" applyFill="1" applyBorder="1" applyAlignment="1" applyProtection="1">
      <alignment horizontal="center"/>
      <protection locked="0"/>
    </xf>
    <xf numFmtId="0" fontId="20" fillId="3" borderId="2" xfId="569" applyFont="1" applyFill="1" applyBorder="1" applyAlignment="1">
      <alignment horizontal="center" vertical="center"/>
    </xf>
    <xf numFmtId="0" fontId="20" fillId="3" borderId="16" xfId="569" applyFont="1" applyFill="1" applyBorder="1" applyAlignment="1">
      <alignment horizontal="center" vertical="center"/>
    </xf>
    <xf numFmtId="168" fontId="14" fillId="0" borderId="7" xfId="569" applyNumberFormat="1" applyBorder="1" applyAlignment="1">
      <alignment horizontal="center"/>
    </xf>
    <xf numFmtId="168" fontId="14" fillId="0" borderId="15" xfId="569" applyNumberFormat="1" applyBorder="1" applyAlignment="1">
      <alignment horizontal="center"/>
    </xf>
    <xf numFmtId="0" fontId="21" fillId="0" borderId="3" xfId="569" applyFont="1" applyBorder="1" applyAlignment="1">
      <alignment horizontal="left"/>
    </xf>
    <xf numFmtId="0" fontId="21" fillId="0" borderId="5" xfId="569" applyFont="1" applyBorder="1" applyAlignment="1">
      <alignment horizontal="left"/>
    </xf>
    <xf numFmtId="0" fontId="22" fillId="0" borderId="4" xfId="569" applyFont="1" applyBorder="1" applyAlignment="1">
      <alignment horizontal="left"/>
    </xf>
    <xf numFmtId="0" fontId="22" fillId="0" borderId="5" xfId="569" applyFont="1" applyBorder="1" applyAlignment="1">
      <alignment horizontal="left"/>
    </xf>
    <xf numFmtId="179" fontId="21" fillId="0" borderId="0" xfId="569" applyNumberFormat="1" applyFont="1" applyAlignment="1">
      <alignment horizontal="center" wrapText="1"/>
    </xf>
    <xf numFmtId="164" fontId="21" fillId="0" borderId="0" xfId="569" applyNumberFormat="1" applyFont="1" applyAlignment="1">
      <alignment horizontal="center" wrapText="1"/>
    </xf>
    <xf numFmtId="0" fontId="14" fillId="0" borderId="3" xfId="569" applyBorder="1" applyAlignment="1">
      <alignment horizontal="right"/>
    </xf>
    <xf numFmtId="0" fontId="14" fillId="0" borderId="4" xfId="569" applyBorder="1" applyAlignment="1">
      <alignment horizontal="right"/>
    </xf>
    <xf numFmtId="0" fontId="14" fillId="0" borderId="5" xfId="569" applyBorder="1" applyAlignment="1">
      <alignment horizontal="right"/>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19" fillId="0" borderId="6" xfId="271" applyFont="1" applyBorder="1" applyAlignment="1">
      <alignment horizontal="center"/>
    </xf>
    <xf numFmtId="3" fontId="14" fillId="0" borderId="0" xfId="0" applyNumberFormat="1" applyFont="1" applyAlignment="1">
      <alignment horizontal="left" vertical="top" wrapText="1"/>
    </xf>
    <xf numFmtId="3" fontId="23" fillId="0" borderId="0" xfId="0" applyNumberFormat="1" applyFont="1" applyAlignment="1">
      <alignment horizontal="left" vertical="top" wrapText="1"/>
    </xf>
    <xf numFmtId="0" fontId="14" fillId="43" borderId="0" xfId="0" applyFont="1" applyFill="1" applyAlignment="1">
      <alignment horizontal="left"/>
    </xf>
  </cellXfs>
  <cellStyles count="17170">
    <cellStyle name="20% - Accent1" xfId="1" builtinId="30" customBuiltin="1"/>
    <cellStyle name="20% - Accent1 10" xfId="4505" xr:uid="{00000000-0005-0000-0000-000001000000}"/>
    <cellStyle name="20% - Accent1 10 2" xfId="12947" xr:uid="{6FE972AB-8963-41AD-8A1A-90777A5BF7A3}"/>
    <cellStyle name="20% - Accent1 11" xfId="8729" xr:uid="{64B6D08C-C55A-4B98-8159-B3454B9E97B8}"/>
    <cellStyle name="20% - Accent1 2" xfId="2" xr:uid="{00000000-0005-0000-0000-000002000000}"/>
    <cellStyle name="20% - Accent1 2 10" xfId="8730" xr:uid="{51E2D774-D12E-465B-899B-DEF53B37763B}"/>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2 2 2" xfId="15509" xr:uid="{53E9E43B-8CDD-494F-8101-33B910AC01A7}"/>
    <cellStyle name="20% - Accent1 2 2 2 2 2 3" xfId="11291" xr:uid="{0F8E4A19-1465-42D0-B609-28EDAB07DB08}"/>
    <cellStyle name="20% - Accent1 2 2 2 2 3" xfId="4922" xr:uid="{00000000-0005-0000-0000-000008000000}"/>
    <cellStyle name="20% - Accent1 2 2 2 2 3 2" xfId="13364" xr:uid="{DC7DA186-D3DB-47C8-BD66-9C61457C4FF4}"/>
    <cellStyle name="20% - Accent1 2 2 2 2 4" xfId="9146" xr:uid="{AC0B87E7-E9FD-41B0-93E5-844BD544C612}"/>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2 2 2" xfId="15922" xr:uid="{5B5C2038-A383-42DA-9165-9E80B116E063}"/>
    <cellStyle name="20% - Accent1 2 2 2 3 2 3" xfId="11704" xr:uid="{17C787DE-BF94-44F6-B94B-603197F02EC6}"/>
    <cellStyle name="20% - Accent1 2 2 2 3 3" xfId="5335" xr:uid="{00000000-0005-0000-0000-00000C000000}"/>
    <cellStyle name="20% - Accent1 2 2 2 3 3 2" xfId="13777" xr:uid="{42347740-AFDA-45A6-BC14-DDFCB54784D6}"/>
    <cellStyle name="20% - Accent1 2 2 2 3 4" xfId="9559" xr:uid="{FFDFAF82-B2C4-47B1-A994-B08090C5F164}"/>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2 2 2" xfId="16335" xr:uid="{6AA0C087-30C8-46BB-87B5-242FB0DB0E32}"/>
    <cellStyle name="20% - Accent1 2 2 2 4 2 3" xfId="12117" xr:uid="{8D8B9549-48B2-494D-B441-1352F2F1EDF3}"/>
    <cellStyle name="20% - Accent1 2 2 2 4 3" xfId="5748" xr:uid="{00000000-0005-0000-0000-000010000000}"/>
    <cellStyle name="20% - Accent1 2 2 2 4 3 2" xfId="14190" xr:uid="{C4433883-CAD6-4237-9708-095128120F37}"/>
    <cellStyle name="20% - Accent1 2 2 2 4 4" xfId="9972" xr:uid="{1CDF0803-72A9-4866-B001-3C7FE77E2B4D}"/>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2 2 2" xfId="16748" xr:uid="{5986C8A1-2F46-4C40-A0BF-55D5CEE98C80}"/>
    <cellStyle name="20% - Accent1 2 2 2 5 2 3" xfId="12530" xr:uid="{F0ACFC1B-3407-459A-AAD3-36CF908C9404}"/>
    <cellStyle name="20% - Accent1 2 2 2 5 3" xfId="6161" xr:uid="{00000000-0005-0000-0000-000014000000}"/>
    <cellStyle name="20% - Accent1 2 2 2 5 3 2" xfId="14603" xr:uid="{1ACA1636-F045-45B1-B0A0-4AC97EA4A114}"/>
    <cellStyle name="20% - Accent1 2 2 2 5 4" xfId="10385" xr:uid="{63D01E47-64E0-44D2-9DF6-CFB08555D522}"/>
    <cellStyle name="20% - Accent1 2 2 2 6" xfId="2267" xr:uid="{00000000-0005-0000-0000-000015000000}"/>
    <cellStyle name="20% - Accent1 2 2 2 6 2" xfId="6574" xr:uid="{00000000-0005-0000-0000-000016000000}"/>
    <cellStyle name="20% - Accent1 2 2 2 6 2 2" xfId="15016" xr:uid="{DC60E476-136E-4107-9E09-CBB8BC66D6BD}"/>
    <cellStyle name="20% - Accent1 2 2 2 6 3" xfId="10798" xr:uid="{8574B9D9-B91A-4E2D-8603-5AACF4FC6935}"/>
    <cellStyle name="20% - Accent1 2 2 2 7" xfId="4508" xr:uid="{00000000-0005-0000-0000-000017000000}"/>
    <cellStyle name="20% - Accent1 2 2 2 7 2" xfId="12950" xr:uid="{B3453045-3084-4272-BE42-27F79B190AE0}"/>
    <cellStyle name="20% - Accent1 2 2 2 8" xfId="8732" xr:uid="{88FE8548-C63A-4911-B73E-339B7957E6B7}"/>
    <cellStyle name="20% - Accent1 2 2 3" xfId="572" xr:uid="{00000000-0005-0000-0000-000018000000}"/>
    <cellStyle name="20% - Accent1 2 2 3 2" xfId="2843" xr:uid="{00000000-0005-0000-0000-000019000000}"/>
    <cellStyle name="20% - Accent1 2 2 3 2 2" xfId="7066" xr:uid="{00000000-0005-0000-0000-00001A000000}"/>
    <cellStyle name="20% - Accent1 2 2 3 2 2 2" xfId="15508" xr:uid="{B777EB69-D2E9-4987-B2DB-6320B6281168}"/>
    <cellStyle name="20% - Accent1 2 2 3 2 3" xfId="11290" xr:uid="{1B3768C5-1F23-435E-BDE5-F2EAD5A4731E}"/>
    <cellStyle name="20% - Accent1 2 2 3 3" xfId="4921" xr:uid="{00000000-0005-0000-0000-00001B000000}"/>
    <cellStyle name="20% - Accent1 2 2 3 3 2" xfId="13363" xr:uid="{8C860EF7-B752-4612-A109-B7444393C38E}"/>
    <cellStyle name="20% - Accent1 2 2 3 4" xfId="9145" xr:uid="{A7F26C2A-496A-45C4-A50C-BC70A2319832}"/>
    <cellStyle name="20% - Accent1 2 2 4" xfId="1025" xr:uid="{00000000-0005-0000-0000-00001C000000}"/>
    <cellStyle name="20% - Accent1 2 2 4 2" xfId="3256" xr:uid="{00000000-0005-0000-0000-00001D000000}"/>
    <cellStyle name="20% - Accent1 2 2 4 2 2" xfId="7479" xr:uid="{00000000-0005-0000-0000-00001E000000}"/>
    <cellStyle name="20% - Accent1 2 2 4 2 2 2" xfId="15921" xr:uid="{A0ACBCA4-696A-4907-897D-940B9A871BB4}"/>
    <cellStyle name="20% - Accent1 2 2 4 2 3" xfId="11703" xr:uid="{099AF228-A061-40B1-8A43-5006DFA31A91}"/>
    <cellStyle name="20% - Accent1 2 2 4 3" xfId="5334" xr:uid="{00000000-0005-0000-0000-00001F000000}"/>
    <cellStyle name="20% - Accent1 2 2 4 3 2" xfId="13776" xr:uid="{D753198F-77AB-4A69-B667-B2D8F668C119}"/>
    <cellStyle name="20% - Accent1 2 2 4 4" xfId="9558" xr:uid="{B5B24C83-4C8A-48C1-9E21-C42A74D6C770}"/>
    <cellStyle name="20% - Accent1 2 2 5" xfId="1439" xr:uid="{00000000-0005-0000-0000-000020000000}"/>
    <cellStyle name="20% - Accent1 2 2 5 2" xfId="3669" xr:uid="{00000000-0005-0000-0000-000021000000}"/>
    <cellStyle name="20% - Accent1 2 2 5 2 2" xfId="7892" xr:uid="{00000000-0005-0000-0000-000022000000}"/>
    <cellStyle name="20% - Accent1 2 2 5 2 2 2" xfId="16334" xr:uid="{30FC64EA-588F-4B9F-828C-E2406E0FFCE0}"/>
    <cellStyle name="20% - Accent1 2 2 5 2 3" xfId="12116" xr:uid="{D463D281-F7AB-409C-927B-03624773588F}"/>
    <cellStyle name="20% - Accent1 2 2 5 3" xfId="5747" xr:uid="{00000000-0005-0000-0000-000023000000}"/>
    <cellStyle name="20% - Accent1 2 2 5 3 2" xfId="14189" xr:uid="{39CD07C5-ED2A-4F4C-87DD-CA080086F025}"/>
    <cellStyle name="20% - Accent1 2 2 5 4" xfId="9971" xr:uid="{713A31B2-0080-4E70-BB7A-7030860CD92D}"/>
    <cellStyle name="20% - Accent1 2 2 6" xfId="1853" xr:uid="{00000000-0005-0000-0000-000024000000}"/>
    <cellStyle name="20% - Accent1 2 2 6 2" xfId="4082" xr:uid="{00000000-0005-0000-0000-000025000000}"/>
    <cellStyle name="20% - Accent1 2 2 6 2 2" xfId="8305" xr:uid="{00000000-0005-0000-0000-000026000000}"/>
    <cellStyle name="20% - Accent1 2 2 6 2 2 2" xfId="16747" xr:uid="{6C6A87C0-B13F-4FC4-9471-2E800DED5C80}"/>
    <cellStyle name="20% - Accent1 2 2 6 2 3" xfId="12529" xr:uid="{BC4223DC-6F5C-48E5-AA1E-54B60FFCA071}"/>
    <cellStyle name="20% - Accent1 2 2 6 3" xfId="6160" xr:uid="{00000000-0005-0000-0000-000027000000}"/>
    <cellStyle name="20% - Accent1 2 2 6 3 2" xfId="14602" xr:uid="{DD0980E7-49F0-460A-9B09-54DE92EB8931}"/>
    <cellStyle name="20% - Accent1 2 2 6 4" xfId="10384" xr:uid="{91DE4727-C93A-44F0-A398-65EB18AEAC95}"/>
    <cellStyle name="20% - Accent1 2 2 7" xfId="2266" xr:uid="{00000000-0005-0000-0000-000028000000}"/>
    <cellStyle name="20% - Accent1 2 2 7 2" xfId="6573" xr:uid="{00000000-0005-0000-0000-000029000000}"/>
    <cellStyle name="20% - Accent1 2 2 7 2 2" xfId="15015" xr:uid="{3965E03A-2B55-4496-AD3B-ED96A57EBA56}"/>
    <cellStyle name="20% - Accent1 2 2 7 3" xfId="10797" xr:uid="{4DC90572-66E4-455E-B9CC-7AB3AEC1791C}"/>
    <cellStyle name="20% - Accent1 2 2 8" xfId="4507" xr:uid="{00000000-0005-0000-0000-00002A000000}"/>
    <cellStyle name="20% - Accent1 2 2 8 2" xfId="12949" xr:uid="{B4F24861-D06C-4A6C-A691-C7AB7A28558C}"/>
    <cellStyle name="20% - Accent1 2 2 9" xfId="8731" xr:uid="{6416A0E4-3859-4749-90C6-055629FFDAAD}"/>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2 2 2" xfId="15510" xr:uid="{C7CDA42C-4A0E-4486-870E-9772E224BC6E}"/>
    <cellStyle name="20% - Accent1 2 3 2 2 3" xfId="11292" xr:uid="{156E2E2E-3CDD-4D6F-A083-EB455D79A370}"/>
    <cellStyle name="20% - Accent1 2 3 2 3" xfId="4923" xr:uid="{00000000-0005-0000-0000-00002F000000}"/>
    <cellStyle name="20% - Accent1 2 3 2 3 2" xfId="13365" xr:uid="{63A28AF0-2E0C-468E-A2DC-EF6306C4D363}"/>
    <cellStyle name="20% - Accent1 2 3 2 4" xfId="9147" xr:uid="{F7BB6F4B-77AE-455E-801E-25BCEE144AB9}"/>
    <cellStyle name="20% - Accent1 2 3 3" xfId="1027" xr:uid="{00000000-0005-0000-0000-000030000000}"/>
    <cellStyle name="20% - Accent1 2 3 3 2" xfId="3258" xr:uid="{00000000-0005-0000-0000-000031000000}"/>
    <cellStyle name="20% - Accent1 2 3 3 2 2" xfId="7481" xr:uid="{00000000-0005-0000-0000-000032000000}"/>
    <cellStyle name="20% - Accent1 2 3 3 2 2 2" xfId="15923" xr:uid="{5E80DBAE-2B6A-4D70-AE8F-44FF05E0DB3C}"/>
    <cellStyle name="20% - Accent1 2 3 3 2 3" xfId="11705" xr:uid="{E7A0BBA5-FC7D-453B-A6CC-1CB22FC22042}"/>
    <cellStyle name="20% - Accent1 2 3 3 3" xfId="5336" xr:uid="{00000000-0005-0000-0000-000033000000}"/>
    <cellStyle name="20% - Accent1 2 3 3 3 2" xfId="13778" xr:uid="{C6D8BE84-92B8-4548-AF05-D73FD6C296B6}"/>
    <cellStyle name="20% - Accent1 2 3 3 4" xfId="9560" xr:uid="{C21C62B3-29A9-4959-BB97-078D2FAB80AB}"/>
    <cellStyle name="20% - Accent1 2 3 4" xfId="1441" xr:uid="{00000000-0005-0000-0000-000034000000}"/>
    <cellStyle name="20% - Accent1 2 3 4 2" xfId="3671" xr:uid="{00000000-0005-0000-0000-000035000000}"/>
    <cellStyle name="20% - Accent1 2 3 4 2 2" xfId="7894" xr:uid="{00000000-0005-0000-0000-000036000000}"/>
    <cellStyle name="20% - Accent1 2 3 4 2 2 2" xfId="16336" xr:uid="{DBDCC1FE-A149-454E-829C-4942CB7DFF70}"/>
    <cellStyle name="20% - Accent1 2 3 4 2 3" xfId="12118" xr:uid="{660581E0-1517-49BE-9B06-1EDAB213339E}"/>
    <cellStyle name="20% - Accent1 2 3 4 3" xfId="5749" xr:uid="{00000000-0005-0000-0000-000037000000}"/>
    <cellStyle name="20% - Accent1 2 3 4 3 2" xfId="14191" xr:uid="{999C105B-019F-4F11-A3F3-C2281410FCB1}"/>
    <cellStyle name="20% - Accent1 2 3 4 4" xfId="9973" xr:uid="{82A7161E-1CAD-4D03-965B-D5F9F7672ED0}"/>
    <cellStyle name="20% - Accent1 2 3 5" xfId="1855" xr:uid="{00000000-0005-0000-0000-000038000000}"/>
    <cellStyle name="20% - Accent1 2 3 5 2" xfId="4084" xr:uid="{00000000-0005-0000-0000-000039000000}"/>
    <cellStyle name="20% - Accent1 2 3 5 2 2" xfId="8307" xr:uid="{00000000-0005-0000-0000-00003A000000}"/>
    <cellStyle name="20% - Accent1 2 3 5 2 2 2" xfId="16749" xr:uid="{D04EECB0-8CC7-4FE3-947B-D81F06D26D42}"/>
    <cellStyle name="20% - Accent1 2 3 5 2 3" xfId="12531" xr:uid="{B3D43904-9EE5-4A47-B2A1-2E67F2C91A89}"/>
    <cellStyle name="20% - Accent1 2 3 5 3" xfId="6162" xr:uid="{00000000-0005-0000-0000-00003B000000}"/>
    <cellStyle name="20% - Accent1 2 3 5 3 2" xfId="14604" xr:uid="{E29B6402-68D1-4B69-95B7-C9AD7B7FD3C1}"/>
    <cellStyle name="20% - Accent1 2 3 5 4" xfId="10386" xr:uid="{267C12F6-062E-4BFF-AB10-569D85BCD686}"/>
    <cellStyle name="20% - Accent1 2 3 6" xfId="2268" xr:uid="{00000000-0005-0000-0000-00003C000000}"/>
    <cellStyle name="20% - Accent1 2 3 6 2" xfId="6575" xr:uid="{00000000-0005-0000-0000-00003D000000}"/>
    <cellStyle name="20% - Accent1 2 3 6 2 2" xfId="15017" xr:uid="{74932BE9-3717-4F43-BECA-DE559B9A2A61}"/>
    <cellStyle name="20% - Accent1 2 3 6 3" xfId="10799" xr:uid="{76781B0C-91F9-429B-A54D-4B62CBC92509}"/>
    <cellStyle name="20% - Accent1 2 3 7" xfId="4509" xr:uid="{00000000-0005-0000-0000-00003E000000}"/>
    <cellStyle name="20% - Accent1 2 3 7 2" xfId="12951" xr:uid="{9937634F-DC0B-46F7-8281-B0D6D62D05DE}"/>
    <cellStyle name="20% - Accent1 2 3 8" xfId="8733" xr:uid="{1CF7516B-FED4-4827-8C1B-43C6047641C4}"/>
    <cellStyle name="20% - Accent1 2 4" xfId="571" xr:uid="{00000000-0005-0000-0000-00003F000000}"/>
    <cellStyle name="20% - Accent1 2 4 2" xfId="2842" xr:uid="{00000000-0005-0000-0000-000040000000}"/>
    <cellStyle name="20% - Accent1 2 4 2 2" xfId="7065" xr:uid="{00000000-0005-0000-0000-000041000000}"/>
    <cellStyle name="20% - Accent1 2 4 2 2 2" xfId="15507" xr:uid="{C45FCCB5-9560-433E-9257-929FF19F9077}"/>
    <cellStyle name="20% - Accent1 2 4 2 3" xfId="11289" xr:uid="{B259E23B-0485-4FDD-AE8B-69C3539FE992}"/>
    <cellStyle name="20% - Accent1 2 4 3" xfId="4920" xr:uid="{00000000-0005-0000-0000-000042000000}"/>
    <cellStyle name="20% - Accent1 2 4 3 2" xfId="13362" xr:uid="{6199F5D1-3594-45AC-A0F3-9F2F5C5954CF}"/>
    <cellStyle name="20% - Accent1 2 4 4" xfId="9144" xr:uid="{3A13D335-C1EF-419B-935A-EB1FEDD6F930}"/>
    <cellStyle name="20% - Accent1 2 5" xfId="1024" xr:uid="{00000000-0005-0000-0000-000043000000}"/>
    <cellStyle name="20% - Accent1 2 5 2" xfId="3255" xr:uid="{00000000-0005-0000-0000-000044000000}"/>
    <cellStyle name="20% - Accent1 2 5 2 2" xfId="7478" xr:uid="{00000000-0005-0000-0000-000045000000}"/>
    <cellStyle name="20% - Accent1 2 5 2 2 2" xfId="15920" xr:uid="{255AA703-5674-491A-AA6B-88B154048392}"/>
    <cellStyle name="20% - Accent1 2 5 2 3" xfId="11702" xr:uid="{3F04A067-DEC3-42C2-BB86-761B79C10008}"/>
    <cellStyle name="20% - Accent1 2 5 3" xfId="5333" xr:uid="{00000000-0005-0000-0000-000046000000}"/>
    <cellStyle name="20% - Accent1 2 5 3 2" xfId="13775" xr:uid="{B6856D9B-81B2-4346-A132-0536113E26CC}"/>
    <cellStyle name="20% - Accent1 2 5 4" xfId="9557" xr:uid="{4FC93ADE-838E-4248-82DE-C32773729C6E}"/>
    <cellStyle name="20% - Accent1 2 6" xfId="1438" xr:uid="{00000000-0005-0000-0000-000047000000}"/>
    <cellStyle name="20% - Accent1 2 6 2" xfId="3668" xr:uid="{00000000-0005-0000-0000-000048000000}"/>
    <cellStyle name="20% - Accent1 2 6 2 2" xfId="7891" xr:uid="{00000000-0005-0000-0000-000049000000}"/>
    <cellStyle name="20% - Accent1 2 6 2 2 2" xfId="16333" xr:uid="{DF5A517C-A0A9-422D-9BC7-F3C09EB8FD20}"/>
    <cellStyle name="20% - Accent1 2 6 2 3" xfId="12115" xr:uid="{746E3B4B-BA73-4719-A3C8-F146421E11EB}"/>
    <cellStyle name="20% - Accent1 2 6 3" xfId="5746" xr:uid="{00000000-0005-0000-0000-00004A000000}"/>
    <cellStyle name="20% - Accent1 2 6 3 2" xfId="14188" xr:uid="{0E819B11-D3B0-4B66-A660-7EF170EFFDE1}"/>
    <cellStyle name="20% - Accent1 2 6 4" xfId="9970" xr:uid="{1021E715-246C-4EEA-899C-BD5D89F0D317}"/>
    <cellStyle name="20% - Accent1 2 7" xfId="1852" xr:uid="{00000000-0005-0000-0000-00004B000000}"/>
    <cellStyle name="20% - Accent1 2 7 2" xfId="4081" xr:uid="{00000000-0005-0000-0000-00004C000000}"/>
    <cellStyle name="20% - Accent1 2 7 2 2" xfId="8304" xr:uid="{00000000-0005-0000-0000-00004D000000}"/>
    <cellStyle name="20% - Accent1 2 7 2 2 2" xfId="16746" xr:uid="{D14A8BE8-6A13-4881-8731-8D9AA938202A}"/>
    <cellStyle name="20% - Accent1 2 7 2 3" xfId="12528" xr:uid="{EE0215CA-C335-47FA-8522-96B98977BC40}"/>
    <cellStyle name="20% - Accent1 2 7 3" xfId="6159" xr:uid="{00000000-0005-0000-0000-00004E000000}"/>
    <cellStyle name="20% - Accent1 2 7 3 2" xfId="14601" xr:uid="{CF882C09-7AAA-4121-933D-046A9B3761CA}"/>
    <cellStyle name="20% - Accent1 2 7 4" xfId="10383" xr:uid="{833E98E7-4993-4B1D-8C0D-D7BD814766D1}"/>
    <cellStyle name="20% - Accent1 2 8" xfId="2265" xr:uid="{00000000-0005-0000-0000-00004F000000}"/>
    <cellStyle name="20% - Accent1 2 8 2" xfId="6572" xr:uid="{00000000-0005-0000-0000-000050000000}"/>
    <cellStyle name="20% - Accent1 2 8 2 2" xfId="15014" xr:uid="{75636608-05AA-47F3-854E-230BE0802BD5}"/>
    <cellStyle name="20% - Accent1 2 8 3" xfId="10796" xr:uid="{99063C3F-736C-4E2A-8A1B-53A683342F60}"/>
    <cellStyle name="20% - Accent1 2 9" xfId="4506" xr:uid="{00000000-0005-0000-0000-000051000000}"/>
    <cellStyle name="20% - Accent1 2 9 2" xfId="12948" xr:uid="{6A2CCF7E-1829-48CE-A10E-33FAFD3D549D}"/>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2 2 2" xfId="15512" xr:uid="{103169A3-5283-4490-8AAF-5DE0B66E875A}"/>
    <cellStyle name="20% - Accent1 3 2 2 2 3" xfId="11294" xr:uid="{776623AF-B8E1-42AA-9111-2A630337C61D}"/>
    <cellStyle name="20% - Accent1 3 2 2 3" xfId="4925" xr:uid="{00000000-0005-0000-0000-000057000000}"/>
    <cellStyle name="20% - Accent1 3 2 2 3 2" xfId="13367" xr:uid="{4081D89D-70B7-4C8D-92E6-902FF4CB0211}"/>
    <cellStyle name="20% - Accent1 3 2 2 4" xfId="9149" xr:uid="{305E6F66-F184-4DC4-B2B0-1434B84016B5}"/>
    <cellStyle name="20% - Accent1 3 2 3" xfId="1029" xr:uid="{00000000-0005-0000-0000-000058000000}"/>
    <cellStyle name="20% - Accent1 3 2 3 2" xfId="3260" xr:uid="{00000000-0005-0000-0000-000059000000}"/>
    <cellStyle name="20% - Accent1 3 2 3 2 2" xfId="7483" xr:uid="{00000000-0005-0000-0000-00005A000000}"/>
    <cellStyle name="20% - Accent1 3 2 3 2 2 2" xfId="15925" xr:uid="{7D627EC2-9E21-4795-A8AA-C94298CA478F}"/>
    <cellStyle name="20% - Accent1 3 2 3 2 3" xfId="11707" xr:uid="{E2A330B6-2AA0-4FA6-99B7-7CCB40148710}"/>
    <cellStyle name="20% - Accent1 3 2 3 3" xfId="5338" xr:uid="{00000000-0005-0000-0000-00005B000000}"/>
    <cellStyle name="20% - Accent1 3 2 3 3 2" xfId="13780" xr:uid="{027D8D9B-0E09-4898-B35B-C400E42B6208}"/>
    <cellStyle name="20% - Accent1 3 2 3 4" xfId="9562" xr:uid="{918755B3-C1D7-4A4E-9B24-99FDF2CBA100}"/>
    <cellStyle name="20% - Accent1 3 2 4" xfId="1443" xr:uid="{00000000-0005-0000-0000-00005C000000}"/>
    <cellStyle name="20% - Accent1 3 2 4 2" xfId="3673" xr:uid="{00000000-0005-0000-0000-00005D000000}"/>
    <cellStyle name="20% - Accent1 3 2 4 2 2" xfId="7896" xr:uid="{00000000-0005-0000-0000-00005E000000}"/>
    <cellStyle name="20% - Accent1 3 2 4 2 2 2" xfId="16338" xr:uid="{B4FE335A-8459-4A05-945B-525662764C42}"/>
    <cellStyle name="20% - Accent1 3 2 4 2 3" xfId="12120" xr:uid="{CCCB55C8-7228-44E5-93B6-BDC57CF0AD41}"/>
    <cellStyle name="20% - Accent1 3 2 4 3" xfId="5751" xr:uid="{00000000-0005-0000-0000-00005F000000}"/>
    <cellStyle name="20% - Accent1 3 2 4 3 2" xfId="14193" xr:uid="{1B83F1FF-A599-414C-91FF-49CF500F95C5}"/>
    <cellStyle name="20% - Accent1 3 2 4 4" xfId="9975" xr:uid="{51E7E19D-C2B6-4016-A83C-19F703C96F0C}"/>
    <cellStyle name="20% - Accent1 3 2 5" xfId="1857" xr:uid="{00000000-0005-0000-0000-000060000000}"/>
    <cellStyle name="20% - Accent1 3 2 5 2" xfId="4086" xr:uid="{00000000-0005-0000-0000-000061000000}"/>
    <cellStyle name="20% - Accent1 3 2 5 2 2" xfId="8309" xr:uid="{00000000-0005-0000-0000-000062000000}"/>
    <cellStyle name="20% - Accent1 3 2 5 2 2 2" xfId="16751" xr:uid="{20582845-9750-4133-90D5-1A384CBDD3D6}"/>
    <cellStyle name="20% - Accent1 3 2 5 2 3" xfId="12533" xr:uid="{EDF2F19E-D018-4EE9-A1B9-557ACB4178B5}"/>
    <cellStyle name="20% - Accent1 3 2 5 3" xfId="6164" xr:uid="{00000000-0005-0000-0000-000063000000}"/>
    <cellStyle name="20% - Accent1 3 2 5 3 2" xfId="14606" xr:uid="{C5969A11-3418-4A25-9D9D-A48B8C2ABEC1}"/>
    <cellStyle name="20% - Accent1 3 2 5 4" xfId="10388" xr:uid="{CF7A3E39-1CE1-4503-A378-C638419D814B}"/>
    <cellStyle name="20% - Accent1 3 2 6" xfId="2270" xr:uid="{00000000-0005-0000-0000-000064000000}"/>
    <cellStyle name="20% - Accent1 3 2 6 2" xfId="6577" xr:uid="{00000000-0005-0000-0000-000065000000}"/>
    <cellStyle name="20% - Accent1 3 2 6 2 2" xfId="15019" xr:uid="{0BC09772-34FA-45FD-980B-5CC5C9790C7E}"/>
    <cellStyle name="20% - Accent1 3 2 6 3" xfId="10801" xr:uid="{DCC17D5B-DEC7-4901-9FFB-B90CEEE0F822}"/>
    <cellStyle name="20% - Accent1 3 2 7" xfId="4511" xr:uid="{00000000-0005-0000-0000-000066000000}"/>
    <cellStyle name="20% - Accent1 3 2 7 2" xfId="12953" xr:uid="{3D54630E-F6EA-43EA-91B7-99EB0A65D75C}"/>
    <cellStyle name="20% - Accent1 3 2 8" xfId="8735" xr:uid="{7DBAAA4B-166F-49E3-A624-B98BDBCD85E4}"/>
    <cellStyle name="20% - Accent1 3 3" xfId="575" xr:uid="{00000000-0005-0000-0000-000067000000}"/>
    <cellStyle name="20% - Accent1 3 3 2" xfId="2846" xr:uid="{00000000-0005-0000-0000-000068000000}"/>
    <cellStyle name="20% - Accent1 3 3 2 2" xfId="7069" xr:uid="{00000000-0005-0000-0000-000069000000}"/>
    <cellStyle name="20% - Accent1 3 3 2 2 2" xfId="15511" xr:uid="{1EDD510C-2471-4C10-B973-B614D04E1563}"/>
    <cellStyle name="20% - Accent1 3 3 2 3" xfId="11293" xr:uid="{D1BCF57D-C057-406F-937C-A6E1E7718859}"/>
    <cellStyle name="20% - Accent1 3 3 3" xfId="4924" xr:uid="{00000000-0005-0000-0000-00006A000000}"/>
    <cellStyle name="20% - Accent1 3 3 3 2" xfId="13366" xr:uid="{CF8FF2C9-36A9-4903-AF1E-2CF347A43D65}"/>
    <cellStyle name="20% - Accent1 3 3 4" xfId="9148" xr:uid="{720CAB8A-6D26-4680-8AB7-C74C3AA916C4}"/>
    <cellStyle name="20% - Accent1 3 4" xfId="1028" xr:uid="{00000000-0005-0000-0000-00006B000000}"/>
    <cellStyle name="20% - Accent1 3 4 2" xfId="3259" xr:uid="{00000000-0005-0000-0000-00006C000000}"/>
    <cellStyle name="20% - Accent1 3 4 2 2" xfId="7482" xr:uid="{00000000-0005-0000-0000-00006D000000}"/>
    <cellStyle name="20% - Accent1 3 4 2 2 2" xfId="15924" xr:uid="{52D874FB-8077-4616-8173-FD3269A4E337}"/>
    <cellStyle name="20% - Accent1 3 4 2 3" xfId="11706" xr:uid="{388D91EB-0A05-4809-87A2-3FBE9D4BC67E}"/>
    <cellStyle name="20% - Accent1 3 4 3" xfId="5337" xr:uid="{00000000-0005-0000-0000-00006E000000}"/>
    <cellStyle name="20% - Accent1 3 4 3 2" xfId="13779" xr:uid="{CFA1E333-5CB3-45FF-80FC-58985A3891B0}"/>
    <cellStyle name="20% - Accent1 3 4 4" xfId="9561" xr:uid="{7ECFE2FB-0017-4559-8122-1C048B63BE93}"/>
    <cellStyle name="20% - Accent1 3 5" xfId="1442" xr:uid="{00000000-0005-0000-0000-00006F000000}"/>
    <cellStyle name="20% - Accent1 3 5 2" xfId="3672" xr:uid="{00000000-0005-0000-0000-000070000000}"/>
    <cellStyle name="20% - Accent1 3 5 2 2" xfId="7895" xr:uid="{00000000-0005-0000-0000-000071000000}"/>
    <cellStyle name="20% - Accent1 3 5 2 2 2" xfId="16337" xr:uid="{A2BBD59D-8C93-474A-8321-D225DB692BB3}"/>
    <cellStyle name="20% - Accent1 3 5 2 3" xfId="12119" xr:uid="{14FB6B82-8C98-473C-ABB2-53E2725C397C}"/>
    <cellStyle name="20% - Accent1 3 5 3" xfId="5750" xr:uid="{00000000-0005-0000-0000-000072000000}"/>
    <cellStyle name="20% - Accent1 3 5 3 2" xfId="14192" xr:uid="{08C72ED7-DECA-495B-8820-5FF1E0ED1947}"/>
    <cellStyle name="20% - Accent1 3 5 4" xfId="9974" xr:uid="{A132AF60-0766-41E2-BB8A-D316ED2A15D9}"/>
    <cellStyle name="20% - Accent1 3 6" xfId="1856" xr:uid="{00000000-0005-0000-0000-000073000000}"/>
    <cellStyle name="20% - Accent1 3 6 2" xfId="4085" xr:uid="{00000000-0005-0000-0000-000074000000}"/>
    <cellStyle name="20% - Accent1 3 6 2 2" xfId="8308" xr:uid="{00000000-0005-0000-0000-000075000000}"/>
    <cellStyle name="20% - Accent1 3 6 2 2 2" xfId="16750" xr:uid="{D30A1664-4B49-4309-A024-CB7A8F899C94}"/>
    <cellStyle name="20% - Accent1 3 6 2 3" xfId="12532" xr:uid="{2DF7F19E-2B28-4165-BDD6-EA327BAC05CE}"/>
    <cellStyle name="20% - Accent1 3 6 3" xfId="6163" xr:uid="{00000000-0005-0000-0000-000076000000}"/>
    <cellStyle name="20% - Accent1 3 6 3 2" xfId="14605" xr:uid="{148BE97A-DE8B-4837-B648-F4FE5E98CF1A}"/>
    <cellStyle name="20% - Accent1 3 6 4" xfId="10387" xr:uid="{C7FBB405-68B0-4373-AC3E-BD4E3D630136}"/>
    <cellStyle name="20% - Accent1 3 7" xfId="2269" xr:uid="{00000000-0005-0000-0000-000077000000}"/>
    <cellStyle name="20% - Accent1 3 7 2" xfId="6576" xr:uid="{00000000-0005-0000-0000-000078000000}"/>
    <cellStyle name="20% - Accent1 3 7 2 2" xfId="15018" xr:uid="{40860B3C-A847-41B1-AAA2-EAD38C9B394B}"/>
    <cellStyle name="20% - Accent1 3 7 3" xfId="10800" xr:uid="{C8BE18D0-6A24-4553-8869-D934699759DD}"/>
    <cellStyle name="20% - Accent1 3 8" xfId="4510" xr:uid="{00000000-0005-0000-0000-000079000000}"/>
    <cellStyle name="20% - Accent1 3 8 2" xfId="12952" xr:uid="{2DFC050A-6A38-4566-B560-22BD62D5F3C5}"/>
    <cellStyle name="20% - Accent1 3 9" xfId="8734" xr:uid="{A8E0DC1F-A71B-4487-A78B-1CA02AF5C6A7}"/>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2 2 2" xfId="15513" xr:uid="{E26C2F3E-6655-4ADD-A156-29AF3501DA0F}"/>
    <cellStyle name="20% - Accent1 4 2 2 3" xfId="11295" xr:uid="{79E65671-6BBA-43FA-96F7-BA445B99488E}"/>
    <cellStyle name="20% - Accent1 4 2 3" xfId="4926" xr:uid="{00000000-0005-0000-0000-00007E000000}"/>
    <cellStyle name="20% - Accent1 4 2 3 2" xfId="13368" xr:uid="{449A16FF-56FE-482A-9EA6-6E5A307B1DDD}"/>
    <cellStyle name="20% - Accent1 4 2 4" xfId="9150" xr:uid="{EF43E43D-93EC-4198-A42C-EF351377E491}"/>
    <cellStyle name="20% - Accent1 4 3" xfId="1030" xr:uid="{00000000-0005-0000-0000-00007F000000}"/>
    <cellStyle name="20% - Accent1 4 3 2" xfId="3261" xr:uid="{00000000-0005-0000-0000-000080000000}"/>
    <cellStyle name="20% - Accent1 4 3 2 2" xfId="7484" xr:uid="{00000000-0005-0000-0000-000081000000}"/>
    <cellStyle name="20% - Accent1 4 3 2 2 2" xfId="15926" xr:uid="{A7BFD83E-64DB-4A01-8902-8FFCB4D8A518}"/>
    <cellStyle name="20% - Accent1 4 3 2 3" xfId="11708" xr:uid="{B8102DDB-F657-4AA7-BFF2-2E88546EB276}"/>
    <cellStyle name="20% - Accent1 4 3 3" xfId="5339" xr:uid="{00000000-0005-0000-0000-000082000000}"/>
    <cellStyle name="20% - Accent1 4 3 3 2" xfId="13781" xr:uid="{33E8000F-ED95-4B2A-A6E6-71D554117BC4}"/>
    <cellStyle name="20% - Accent1 4 3 4" xfId="9563" xr:uid="{7934AD32-526C-4FCD-97E3-BAF7F888F262}"/>
    <cellStyle name="20% - Accent1 4 4" xfId="1444" xr:uid="{00000000-0005-0000-0000-000083000000}"/>
    <cellStyle name="20% - Accent1 4 4 2" xfId="3674" xr:uid="{00000000-0005-0000-0000-000084000000}"/>
    <cellStyle name="20% - Accent1 4 4 2 2" xfId="7897" xr:uid="{00000000-0005-0000-0000-000085000000}"/>
    <cellStyle name="20% - Accent1 4 4 2 2 2" xfId="16339" xr:uid="{D0D0E2F0-CD28-44EB-8C4B-FC775ED6C689}"/>
    <cellStyle name="20% - Accent1 4 4 2 3" xfId="12121" xr:uid="{940250C8-CE46-49BF-971B-FE836722AAF3}"/>
    <cellStyle name="20% - Accent1 4 4 3" xfId="5752" xr:uid="{00000000-0005-0000-0000-000086000000}"/>
    <cellStyle name="20% - Accent1 4 4 3 2" xfId="14194" xr:uid="{AE71D479-7C2A-423C-A341-EDE970D181CA}"/>
    <cellStyle name="20% - Accent1 4 4 4" xfId="9976" xr:uid="{2FAE8C43-DD3E-4E20-BCFE-2055A7DC1B4F}"/>
    <cellStyle name="20% - Accent1 4 5" xfId="1858" xr:uid="{00000000-0005-0000-0000-000087000000}"/>
    <cellStyle name="20% - Accent1 4 5 2" xfId="4087" xr:uid="{00000000-0005-0000-0000-000088000000}"/>
    <cellStyle name="20% - Accent1 4 5 2 2" xfId="8310" xr:uid="{00000000-0005-0000-0000-000089000000}"/>
    <cellStyle name="20% - Accent1 4 5 2 2 2" xfId="16752" xr:uid="{C33C63DC-3DCA-4338-B5E2-F7D40FDC8D84}"/>
    <cellStyle name="20% - Accent1 4 5 2 3" xfId="12534" xr:uid="{904B1A9C-FADC-4563-9D58-B165F9FF785F}"/>
    <cellStyle name="20% - Accent1 4 5 3" xfId="6165" xr:uid="{00000000-0005-0000-0000-00008A000000}"/>
    <cellStyle name="20% - Accent1 4 5 3 2" xfId="14607" xr:uid="{79075B4B-A580-484C-803B-0BE9B3F6FE0A}"/>
    <cellStyle name="20% - Accent1 4 5 4" xfId="10389" xr:uid="{ADFD9275-AC12-498B-A0D7-B92414F0C01D}"/>
    <cellStyle name="20% - Accent1 4 6" xfId="2271" xr:uid="{00000000-0005-0000-0000-00008B000000}"/>
    <cellStyle name="20% - Accent1 4 6 2" xfId="6578" xr:uid="{00000000-0005-0000-0000-00008C000000}"/>
    <cellStyle name="20% - Accent1 4 6 2 2" xfId="15020" xr:uid="{5D1FE75D-A353-435D-A09C-0ECEA5467CAD}"/>
    <cellStyle name="20% - Accent1 4 6 3" xfId="10802" xr:uid="{3D2639FC-7D23-4047-9A8E-7C3368AA115E}"/>
    <cellStyle name="20% - Accent1 4 7" xfId="4512" xr:uid="{00000000-0005-0000-0000-00008D000000}"/>
    <cellStyle name="20% - Accent1 4 7 2" xfId="12954" xr:uid="{D7310212-46D9-4E98-9643-279B37968229}"/>
    <cellStyle name="20% - Accent1 4 8" xfId="8736" xr:uid="{13879481-7244-463E-BE27-F56484F7C21F}"/>
    <cellStyle name="20% - Accent1 5" xfId="570" xr:uid="{00000000-0005-0000-0000-00008E000000}"/>
    <cellStyle name="20% - Accent1 5 2" xfId="2841" xr:uid="{00000000-0005-0000-0000-00008F000000}"/>
    <cellStyle name="20% - Accent1 5 2 2" xfId="7064" xr:uid="{00000000-0005-0000-0000-000090000000}"/>
    <cellStyle name="20% - Accent1 5 2 2 2" xfId="15506" xr:uid="{491E656F-D4FB-404D-B202-7BB46F6C86AB}"/>
    <cellStyle name="20% - Accent1 5 2 3" xfId="11288" xr:uid="{771DD267-9B21-4F6B-B18F-9B93B328B9C6}"/>
    <cellStyle name="20% - Accent1 5 3" xfId="4919" xr:uid="{00000000-0005-0000-0000-000091000000}"/>
    <cellStyle name="20% - Accent1 5 3 2" xfId="13361" xr:uid="{FE037A57-FEE9-4A1D-A29E-5EC74DB9D44A}"/>
    <cellStyle name="20% - Accent1 5 4" xfId="9143" xr:uid="{52E57F7A-CEED-4972-8F4A-05D967D0E2B7}"/>
    <cellStyle name="20% - Accent1 6" xfId="1023" xr:uid="{00000000-0005-0000-0000-000092000000}"/>
    <cellStyle name="20% - Accent1 6 2" xfId="3254" xr:uid="{00000000-0005-0000-0000-000093000000}"/>
    <cellStyle name="20% - Accent1 6 2 2" xfId="7477" xr:uid="{00000000-0005-0000-0000-000094000000}"/>
    <cellStyle name="20% - Accent1 6 2 2 2" xfId="15919" xr:uid="{4508A397-C96C-44AD-8598-1B845CF11EC7}"/>
    <cellStyle name="20% - Accent1 6 2 3" xfId="11701" xr:uid="{1DD6E503-7D02-4EEA-8EA3-968E7902B23A}"/>
    <cellStyle name="20% - Accent1 6 3" xfId="5332" xr:uid="{00000000-0005-0000-0000-000095000000}"/>
    <cellStyle name="20% - Accent1 6 3 2" xfId="13774" xr:uid="{53BF7DCA-5A7F-43AC-815D-FEB186BBC04D}"/>
    <cellStyle name="20% - Accent1 6 4" xfId="9556" xr:uid="{D473EE6A-B6A0-4FFE-9BB7-1EEB8E15B2F0}"/>
    <cellStyle name="20% - Accent1 7" xfId="1437" xr:uid="{00000000-0005-0000-0000-000096000000}"/>
    <cellStyle name="20% - Accent1 7 2" xfId="3667" xr:uid="{00000000-0005-0000-0000-000097000000}"/>
    <cellStyle name="20% - Accent1 7 2 2" xfId="7890" xr:uid="{00000000-0005-0000-0000-000098000000}"/>
    <cellStyle name="20% - Accent1 7 2 2 2" xfId="16332" xr:uid="{4F878B52-ECB6-4E65-9AD6-228ADB9280BE}"/>
    <cellStyle name="20% - Accent1 7 2 3" xfId="12114" xr:uid="{A8EACFE4-F3E8-41E1-8225-B8EE0900182B}"/>
    <cellStyle name="20% - Accent1 7 3" xfId="5745" xr:uid="{00000000-0005-0000-0000-000099000000}"/>
    <cellStyle name="20% - Accent1 7 3 2" xfId="14187" xr:uid="{5C8EE712-5934-4ABB-9295-F6AC16972059}"/>
    <cellStyle name="20% - Accent1 7 4" xfId="9969" xr:uid="{22813530-FB33-49CB-9D2B-09A59F865DB1}"/>
    <cellStyle name="20% - Accent1 8" xfId="1851" xr:uid="{00000000-0005-0000-0000-00009A000000}"/>
    <cellStyle name="20% - Accent1 8 2" xfId="4080" xr:uid="{00000000-0005-0000-0000-00009B000000}"/>
    <cellStyle name="20% - Accent1 8 2 2" xfId="8303" xr:uid="{00000000-0005-0000-0000-00009C000000}"/>
    <cellStyle name="20% - Accent1 8 2 2 2" xfId="16745" xr:uid="{7342E49A-3C84-4DA8-AFB9-1281FF5CD3C8}"/>
    <cellStyle name="20% - Accent1 8 2 3" xfId="12527" xr:uid="{FE82FBE7-3039-47A3-8107-737EF3A68E49}"/>
    <cellStyle name="20% - Accent1 8 3" xfId="6158" xr:uid="{00000000-0005-0000-0000-00009D000000}"/>
    <cellStyle name="20% - Accent1 8 3 2" xfId="14600" xr:uid="{BEB26734-893D-4CFF-B6FA-9F68BE7D9F0E}"/>
    <cellStyle name="20% - Accent1 8 4" xfId="10382" xr:uid="{F57B7BD9-6254-4144-86FB-AC409763B2B4}"/>
    <cellStyle name="20% - Accent1 9" xfId="2264" xr:uid="{00000000-0005-0000-0000-00009E000000}"/>
    <cellStyle name="20% - Accent1 9 2" xfId="6571" xr:uid="{00000000-0005-0000-0000-00009F000000}"/>
    <cellStyle name="20% - Accent1 9 2 2" xfId="15013" xr:uid="{EFCC2B2C-3EBE-4932-B8F1-762D5D8B204A}"/>
    <cellStyle name="20% - Accent1 9 3" xfId="10795" xr:uid="{AB373619-39A0-45EE-B0BB-4F0BC714294C}"/>
    <cellStyle name="20% - Accent2" xfId="9" builtinId="34" customBuiltin="1"/>
    <cellStyle name="20% - Accent2 10" xfId="4513" xr:uid="{00000000-0005-0000-0000-0000A1000000}"/>
    <cellStyle name="20% - Accent2 10 2" xfId="12955" xr:uid="{D36B6D8E-E630-4BDE-AD71-B7A72D29A16C}"/>
    <cellStyle name="20% - Accent2 11" xfId="8737" xr:uid="{2CDD467B-C91C-42E6-A004-C4932324194E}"/>
    <cellStyle name="20% - Accent2 2" xfId="10" xr:uid="{00000000-0005-0000-0000-0000A2000000}"/>
    <cellStyle name="20% - Accent2 2 10" xfId="8738" xr:uid="{63AFEA76-9689-422C-86F5-CD55FF20AEEE}"/>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2 2 2" xfId="15517" xr:uid="{4EF1BC1C-485D-45B1-8481-EF5F499DE706}"/>
    <cellStyle name="20% - Accent2 2 2 2 2 2 3" xfId="11299" xr:uid="{394B6E05-7E6F-46A8-BE39-50D1AFDFFB85}"/>
    <cellStyle name="20% - Accent2 2 2 2 2 3" xfId="4930" xr:uid="{00000000-0005-0000-0000-0000A8000000}"/>
    <cellStyle name="20% - Accent2 2 2 2 2 3 2" xfId="13372" xr:uid="{B69E4EDD-5A2D-4361-BDB8-DA14946CEF8D}"/>
    <cellStyle name="20% - Accent2 2 2 2 2 4" xfId="9154" xr:uid="{ACC85215-A06D-48C9-B3F4-73DBAA26555E}"/>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2 2 2" xfId="15930" xr:uid="{97872B80-A0B6-4353-BAB7-F2EA6F467367}"/>
    <cellStyle name="20% - Accent2 2 2 2 3 2 3" xfId="11712" xr:uid="{C1074809-9FB2-4911-A2C6-13BD2EE24190}"/>
    <cellStyle name="20% - Accent2 2 2 2 3 3" xfId="5343" xr:uid="{00000000-0005-0000-0000-0000AC000000}"/>
    <cellStyle name="20% - Accent2 2 2 2 3 3 2" xfId="13785" xr:uid="{4688433A-965B-4992-9FF1-DEB0212DCA59}"/>
    <cellStyle name="20% - Accent2 2 2 2 3 4" xfId="9567" xr:uid="{0AB11404-FF7A-4AD4-8600-0C1D5F365BAA}"/>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2 2 2" xfId="16343" xr:uid="{67A2D6C6-C516-4BFC-AB88-70AA0A7B9C59}"/>
    <cellStyle name="20% - Accent2 2 2 2 4 2 3" xfId="12125" xr:uid="{05EC45F5-BF63-4B45-BC26-8149C8383225}"/>
    <cellStyle name="20% - Accent2 2 2 2 4 3" xfId="5756" xr:uid="{00000000-0005-0000-0000-0000B0000000}"/>
    <cellStyle name="20% - Accent2 2 2 2 4 3 2" xfId="14198" xr:uid="{DC0B2CAA-25BE-460E-AD64-2D2D0C6BF186}"/>
    <cellStyle name="20% - Accent2 2 2 2 4 4" xfId="9980" xr:uid="{C15C34BC-ED42-45B3-A506-12A2F54DDEDA}"/>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2 2 2" xfId="16756" xr:uid="{009D48F0-2ABF-493B-932F-B857D257403B}"/>
    <cellStyle name="20% - Accent2 2 2 2 5 2 3" xfId="12538" xr:uid="{B3611D77-3E11-4F73-91EB-A52881BE4B59}"/>
    <cellStyle name="20% - Accent2 2 2 2 5 3" xfId="6169" xr:uid="{00000000-0005-0000-0000-0000B4000000}"/>
    <cellStyle name="20% - Accent2 2 2 2 5 3 2" xfId="14611" xr:uid="{5BA17D68-B175-468A-9FCF-F82E40342350}"/>
    <cellStyle name="20% - Accent2 2 2 2 5 4" xfId="10393" xr:uid="{DF570755-ED5F-47FC-82BA-3A1115F6007F}"/>
    <cellStyle name="20% - Accent2 2 2 2 6" xfId="2275" xr:uid="{00000000-0005-0000-0000-0000B5000000}"/>
    <cellStyle name="20% - Accent2 2 2 2 6 2" xfId="6582" xr:uid="{00000000-0005-0000-0000-0000B6000000}"/>
    <cellStyle name="20% - Accent2 2 2 2 6 2 2" xfId="15024" xr:uid="{0BD2A02B-3DA7-4B3D-94D1-1E29814416CC}"/>
    <cellStyle name="20% - Accent2 2 2 2 6 3" xfId="10806" xr:uid="{D5FF01EE-A8CB-43B8-8757-117A25C017A5}"/>
    <cellStyle name="20% - Accent2 2 2 2 7" xfId="4516" xr:uid="{00000000-0005-0000-0000-0000B7000000}"/>
    <cellStyle name="20% - Accent2 2 2 2 7 2" xfId="12958" xr:uid="{06B2E09F-087F-47AC-AE5D-3AC92E4BF4D5}"/>
    <cellStyle name="20% - Accent2 2 2 2 8" xfId="8740" xr:uid="{EA0D6372-155E-4671-B484-96D85F00A740}"/>
    <cellStyle name="20% - Accent2 2 2 3" xfId="580" xr:uid="{00000000-0005-0000-0000-0000B8000000}"/>
    <cellStyle name="20% - Accent2 2 2 3 2" xfId="2851" xr:uid="{00000000-0005-0000-0000-0000B9000000}"/>
    <cellStyle name="20% - Accent2 2 2 3 2 2" xfId="7074" xr:uid="{00000000-0005-0000-0000-0000BA000000}"/>
    <cellStyle name="20% - Accent2 2 2 3 2 2 2" xfId="15516" xr:uid="{AC54C882-F9E2-448B-AAFC-AF5042E1209F}"/>
    <cellStyle name="20% - Accent2 2 2 3 2 3" xfId="11298" xr:uid="{4BE5A4D3-CEBA-4F53-A28F-A84C92552562}"/>
    <cellStyle name="20% - Accent2 2 2 3 3" xfId="4929" xr:uid="{00000000-0005-0000-0000-0000BB000000}"/>
    <cellStyle name="20% - Accent2 2 2 3 3 2" xfId="13371" xr:uid="{0F69AE97-A941-4657-B48D-69F36738F5E9}"/>
    <cellStyle name="20% - Accent2 2 2 3 4" xfId="9153" xr:uid="{0FDB3D60-C6D2-48E4-A166-BF4635677662}"/>
    <cellStyle name="20% - Accent2 2 2 4" xfId="1033" xr:uid="{00000000-0005-0000-0000-0000BC000000}"/>
    <cellStyle name="20% - Accent2 2 2 4 2" xfId="3264" xr:uid="{00000000-0005-0000-0000-0000BD000000}"/>
    <cellStyle name="20% - Accent2 2 2 4 2 2" xfId="7487" xr:uid="{00000000-0005-0000-0000-0000BE000000}"/>
    <cellStyle name="20% - Accent2 2 2 4 2 2 2" xfId="15929" xr:uid="{102CAC99-2408-41FB-B714-1E19FBF33FAD}"/>
    <cellStyle name="20% - Accent2 2 2 4 2 3" xfId="11711" xr:uid="{0B0DD119-D7A9-4DAD-86EC-9C5E1FDCB176}"/>
    <cellStyle name="20% - Accent2 2 2 4 3" xfId="5342" xr:uid="{00000000-0005-0000-0000-0000BF000000}"/>
    <cellStyle name="20% - Accent2 2 2 4 3 2" xfId="13784" xr:uid="{DC3DBE3A-3E44-43F6-A239-57D500249D20}"/>
    <cellStyle name="20% - Accent2 2 2 4 4" xfId="9566" xr:uid="{FA0119D8-88DE-47AA-8045-5C1CED78C5A9}"/>
    <cellStyle name="20% - Accent2 2 2 5" xfId="1447" xr:uid="{00000000-0005-0000-0000-0000C0000000}"/>
    <cellStyle name="20% - Accent2 2 2 5 2" xfId="3677" xr:uid="{00000000-0005-0000-0000-0000C1000000}"/>
    <cellStyle name="20% - Accent2 2 2 5 2 2" xfId="7900" xr:uid="{00000000-0005-0000-0000-0000C2000000}"/>
    <cellStyle name="20% - Accent2 2 2 5 2 2 2" xfId="16342" xr:uid="{F57BAE9A-EB9B-4456-BF29-120013300A81}"/>
    <cellStyle name="20% - Accent2 2 2 5 2 3" xfId="12124" xr:uid="{A68E178C-86E4-421F-803D-1247499C6933}"/>
    <cellStyle name="20% - Accent2 2 2 5 3" xfId="5755" xr:uid="{00000000-0005-0000-0000-0000C3000000}"/>
    <cellStyle name="20% - Accent2 2 2 5 3 2" xfId="14197" xr:uid="{772484C3-35CD-4D70-9E34-AEE335F5715B}"/>
    <cellStyle name="20% - Accent2 2 2 5 4" xfId="9979" xr:uid="{C6BE7515-AB06-4149-BD4A-02523E2EFA81}"/>
    <cellStyle name="20% - Accent2 2 2 6" xfId="1861" xr:uid="{00000000-0005-0000-0000-0000C4000000}"/>
    <cellStyle name="20% - Accent2 2 2 6 2" xfId="4090" xr:uid="{00000000-0005-0000-0000-0000C5000000}"/>
    <cellStyle name="20% - Accent2 2 2 6 2 2" xfId="8313" xr:uid="{00000000-0005-0000-0000-0000C6000000}"/>
    <cellStyle name="20% - Accent2 2 2 6 2 2 2" xfId="16755" xr:uid="{A52E78A3-BF31-4FC4-806F-DD3286A0F6FF}"/>
    <cellStyle name="20% - Accent2 2 2 6 2 3" xfId="12537" xr:uid="{538C3799-81B4-4142-8409-ED4C2C32D49A}"/>
    <cellStyle name="20% - Accent2 2 2 6 3" xfId="6168" xr:uid="{00000000-0005-0000-0000-0000C7000000}"/>
    <cellStyle name="20% - Accent2 2 2 6 3 2" xfId="14610" xr:uid="{7D69B1E9-C3E0-4D24-95F3-FAB84950F5DB}"/>
    <cellStyle name="20% - Accent2 2 2 6 4" xfId="10392" xr:uid="{F50D0148-292D-4306-A13A-F453A43317B8}"/>
    <cellStyle name="20% - Accent2 2 2 7" xfId="2274" xr:uid="{00000000-0005-0000-0000-0000C8000000}"/>
    <cellStyle name="20% - Accent2 2 2 7 2" xfId="6581" xr:uid="{00000000-0005-0000-0000-0000C9000000}"/>
    <cellStyle name="20% - Accent2 2 2 7 2 2" xfId="15023" xr:uid="{6CAB12BA-63CE-4CFD-8545-6CAF97EB9733}"/>
    <cellStyle name="20% - Accent2 2 2 7 3" xfId="10805" xr:uid="{0AF65BCA-0D43-4ECB-BE1A-22072DC80396}"/>
    <cellStyle name="20% - Accent2 2 2 8" xfId="4515" xr:uid="{00000000-0005-0000-0000-0000CA000000}"/>
    <cellStyle name="20% - Accent2 2 2 8 2" xfId="12957" xr:uid="{B7B94477-D187-41CF-B3BC-238E9D4CED80}"/>
    <cellStyle name="20% - Accent2 2 2 9" xfId="8739" xr:uid="{4487C7B4-2BB5-4024-AE48-F666C721D20D}"/>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2 2 2" xfId="15518" xr:uid="{5E827850-596D-4D88-A643-3A46FA37AD3B}"/>
    <cellStyle name="20% - Accent2 2 3 2 2 3" xfId="11300" xr:uid="{2FFAE9FE-8B37-4777-B7E9-1DB6C7C18B3E}"/>
    <cellStyle name="20% - Accent2 2 3 2 3" xfId="4931" xr:uid="{00000000-0005-0000-0000-0000CF000000}"/>
    <cellStyle name="20% - Accent2 2 3 2 3 2" xfId="13373" xr:uid="{ED777C85-8078-4900-8941-B552EE6BC1EB}"/>
    <cellStyle name="20% - Accent2 2 3 2 4" xfId="9155" xr:uid="{EB0C019F-6EF1-4373-9724-68B0284C1956}"/>
    <cellStyle name="20% - Accent2 2 3 3" xfId="1035" xr:uid="{00000000-0005-0000-0000-0000D0000000}"/>
    <cellStyle name="20% - Accent2 2 3 3 2" xfId="3266" xr:uid="{00000000-0005-0000-0000-0000D1000000}"/>
    <cellStyle name="20% - Accent2 2 3 3 2 2" xfId="7489" xr:uid="{00000000-0005-0000-0000-0000D2000000}"/>
    <cellStyle name="20% - Accent2 2 3 3 2 2 2" xfId="15931" xr:uid="{A8FD1D2A-C7C5-4677-978D-0DDFD30EC2F0}"/>
    <cellStyle name="20% - Accent2 2 3 3 2 3" xfId="11713" xr:uid="{F25CA10C-A23E-447D-900F-F0ABAA30ABFB}"/>
    <cellStyle name="20% - Accent2 2 3 3 3" xfId="5344" xr:uid="{00000000-0005-0000-0000-0000D3000000}"/>
    <cellStyle name="20% - Accent2 2 3 3 3 2" xfId="13786" xr:uid="{80E3AC3B-DD0F-486F-BEA3-EB4419D3206F}"/>
    <cellStyle name="20% - Accent2 2 3 3 4" xfId="9568" xr:uid="{1D747CC8-47C2-4E20-913D-82AC5F090141}"/>
    <cellStyle name="20% - Accent2 2 3 4" xfId="1449" xr:uid="{00000000-0005-0000-0000-0000D4000000}"/>
    <cellStyle name="20% - Accent2 2 3 4 2" xfId="3679" xr:uid="{00000000-0005-0000-0000-0000D5000000}"/>
    <cellStyle name="20% - Accent2 2 3 4 2 2" xfId="7902" xr:uid="{00000000-0005-0000-0000-0000D6000000}"/>
    <cellStyle name="20% - Accent2 2 3 4 2 2 2" xfId="16344" xr:uid="{584D14E4-E81B-4544-BE6E-D35662B968AC}"/>
    <cellStyle name="20% - Accent2 2 3 4 2 3" xfId="12126" xr:uid="{13BE5237-7494-478C-9929-08CBEC7DC5D7}"/>
    <cellStyle name="20% - Accent2 2 3 4 3" xfId="5757" xr:uid="{00000000-0005-0000-0000-0000D7000000}"/>
    <cellStyle name="20% - Accent2 2 3 4 3 2" xfId="14199" xr:uid="{D2804517-C545-4D35-9D56-06C91A173AE9}"/>
    <cellStyle name="20% - Accent2 2 3 4 4" xfId="9981" xr:uid="{B2197AB3-3109-480A-AA2E-16E9B57B47D3}"/>
    <cellStyle name="20% - Accent2 2 3 5" xfId="1863" xr:uid="{00000000-0005-0000-0000-0000D8000000}"/>
    <cellStyle name="20% - Accent2 2 3 5 2" xfId="4092" xr:uid="{00000000-0005-0000-0000-0000D9000000}"/>
    <cellStyle name="20% - Accent2 2 3 5 2 2" xfId="8315" xr:uid="{00000000-0005-0000-0000-0000DA000000}"/>
    <cellStyle name="20% - Accent2 2 3 5 2 2 2" xfId="16757" xr:uid="{88AF41D0-35CE-42AB-BA3C-F3E02A3020BC}"/>
    <cellStyle name="20% - Accent2 2 3 5 2 3" xfId="12539" xr:uid="{C0AFACBA-E234-420E-83E0-30EEEDC3732A}"/>
    <cellStyle name="20% - Accent2 2 3 5 3" xfId="6170" xr:uid="{00000000-0005-0000-0000-0000DB000000}"/>
    <cellStyle name="20% - Accent2 2 3 5 3 2" xfId="14612" xr:uid="{C3355A81-7E99-4E79-991A-8D98751E2EDC}"/>
    <cellStyle name="20% - Accent2 2 3 5 4" xfId="10394" xr:uid="{4AB65CBA-F442-4C08-8517-90CC653333FF}"/>
    <cellStyle name="20% - Accent2 2 3 6" xfId="2276" xr:uid="{00000000-0005-0000-0000-0000DC000000}"/>
    <cellStyle name="20% - Accent2 2 3 6 2" xfId="6583" xr:uid="{00000000-0005-0000-0000-0000DD000000}"/>
    <cellStyle name="20% - Accent2 2 3 6 2 2" xfId="15025" xr:uid="{78278C2C-FC7F-432A-B63C-2B859DE1356A}"/>
    <cellStyle name="20% - Accent2 2 3 6 3" xfId="10807" xr:uid="{AB4D329D-65EC-4BD5-84AC-A135C9C18C42}"/>
    <cellStyle name="20% - Accent2 2 3 7" xfId="4517" xr:uid="{00000000-0005-0000-0000-0000DE000000}"/>
    <cellStyle name="20% - Accent2 2 3 7 2" xfId="12959" xr:uid="{96C039C6-3B91-4600-A6E1-A28ED03BDDBD}"/>
    <cellStyle name="20% - Accent2 2 3 8" xfId="8741" xr:uid="{9BD0FC62-1E97-4FA6-9B7D-C97BEA7B3EAB}"/>
    <cellStyle name="20% - Accent2 2 4" xfId="579" xr:uid="{00000000-0005-0000-0000-0000DF000000}"/>
    <cellStyle name="20% - Accent2 2 4 2" xfId="2850" xr:uid="{00000000-0005-0000-0000-0000E0000000}"/>
    <cellStyle name="20% - Accent2 2 4 2 2" xfId="7073" xr:uid="{00000000-0005-0000-0000-0000E1000000}"/>
    <cellStyle name="20% - Accent2 2 4 2 2 2" xfId="15515" xr:uid="{15CE1ECF-37AB-47BB-845E-B485A41AEC57}"/>
    <cellStyle name="20% - Accent2 2 4 2 3" xfId="11297" xr:uid="{429F2DDF-F515-41BF-8D0B-197D7B683DCD}"/>
    <cellStyle name="20% - Accent2 2 4 3" xfId="4928" xr:uid="{00000000-0005-0000-0000-0000E2000000}"/>
    <cellStyle name="20% - Accent2 2 4 3 2" xfId="13370" xr:uid="{96092920-0AD1-4D18-8FFB-3756CFA198FA}"/>
    <cellStyle name="20% - Accent2 2 4 4" xfId="9152" xr:uid="{E9E885AC-6EE7-4435-9347-2352B983C905}"/>
    <cellStyle name="20% - Accent2 2 5" xfId="1032" xr:uid="{00000000-0005-0000-0000-0000E3000000}"/>
    <cellStyle name="20% - Accent2 2 5 2" xfId="3263" xr:uid="{00000000-0005-0000-0000-0000E4000000}"/>
    <cellStyle name="20% - Accent2 2 5 2 2" xfId="7486" xr:uid="{00000000-0005-0000-0000-0000E5000000}"/>
    <cellStyle name="20% - Accent2 2 5 2 2 2" xfId="15928" xr:uid="{3C449950-7AEB-4C8F-B4C7-730EF840ABC6}"/>
    <cellStyle name="20% - Accent2 2 5 2 3" xfId="11710" xr:uid="{87EFF340-7C31-4395-A193-C78E04660C87}"/>
    <cellStyle name="20% - Accent2 2 5 3" xfId="5341" xr:uid="{00000000-0005-0000-0000-0000E6000000}"/>
    <cellStyle name="20% - Accent2 2 5 3 2" xfId="13783" xr:uid="{0FF43304-BE6D-4252-8E9B-B48A55F8B904}"/>
    <cellStyle name="20% - Accent2 2 5 4" xfId="9565" xr:uid="{9AB0788B-53F1-4EAF-A078-310AC09E81D4}"/>
    <cellStyle name="20% - Accent2 2 6" xfId="1446" xr:uid="{00000000-0005-0000-0000-0000E7000000}"/>
    <cellStyle name="20% - Accent2 2 6 2" xfId="3676" xr:uid="{00000000-0005-0000-0000-0000E8000000}"/>
    <cellStyle name="20% - Accent2 2 6 2 2" xfId="7899" xr:uid="{00000000-0005-0000-0000-0000E9000000}"/>
    <cellStyle name="20% - Accent2 2 6 2 2 2" xfId="16341" xr:uid="{238E0997-9ED1-4590-8245-70673388C6E9}"/>
    <cellStyle name="20% - Accent2 2 6 2 3" xfId="12123" xr:uid="{EE0C17BD-6B76-407F-A5CC-CCC4BBE575B8}"/>
    <cellStyle name="20% - Accent2 2 6 3" xfId="5754" xr:uid="{00000000-0005-0000-0000-0000EA000000}"/>
    <cellStyle name="20% - Accent2 2 6 3 2" xfId="14196" xr:uid="{EAFDBD51-4D07-4D9E-A81F-B3C2346E54D1}"/>
    <cellStyle name="20% - Accent2 2 6 4" xfId="9978" xr:uid="{1E47421B-0BCC-45E4-8AF6-6FFAD33FFCBB}"/>
    <cellStyle name="20% - Accent2 2 7" xfId="1860" xr:uid="{00000000-0005-0000-0000-0000EB000000}"/>
    <cellStyle name="20% - Accent2 2 7 2" xfId="4089" xr:uid="{00000000-0005-0000-0000-0000EC000000}"/>
    <cellStyle name="20% - Accent2 2 7 2 2" xfId="8312" xr:uid="{00000000-0005-0000-0000-0000ED000000}"/>
    <cellStyle name="20% - Accent2 2 7 2 2 2" xfId="16754" xr:uid="{BAC6ADB3-E4A3-4CD6-89D9-AE232ACE40B6}"/>
    <cellStyle name="20% - Accent2 2 7 2 3" xfId="12536" xr:uid="{300B8962-9C7B-4A9D-94A3-CD8C423DD6EC}"/>
    <cellStyle name="20% - Accent2 2 7 3" xfId="6167" xr:uid="{00000000-0005-0000-0000-0000EE000000}"/>
    <cellStyle name="20% - Accent2 2 7 3 2" xfId="14609" xr:uid="{D885E865-DEFF-4957-AFCA-BEA67186DC86}"/>
    <cellStyle name="20% - Accent2 2 7 4" xfId="10391" xr:uid="{1657C283-DD22-4861-96B5-0CFD57E5C476}"/>
    <cellStyle name="20% - Accent2 2 8" xfId="2273" xr:uid="{00000000-0005-0000-0000-0000EF000000}"/>
    <cellStyle name="20% - Accent2 2 8 2" xfId="6580" xr:uid="{00000000-0005-0000-0000-0000F0000000}"/>
    <cellStyle name="20% - Accent2 2 8 2 2" xfId="15022" xr:uid="{510E1987-5579-4A93-A335-7A9D20FCACE2}"/>
    <cellStyle name="20% - Accent2 2 8 3" xfId="10804" xr:uid="{68159DBE-CF9F-4B06-91D9-D2FB31B700E9}"/>
    <cellStyle name="20% - Accent2 2 9" xfId="4514" xr:uid="{00000000-0005-0000-0000-0000F1000000}"/>
    <cellStyle name="20% - Accent2 2 9 2" xfId="12956" xr:uid="{E8B0EC13-BA7C-40B9-B1E7-DB7D2541160B}"/>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2 2 2" xfId="15520" xr:uid="{1A5EA099-28D2-4461-BAEB-AA0AA1016CCC}"/>
    <cellStyle name="20% - Accent2 3 2 2 2 3" xfId="11302" xr:uid="{2CFB2594-9EB7-41E8-8549-A157714280F4}"/>
    <cellStyle name="20% - Accent2 3 2 2 3" xfId="4933" xr:uid="{00000000-0005-0000-0000-0000F7000000}"/>
    <cellStyle name="20% - Accent2 3 2 2 3 2" xfId="13375" xr:uid="{DC26998F-252C-49A5-AC05-5C089C4BC271}"/>
    <cellStyle name="20% - Accent2 3 2 2 4" xfId="9157" xr:uid="{B06A9333-E4F4-4324-9CE7-D296ED0C8208}"/>
    <cellStyle name="20% - Accent2 3 2 3" xfId="1037" xr:uid="{00000000-0005-0000-0000-0000F8000000}"/>
    <cellStyle name="20% - Accent2 3 2 3 2" xfId="3268" xr:uid="{00000000-0005-0000-0000-0000F9000000}"/>
    <cellStyle name="20% - Accent2 3 2 3 2 2" xfId="7491" xr:uid="{00000000-0005-0000-0000-0000FA000000}"/>
    <cellStyle name="20% - Accent2 3 2 3 2 2 2" xfId="15933" xr:uid="{91F3666C-E34B-4D0D-82A6-39AAB0F2B91F}"/>
    <cellStyle name="20% - Accent2 3 2 3 2 3" xfId="11715" xr:uid="{5F95A6F1-8921-4683-9E0F-4196F6FC12C2}"/>
    <cellStyle name="20% - Accent2 3 2 3 3" xfId="5346" xr:uid="{00000000-0005-0000-0000-0000FB000000}"/>
    <cellStyle name="20% - Accent2 3 2 3 3 2" xfId="13788" xr:uid="{B994C292-DB3A-4AA1-9528-9898CEAFC2A1}"/>
    <cellStyle name="20% - Accent2 3 2 3 4" xfId="9570" xr:uid="{02F80D8F-4857-457B-823A-43D5F327DFF7}"/>
    <cellStyle name="20% - Accent2 3 2 4" xfId="1451" xr:uid="{00000000-0005-0000-0000-0000FC000000}"/>
    <cellStyle name="20% - Accent2 3 2 4 2" xfId="3681" xr:uid="{00000000-0005-0000-0000-0000FD000000}"/>
    <cellStyle name="20% - Accent2 3 2 4 2 2" xfId="7904" xr:uid="{00000000-0005-0000-0000-0000FE000000}"/>
    <cellStyle name="20% - Accent2 3 2 4 2 2 2" xfId="16346" xr:uid="{D49F3C98-1F3F-46B7-A544-3DDD23CE34B1}"/>
    <cellStyle name="20% - Accent2 3 2 4 2 3" xfId="12128" xr:uid="{E51005F1-2EB3-465B-996C-967C48A99F30}"/>
    <cellStyle name="20% - Accent2 3 2 4 3" xfId="5759" xr:uid="{00000000-0005-0000-0000-0000FF000000}"/>
    <cellStyle name="20% - Accent2 3 2 4 3 2" xfId="14201" xr:uid="{37617D0C-F8F0-4695-B827-774F4F84B3F7}"/>
    <cellStyle name="20% - Accent2 3 2 4 4" xfId="9983" xr:uid="{B8AEF7B8-DB89-40C8-B986-4114E9D5243A}"/>
    <cellStyle name="20% - Accent2 3 2 5" xfId="1865" xr:uid="{00000000-0005-0000-0000-000000010000}"/>
    <cellStyle name="20% - Accent2 3 2 5 2" xfId="4094" xr:uid="{00000000-0005-0000-0000-000001010000}"/>
    <cellStyle name="20% - Accent2 3 2 5 2 2" xfId="8317" xr:uid="{00000000-0005-0000-0000-000002010000}"/>
    <cellStyle name="20% - Accent2 3 2 5 2 2 2" xfId="16759" xr:uid="{F6F11E60-B4D0-4159-BDAE-A5C13761913F}"/>
    <cellStyle name="20% - Accent2 3 2 5 2 3" xfId="12541" xr:uid="{8685B573-0C21-4776-82D4-549D481AC88E}"/>
    <cellStyle name="20% - Accent2 3 2 5 3" xfId="6172" xr:uid="{00000000-0005-0000-0000-000003010000}"/>
    <cellStyle name="20% - Accent2 3 2 5 3 2" xfId="14614" xr:uid="{E0611907-0893-4B54-B94C-A6A539CCB37F}"/>
    <cellStyle name="20% - Accent2 3 2 5 4" xfId="10396" xr:uid="{A2C5B992-C54C-4321-9957-68D30640B4FD}"/>
    <cellStyle name="20% - Accent2 3 2 6" xfId="2278" xr:uid="{00000000-0005-0000-0000-000004010000}"/>
    <cellStyle name="20% - Accent2 3 2 6 2" xfId="6585" xr:uid="{00000000-0005-0000-0000-000005010000}"/>
    <cellStyle name="20% - Accent2 3 2 6 2 2" xfId="15027" xr:uid="{B10E54D6-F435-4446-B941-A5380465377E}"/>
    <cellStyle name="20% - Accent2 3 2 6 3" xfId="10809" xr:uid="{1B0800DA-2723-4EFB-B668-5ABADCC9EF42}"/>
    <cellStyle name="20% - Accent2 3 2 7" xfId="4519" xr:uid="{00000000-0005-0000-0000-000006010000}"/>
    <cellStyle name="20% - Accent2 3 2 7 2" xfId="12961" xr:uid="{F1E60F4D-BA7D-4055-8932-55D4B78D50B8}"/>
    <cellStyle name="20% - Accent2 3 2 8" xfId="8743" xr:uid="{F70AB9BC-ED16-400A-A8C8-319A0E68305F}"/>
    <cellStyle name="20% - Accent2 3 3" xfId="583" xr:uid="{00000000-0005-0000-0000-000007010000}"/>
    <cellStyle name="20% - Accent2 3 3 2" xfId="2854" xr:uid="{00000000-0005-0000-0000-000008010000}"/>
    <cellStyle name="20% - Accent2 3 3 2 2" xfId="7077" xr:uid="{00000000-0005-0000-0000-000009010000}"/>
    <cellStyle name="20% - Accent2 3 3 2 2 2" xfId="15519" xr:uid="{E0AA074E-FFDC-4ED1-BC3B-7B6A2D1736AC}"/>
    <cellStyle name="20% - Accent2 3 3 2 3" xfId="11301" xr:uid="{749E5EA2-F63C-4B52-BDF2-6B416C61261A}"/>
    <cellStyle name="20% - Accent2 3 3 3" xfId="4932" xr:uid="{00000000-0005-0000-0000-00000A010000}"/>
    <cellStyle name="20% - Accent2 3 3 3 2" xfId="13374" xr:uid="{222B15B0-EBA6-4CFE-BC88-5ED3927D64B0}"/>
    <cellStyle name="20% - Accent2 3 3 4" xfId="9156" xr:uid="{33B70912-7445-4727-8DCE-4913E7803866}"/>
    <cellStyle name="20% - Accent2 3 4" xfId="1036" xr:uid="{00000000-0005-0000-0000-00000B010000}"/>
    <cellStyle name="20% - Accent2 3 4 2" xfId="3267" xr:uid="{00000000-0005-0000-0000-00000C010000}"/>
    <cellStyle name="20% - Accent2 3 4 2 2" xfId="7490" xr:uid="{00000000-0005-0000-0000-00000D010000}"/>
    <cellStyle name="20% - Accent2 3 4 2 2 2" xfId="15932" xr:uid="{0AF71BDC-4FD8-4BF3-B3E1-3FB72D6864CA}"/>
    <cellStyle name="20% - Accent2 3 4 2 3" xfId="11714" xr:uid="{CF424C1C-22FB-483A-806F-A6C757CC1919}"/>
    <cellStyle name="20% - Accent2 3 4 3" xfId="5345" xr:uid="{00000000-0005-0000-0000-00000E010000}"/>
    <cellStyle name="20% - Accent2 3 4 3 2" xfId="13787" xr:uid="{2CAF6CC0-E536-4F18-9C83-BFEBE48D1CE4}"/>
    <cellStyle name="20% - Accent2 3 4 4" xfId="9569" xr:uid="{A6D76BB5-9A2A-4ED6-BE47-BBCF570CAD8D}"/>
    <cellStyle name="20% - Accent2 3 5" xfId="1450" xr:uid="{00000000-0005-0000-0000-00000F010000}"/>
    <cellStyle name="20% - Accent2 3 5 2" xfId="3680" xr:uid="{00000000-0005-0000-0000-000010010000}"/>
    <cellStyle name="20% - Accent2 3 5 2 2" xfId="7903" xr:uid="{00000000-0005-0000-0000-000011010000}"/>
    <cellStyle name="20% - Accent2 3 5 2 2 2" xfId="16345" xr:uid="{D5EF2905-6EDE-49F4-9914-C73A73F4FF86}"/>
    <cellStyle name="20% - Accent2 3 5 2 3" xfId="12127" xr:uid="{3C46D5CF-5287-4517-B1D8-E5E17DE11271}"/>
    <cellStyle name="20% - Accent2 3 5 3" xfId="5758" xr:uid="{00000000-0005-0000-0000-000012010000}"/>
    <cellStyle name="20% - Accent2 3 5 3 2" xfId="14200" xr:uid="{DAB01756-5311-40EF-A7FB-E492798C0814}"/>
    <cellStyle name="20% - Accent2 3 5 4" xfId="9982" xr:uid="{A3997A98-AC1C-4247-96A5-DA566D812E59}"/>
    <cellStyle name="20% - Accent2 3 6" xfId="1864" xr:uid="{00000000-0005-0000-0000-000013010000}"/>
    <cellStyle name="20% - Accent2 3 6 2" xfId="4093" xr:uid="{00000000-0005-0000-0000-000014010000}"/>
    <cellStyle name="20% - Accent2 3 6 2 2" xfId="8316" xr:uid="{00000000-0005-0000-0000-000015010000}"/>
    <cellStyle name="20% - Accent2 3 6 2 2 2" xfId="16758" xr:uid="{BB76ABED-95EB-41CD-8C56-D4B11FC5C14F}"/>
    <cellStyle name="20% - Accent2 3 6 2 3" xfId="12540" xr:uid="{9764FECC-5331-4DA8-8FA6-432070595954}"/>
    <cellStyle name="20% - Accent2 3 6 3" xfId="6171" xr:uid="{00000000-0005-0000-0000-000016010000}"/>
    <cellStyle name="20% - Accent2 3 6 3 2" xfId="14613" xr:uid="{C953368D-4D2B-4D71-80BD-A8AA08887ED5}"/>
    <cellStyle name="20% - Accent2 3 6 4" xfId="10395" xr:uid="{6750E991-679B-476B-B2C6-3A8D6D85F332}"/>
    <cellStyle name="20% - Accent2 3 7" xfId="2277" xr:uid="{00000000-0005-0000-0000-000017010000}"/>
    <cellStyle name="20% - Accent2 3 7 2" xfId="6584" xr:uid="{00000000-0005-0000-0000-000018010000}"/>
    <cellStyle name="20% - Accent2 3 7 2 2" xfId="15026" xr:uid="{4B1055F4-08D8-4301-B35E-323C713875D1}"/>
    <cellStyle name="20% - Accent2 3 7 3" xfId="10808" xr:uid="{4398B335-2254-4EE6-9CEF-09844BAADD54}"/>
    <cellStyle name="20% - Accent2 3 8" xfId="4518" xr:uid="{00000000-0005-0000-0000-000019010000}"/>
    <cellStyle name="20% - Accent2 3 8 2" xfId="12960" xr:uid="{D844D760-9E20-4BA8-A8E8-4DE622AB3663}"/>
    <cellStyle name="20% - Accent2 3 9" xfId="8742" xr:uid="{C1868FD0-6A25-49E1-A0EE-E5741A0D2B4E}"/>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2 2 2" xfId="15521" xr:uid="{2B51B724-FE0F-4EAA-B519-C9D016810924}"/>
    <cellStyle name="20% - Accent2 4 2 2 3" xfId="11303" xr:uid="{7D624A3E-45BA-412C-B7F2-41AD9C40ECFF}"/>
    <cellStyle name="20% - Accent2 4 2 3" xfId="4934" xr:uid="{00000000-0005-0000-0000-00001E010000}"/>
    <cellStyle name="20% - Accent2 4 2 3 2" xfId="13376" xr:uid="{54675F00-971C-4413-9DD3-6F2703159941}"/>
    <cellStyle name="20% - Accent2 4 2 4" xfId="9158" xr:uid="{D4BAA268-5A07-4AC5-8CA6-71479077C9FA}"/>
    <cellStyle name="20% - Accent2 4 3" xfId="1038" xr:uid="{00000000-0005-0000-0000-00001F010000}"/>
    <cellStyle name="20% - Accent2 4 3 2" xfId="3269" xr:uid="{00000000-0005-0000-0000-000020010000}"/>
    <cellStyle name="20% - Accent2 4 3 2 2" xfId="7492" xr:uid="{00000000-0005-0000-0000-000021010000}"/>
    <cellStyle name="20% - Accent2 4 3 2 2 2" xfId="15934" xr:uid="{2B8FBE58-A6A4-4F1E-8D23-B6795F8D8E0B}"/>
    <cellStyle name="20% - Accent2 4 3 2 3" xfId="11716" xr:uid="{66A7B5F6-C68B-4852-9119-E16ACE9010E7}"/>
    <cellStyle name="20% - Accent2 4 3 3" xfId="5347" xr:uid="{00000000-0005-0000-0000-000022010000}"/>
    <cellStyle name="20% - Accent2 4 3 3 2" xfId="13789" xr:uid="{BB0A3785-EB66-4EBE-B336-F789C3964684}"/>
    <cellStyle name="20% - Accent2 4 3 4" xfId="9571" xr:uid="{DE0603AF-1B8E-4729-8A91-F236955C051E}"/>
    <cellStyle name="20% - Accent2 4 4" xfId="1452" xr:uid="{00000000-0005-0000-0000-000023010000}"/>
    <cellStyle name="20% - Accent2 4 4 2" xfId="3682" xr:uid="{00000000-0005-0000-0000-000024010000}"/>
    <cellStyle name="20% - Accent2 4 4 2 2" xfId="7905" xr:uid="{00000000-0005-0000-0000-000025010000}"/>
    <cellStyle name="20% - Accent2 4 4 2 2 2" xfId="16347" xr:uid="{BCE8A936-449F-4E1C-B308-10A08EFFA770}"/>
    <cellStyle name="20% - Accent2 4 4 2 3" xfId="12129" xr:uid="{829705F9-22DF-4E6D-9EA7-1A8FA3F1027A}"/>
    <cellStyle name="20% - Accent2 4 4 3" xfId="5760" xr:uid="{00000000-0005-0000-0000-000026010000}"/>
    <cellStyle name="20% - Accent2 4 4 3 2" xfId="14202" xr:uid="{9C0A2E71-7125-4A34-90AC-357D6DCB0225}"/>
    <cellStyle name="20% - Accent2 4 4 4" xfId="9984" xr:uid="{6EC9B7AD-DDFD-4A02-914C-F03DDAD781C5}"/>
    <cellStyle name="20% - Accent2 4 5" xfId="1866" xr:uid="{00000000-0005-0000-0000-000027010000}"/>
    <cellStyle name="20% - Accent2 4 5 2" xfId="4095" xr:uid="{00000000-0005-0000-0000-000028010000}"/>
    <cellStyle name="20% - Accent2 4 5 2 2" xfId="8318" xr:uid="{00000000-0005-0000-0000-000029010000}"/>
    <cellStyle name="20% - Accent2 4 5 2 2 2" xfId="16760" xr:uid="{AE999727-ED32-42D8-8FEC-91AC0680BB52}"/>
    <cellStyle name="20% - Accent2 4 5 2 3" xfId="12542" xr:uid="{3A94AC2D-74C6-4AC5-931E-F987E2CE7ECC}"/>
    <cellStyle name="20% - Accent2 4 5 3" xfId="6173" xr:uid="{00000000-0005-0000-0000-00002A010000}"/>
    <cellStyle name="20% - Accent2 4 5 3 2" xfId="14615" xr:uid="{5C8AEBA4-DA78-4924-BA49-284DEC061032}"/>
    <cellStyle name="20% - Accent2 4 5 4" xfId="10397" xr:uid="{61B08503-4884-4964-9259-87C7F27BFCCA}"/>
    <cellStyle name="20% - Accent2 4 6" xfId="2279" xr:uid="{00000000-0005-0000-0000-00002B010000}"/>
    <cellStyle name="20% - Accent2 4 6 2" xfId="6586" xr:uid="{00000000-0005-0000-0000-00002C010000}"/>
    <cellStyle name="20% - Accent2 4 6 2 2" xfId="15028" xr:uid="{D69AFE87-1D62-4F8E-B428-0E6F97FDD1F0}"/>
    <cellStyle name="20% - Accent2 4 6 3" xfId="10810" xr:uid="{1B3BD383-96A7-4ACB-A373-B95FDFA67E30}"/>
    <cellStyle name="20% - Accent2 4 7" xfId="4520" xr:uid="{00000000-0005-0000-0000-00002D010000}"/>
    <cellStyle name="20% - Accent2 4 7 2" xfId="12962" xr:uid="{029A8338-AA9E-40C3-A987-E5B78E79D293}"/>
    <cellStyle name="20% - Accent2 4 8" xfId="8744" xr:uid="{98D5048C-6F06-468D-84D4-769E98C88BAB}"/>
    <cellStyle name="20% - Accent2 5" xfId="578" xr:uid="{00000000-0005-0000-0000-00002E010000}"/>
    <cellStyle name="20% - Accent2 5 2" xfId="2849" xr:uid="{00000000-0005-0000-0000-00002F010000}"/>
    <cellStyle name="20% - Accent2 5 2 2" xfId="7072" xr:uid="{00000000-0005-0000-0000-000030010000}"/>
    <cellStyle name="20% - Accent2 5 2 2 2" xfId="15514" xr:uid="{29609F6F-E297-4346-99D6-AF7B6FBE67D1}"/>
    <cellStyle name="20% - Accent2 5 2 3" xfId="11296" xr:uid="{82B825BE-C388-4A06-9A1D-3E3951D1E452}"/>
    <cellStyle name="20% - Accent2 5 3" xfId="4927" xr:uid="{00000000-0005-0000-0000-000031010000}"/>
    <cellStyle name="20% - Accent2 5 3 2" xfId="13369" xr:uid="{D8F04E14-C89F-43AD-AFC1-BDC72CB5BE4A}"/>
    <cellStyle name="20% - Accent2 5 4" xfId="9151" xr:uid="{C0BA156A-44EC-43F3-BE3A-1DB407B32765}"/>
    <cellStyle name="20% - Accent2 6" xfId="1031" xr:uid="{00000000-0005-0000-0000-000032010000}"/>
    <cellStyle name="20% - Accent2 6 2" xfId="3262" xr:uid="{00000000-0005-0000-0000-000033010000}"/>
    <cellStyle name="20% - Accent2 6 2 2" xfId="7485" xr:uid="{00000000-0005-0000-0000-000034010000}"/>
    <cellStyle name="20% - Accent2 6 2 2 2" xfId="15927" xr:uid="{1A244482-F245-4200-A3D3-16289171B6F5}"/>
    <cellStyle name="20% - Accent2 6 2 3" xfId="11709" xr:uid="{15B7D9DA-80EC-4F3E-BD8C-AE9F678E0535}"/>
    <cellStyle name="20% - Accent2 6 3" xfId="5340" xr:uid="{00000000-0005-0000-0000-000035010000}"/>
    <cellStyle name="20% - Accent2 6 3 2" xfId="13782" xr:uid="{B18D591D-80E6-4F7C-9562-4CD133E489E1}"/>
    <cellStyle name="20% - Accent2 6 4" xfId="9564" xr:uid="{747C5023-4C46-4545-81BD-56F32294B204}"/>
    <cellStyle name="20% - Accent2 7" xfId="1445" xr:uid="{00000000-0005-0000-0000-000036010000}"/>
    <cellStyle name="20% - Accent2 7 2" xfId="3675" xr:uid="{00000000-0005-0000-0000-000037010000}"/>
    <cellStyle name="20% - Accent2 7 2 2" xfId="7898" xr:uid="{00000000-0005-0000-0000-000038010000}"/>
    <cellStyle name="20% - Accent2 7 2 2 2" xfId="16340" xr:uid="{19BF8197-4AFA-4B03-BF50-FCEF82110328}"/>
    <cellStyle name="20% - Accent2 7 2 3" xfId="12122" xr:uid="{EC02FF12-1B44-423B-A315-774B1424BB70}"/>
    <cellStyle name="20% - Accent2 7 3" xfId="5753" xr:uid="{00000000-0005-0000-0000-000039010000}"/>
    <cellStyle name="20% - Accent2 7 3 2" xfId="14195" xr:uid="{469D6E19-7969-4D57-B7B0-FDD4CA2884D9}"/>
    <cellStyle name="20% - Accent2 7 4" xfId="9977" xr:uid="{F22B9E3D-6807-4F94-8363-98FAB0B3BC5A}"/>
    <cellStyle name="20% - Accent2 8" xfId="1859" xr:uid="{00000000-0005-0000-0000-00003A010000}"/>
    <cellStyle name="20% - Accent2 8 2" xfId="4088" xr:uid="{00000000-0005-0000-0000-00003B010000}"/>
    <cellStyle name="20% - Accent2 8 2 2" xfId="8311" xr:uid="{00000000-0005-0000-0000-00003C010000}"/>
    <cellStyle name="20% - Accent2 8 2 2 2" xfId="16753" xr:uid="{01906C52-14EF-46E6-AA8B-45718AA81A56}"/>
    <cellStyle name="20% - Accent2 8 2 3" xfId="12535" xr:uid="{49B9A709-8597-49CD-8F52-B5D945A8BE17}"/>
    <cellStyle name="20% - Accent2 8 3" xfId="6166" xr:uid="{00000000-0005-0000-0000-00003D010000}"/>
    <cellStyle name="20% - Accent2 8 3 2" xfId="14608" xr:uid="{797F1764-4145-4556-8FF6-99316AF47C43}"/>
    <cellStyle name="20% - Accent2 8 4" xfId="10390" xr:uid="{F8A71D29-3B7D-44AE-81E2-62C8C83F4185}"/>
    <cellStyle name="20% - Accent2 9" xfId="2272" xr:uid="{00000000-0005-0000-0000-00003E010000}"/>
    <cellStyle name="20% - Accent2 9 2" xfId="6579" xr:uid="{00000000-0005-0000-0000-00003F010000}"/>
    <cellStyle name="20% - Accent2 9 2 2" xfId="15021" xr:uid="{F34C7CAF-0A5D-4641-911C-17C05972477E}"/>
    <cellStyle name="20% - Accent2 9 3" xfId="10803" xr:uid="{12291ADB-6067-4337-ABF8-1319771902F8}"/>
    <cellStyle name="20% - Accent3" xfId="17" builtinId="38" customBuiltin="1"/>
    <cellStyle name="20% - Accent3 10" xfId="4521" xr:uid="{00000000-0005-0000-0000-000041010000}"/>
    <cellStyle name="20% - Accent3 10 2" xfId="12963" xr:uid="{580F9689-13D9-4A57-8848-8F4E169A8351}"/>
    <cellStyle name="20% - Accent3 11" xfId="8745" xr:uid="{A0CDB06D-D1DC-419C-9D7A-6091801FAE26}"/>
    <cellStyle name="20% - Accent3 2" xfId="18" xr:uid="{00000000-0005-0000-0000-000042010000}"/>
    <cellStyle name="20% - Accent3 2 10" xfId="8746" xr:uid="{11DC30E6-A329-4104-96D6-1A1C0996FDE1}"/>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2 2 2" xfId="15525" xr:uid="{13324624-243F-4FAB-B6F5-30B4995041A8}"/>
    <cellStyle name="20% - Accent3 2 2 2 2 2 3" xfId="11307" xr:uid="{C3B4590C-AD53-40C8-884B-7862A474D386}"/>
    <cellStyle name="20% - Accent3 2 2 2 2 3" xfId="4938" xr:uid="{00000000-0005-0000-0000-000048010000}"/>
    <cellStyle name="20% - Accent3 2 2 2 2 3 2" xfId="13380" xr:uid="{BD66B8A7-FC3A-4583-AD65-7DB677CEBAC1}"/>
    <cellStyle name="20% - Accent3 2 2 2 2 4" xfId="9162" xr:uid="{A876713F-BF2E-4D74-A172-A00DDA681926}"/>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2 2 2" xfId="15938" xr:uid="{CCBE008C-CDAB-4CB1-8E73-48BD6CC4859C}"/>
    <cellStyle name="20% - Accent3 2 2 2 3 2 3" xfId="11720" xr:uid="{02728A2C-854D-4827-A6F7-972A7BDABB34}"/>
    <cellStyle name="20% - Accent3 2 2 2 3 3" xfId="5351" xr:uid="{00000000-0005-0000-0000-00004C010000}"/>
    <cellStyle name="20% - Accent3 2 2 2 3 3 2" xfId="13793" xr:uid="{A52384DF-4F64-4BA1-AD28-1DCE440C1180}"/>
    <cellStyle name="20% - Accent3 2 2 2 3 4" xfId="9575" xr:uid="{D6E1129A-EB7A-44FB-ADA0-81F63BACBB5D}"/>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2 2 2" xfId="16351" xr:uid="{817912BD-7C05-406C-A8D9-21057F77A234}"/>
    <cellStyle name="20% - Accent3 2 2 2 4 2 3" xfId="12133" xr:uid="{4FE1C37E-3253-495B-B679-860269CC0187}"/>
    <cellStyle name="20% - Accent3 2 2 2 4 3" xfId="5764" xr:uid="{00000000-0005-0000-0000-000050010000}"/>
    <cellStyle name="20% - Accent3 2 2 2 4 3 2" xfId="14206" xr:uid="{E89EC779-F747-440D-ADAE-179A21AFD7B8}"/>
    <cellStyle name="20% - Accent3 2 2 2 4 4" xfId="9988" xr:uid="{A4BB4734-374E-4632-8BFA-F99B1AA122C2}"/>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2 2 2" xfId="16764" xr:uid="{6B426D39-CEB2-4A1F-8479-361930BD976F}"/>
    <cellStyle name="20% - Accent3 2 2 2 5 2 3" xfId="12546" xr:uid="{E1198BEF-DC3C-4D5F-A03D-96B072A004BD}"/>
    <cellStyle name="20% - Accent3 2 2 2 5 3" xfId="6177" xr:uid="{00000000-0005-0000-0000-000054010000}"/>
    <cellStyle name="20% - Accent3 2 2 2 5 3 2" xfId="14619" xr:uid="{1EFB239D-BD90-4C40-92F1-57513557E575}"/>
    <cellStyle name="20% - Accent3 2 2 2 5 4" xfId="10401" xr:uid="{39F557DD-23C2-404E-8F2A-F4B0D3A4B7FB}"/>
    <cellStyle name="20% - Accent3 2 2 2 6" xfId="2283" xr:uid="{00000000-0005-0000-0000-000055010000}"/>
    <cellStyle name="20% - Accent3 2 2 2 6 2" xfId="6590" xr:uid="{00000000-0005-0000-0000-000056010000}"/>
    <cellStyle name="20% - Accent3 2 2 2 6 2 2" xfId="15032" xr:uid="{00FFAA5D-3D0A-4C77-AB57-5B9B6FE5B693}"/>
    <cellStyle name="20% - Accent3 2 2 2 6 3" xfId="10814" xr:uid="{5D716117-CA72-4B2B-BDCA-775D03865DF6}"/>
    <cellStyle name="20% - Accent3 2 2 2 7" xfId="4524" xr:uid="{00000000-0005-0000-0000-000057010000}"/>
    <cellStyle name="20% - Accent3 2 2 2 7 2" xfId="12966" xr:uid="{CDE9A375-6E7D-4C97-85FD-0F390B347662}"/>
    <cellStyle name="20% - Accent3 2 2 2 8" xfId="8748" xr:uid="{95F71B65-5B7C-4655-9BC5-3B1CF0D2A267}"/>
    <cellStyle name="20% - Accent3 2 2 3" xfId="588" xr:uid="{00000000-0005-0000-0000-000058010000}"/>
    <cellStyle name="20% - Accent3 2 2 3 2" xfId="2859" xr:uid="{00000000-0005-0000-0000-000059010000}"/>
    <cellStyle name="20% - Accent3 2 2 3 2 2" xfId="7082" xr:uid="{00000000-0005-0000-0000-00005A010000}"/>
    <cellStyle name="20% - Accent3 2 2 3 2 2 2" xfId="15524" xr:uid="{4F14CF2A-E898-4539-8B47-A99F2BA4E327}"/>
    <cellStyle name="20% - Accent3 2 2 3 2 3" xfId="11306" xr:uid="{3AC1BCDD-4AD8-4807-967A-B052376D07F3}"/>
    <cellStyle name="20% - Accent3 2 2 3 3" xfId="4937" xr:uid="{00000000-0005-0000-0000-00005B010000}"/>
    <cellStyle name="20% - Accent3 2 2 3 3 2" xfId="13379" xr:uid="{0EAD6A48-82DE-4321-A154-FD1EC0BD06A5}"/>
    <cellStyle name="20% - Accent3 2 2 3 4" xfId="9161" xr:uid="{1AB590A0-FA95-4BBE-A979-B80C839E2EFD}"/>
    <cellStyle name="20% - Accent3 2 2 4" xfId="1041" xr:uid="{00000000-0005-0000-0000-00005C010000}"/>
    <cellStyle name="20% - Accent3 2 2 4 2" xfId="3272" xr:uid="{00000000-0005-0000-0000-00005D010000}"/>
    <cellStyle name="20% - Accent3 2 2 4 2 2" xfId="7495" xr:uid="{00000000-0005-0000-0000-00005E010000}"/>
    <cellStyle name="20% - Accent3 2 2 4 2 2 2" xfId="15937" xr:uid="{5FB7F18C-6253-4730-BD28-6652D5156133}"/>
    <cellStyle name="20% - Accent3 2 2 4 2 3" xfId="11719" xr:uid="{61582B20-AA2C-40C6-9750-9CEBD5804EC3}"/>
    <cellStyle name="20% - Accent3 2 2 4 3" xfId="5350" xr:uid="{00000000-0005-0000-0000-00005F010000}"/>
    <cellStyle name="20% - Accent3 2 2 4 3 2" xfId="13792" xr:uid="{D91D5E9B-312C-488D-9DB8-5F2E7A0CD1E8}"/>
    <cellStyle name="20% - Accent3 2 2 4 4" xfId="9574" xr:uid="{78376221-D110-4FB9-8275-0F50FADE45B5}"/>
    <cellStyle name="20% - Accent3 2 2 5" xfId="1455" xr:uid="{00000000-0005-0000-0000-000060010000}"/>
    <cellStyle name="20% - Accent3 2 2 5 2" xfId="3685" xr:uid="{00000000-0005-0000-0000-000061010000}"/>
    <cellStyle name="20% - Accent3 2 2 5 2 2" xfId="7908" xr:uid="{00000000-0005-0000-0000-000062010000}"/>
    <cellStyle name="20% - Accent3 2 2 5 2 2 2" xfId="16350" xr:uid="{66163CA6-71F2-4DB1-B64B-23A3C44F9520}"/>
    <cellStyle name="20% - Accent3 2 2 5 2 3" xfId="12132" xr:uid="{62544C0E-0BDB-4566-8F5C-67FA73373B90}"/>
    <cellStyle name="20% - Accent3 2 2 5 3" xfId="5763" xr:uid="{00000000-0005-0000-0000-000063010000}"/>
    <cellStyle name="20% - Accent3 2 2 5 3 2" xfId="14205" xr:uid="{050A67C6-EBBF-4D43-B189-3AB2EE3BB17C}"/>
    <cellStyle name="20% - Accent3 2 2 5 4" xfId="9987" xr:uid="{E5346375-CD65-4D1D-960C-A1863771C32E}"/>
    <cellStyle name="20% - Accent3 2 2 6" xfId="1869" xr:uid="{00000000-0005-0000-0000-000064010000}"/>
    <cellStyle name="20% - Accent3 2 2 6 2" xfId="4098" xr:uid="{00000000-0005-0000-0000-000065010000}"/>
    <cellStyle name="20% - Accent3 2 2 6 2 2" xfId="8321" xr:uid="{00000000-0005-0000-0000-000066010000}"/>
    <cellStyle name="20% - Accent3 2 2 6 2 2 2" xfId="16763" xr:uid="{20324E97-818D-4994-BFDF-393FA0E1072E}"/>
    <cellStyle name="20% - Accent3 2 2 6 2 3" xfId="12545" xr:uid="{85B40123-E4F7-4CA3-8BD9-8F30C8854149}"/>
    <cellStyle name="20% - Accent3 2 2 6 3" xfId="6176" xr:uid="{00000000-0005-0000-0000-000067010000}"/>
    <cellStyle name="20% - Accent3 2 2 6 3 2" xfId="14618" xr:uid="{DAA367B4-52B3-4D25-854B-72270EE7A228}"/>
    <cellStyle name="20% - Accent3 2 2 6 4" xfId="10400" xr:uid="{9B5B77C9-92C2-43C8-9C04-5A106B26BB2A}"/>
    <cellStyle name="20% - Accent3 2 2 7" xfId="2282" xr:uid="{00000000-0005-0000-0000-000068010000}"/>
    <cellStyle name="20% - Accent3 2 2 7 2" xfId="6589" xr:uid="{00000000-0005-0000-0000-000069010000}"/>
    <cellStyle name="20% - Accent3 2 2 7 2 2" xfId="15031" xr:uid="{21AB18D5-E478-4A6B-AEB0-DBEEA4C4163D}"/>
    <cellStyle name="20% - Accent3 2 2 7 3" xfId="10813" xr:uid="{5455D043-AE32-4ACF-B987-92603ACD4D16}"/>
    <cellStyle name="20% - Accent3 2 2 8" xfId="4523" xr:uid="{00000000-0005-0000-0000-00006A010000}"/>
    <cellStyle name="20% - Accent3 2 2 8 2" xfId="12965" xr:uid="{584CA8F6-A43D-4251-B514-67F384D133A1}"/>
    <cellStyle name="20% - Accent3 2 2 9" xfId="8747" xr:uid="{5F88F8ED-58B4-478B-BE2C-E6C9B8CBB405}"/>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2 2 2" xfId="15526" xr:uid="{BD34C773-AC60-4999-AA12-2A7CBEE9E1B6}"/>
    <cellStyle name="20% - Accent3 2 3 2 2 3" xfId="11308" xr:uid="{77106615-AB08-4B33-B98F-99251F559810}"/>
    <cellStyle name="20% - Accent3 2 3 2 3" xfId="4939" xr:uid="{00000000-0005-0000-0000-00006F010000}"/>
    <cellStyle name="20% - Accent3 2 3 2 3 2" xfId="13381" xr:uid="{3D79CA69-4E34-4F77-9EE4-8E8C1BEFD433}"/>
    <cellStyle name="20% - Accent3 2 3 2 4" xfId="9163" xr:uid="{7665F621-4E74-4722-BF5C-DACFCEBB3238}"/>
    <cellStyle name="20% - Accent3 2 3 3" xfId="1043" xr:uid="{00000000-0005-0000-0000-000070010000}"/>
    <cellStyle name="20% - Accent3 2 3 3 2" xfId="3274" xr:uid="{00000000-0005-0000-0000-000071010000}"/>
    <cellStyle name="20% - Accent3 2 3 3 2 2" xfId="7497" xr:uid="{00000000-0005-0000-0000-000072010000}"/>
    <cellStyle name="20% - Accent3 2 3 3 2 2 2" xfId="15939" xr:uid="{96F37469-A28B-4EA9-81D0-ACB0587CC3CF}"/>
    <cellStyle name="20% - Accent3 2 3 3 2 3" xfId="11721" xr:uid="{DD33984F-631B-4E5D-A2B0-5977700DA541}"/>
    <cellStyle name="20% - Accent3 2 3 3 3" xfId="5352" xr:uid="{00000000-0005-0000-0000-000073010000}"/>
    <cellStyle name="20% - Accent3 2 3 3 3 2" xfId="13794" xr:uid="{0AAC066A-81AF-4FB9-9E61-96EA2D931C84}"/>
    <cellStyle name="20% - Accent3 2 3 3 4" xfId="9576" xr:uid="{B6D3D455-6C34-44EE-AD3C-A0523F05D929}"/>
    <cellStyle name="20% - Accent3 2 3 4" xfId="1457" xr:uid="{00000000-0005-0000-0000-000074010000}"/>
    <cellStyle name="20% - Accent3 2 3 4 2" xfId="3687" xr:uid="{00000000-0005-0000-0000-000075010000}"/>
    <cellStyle name="20% - Accent3 2 3 4 2 2" xfId="7910" xr:uid="{00000000-0005-0000-0000-000076010000}"/>
    <cellStyle name="20% - Accent3 2 3 4 2 2 2" xfId="16352" xr:uid="{460F2BF8-DBF7-4CC6-B79E-CE01C814A1CD}"/>
    <cellStyle name="20% - Accent3 2 3 4 2 3" xfId="12134" xr:uid="{140CABAA-F79B-4CE0-9348-C8DABA11E7E9}"/>
    <cellStyle name="20% - Accent3 2 3 4 3" xfId="5765" xr:uid="{00000000-0005-0000-0000-000077010000}"/>
    <cellStyle name="20% - Accent3 2 3 4 3 2" xfId="14207" xr:uid="{AB88DBD3-857B-4F09-A32A-EB27B4867993}"/>
    <cellStyle name="20% - Accent3 2 3 4 4" xfId="9989" xr:uid="{84168859-EA51-499E-803E-55B1A3E4E0C6}"/>
    <cellStyle name="20% - Accent3 2 3 5" xfId="1871" xr:uid="{00000000-0005-0000-0000-000078010000}"/>
    <cellStyle name="20% - Accent3 2 3 5 2" xfId="4100" xr:uid="{00000000-0005-0000-0000-000079010000}"/>
    <cellStyle name="20% - Accent3 2 3 5 2 2" xfId="8323" xr:uid="{00000000-0005-0000-0000-00007A010000}"/>
    <cellStyle name="20% - Accent3 2 3 5 2 2 2" xfId="16765" xr:uid="{DAAB397E-9CDF-4B90-9CC8-9BCF5A6F6715}"/>
    <cellStyle name="20% - Accent3 2 3 5 2 3" xfId="12547" xr:uid="{492648A2-DBE6-444F-9D7E-FBCA2F790AC3}"/>
    <cellStyle name="20% - Accent3 2 3 5 3" xfId="6178" xr:uid="{00000000-0005-0000-0000-00007B010000}"/>
    <cellStyle name="20% - Accent3 2 3 5 3 2" xfId="14620" xr:uid="{79BF236B-543D-4B3D-A819-6205221D3F6B}"/>
    <cellStyle name="20% - Accent3 2 3 5 4" xfId="10402" xr:uid="{F2AFCF20-DA45-4159-87A0-225EA3A25ECC}"/>
    <cellStyle name="20% - Accent3 2 3 6" xfId="2284" xr:uid="{00000000-0005-0000-0000-00007C010000}"/>
    <cellStyle name="20% - Accent3 2 3 6 2" xfId="6591" xr:uid="{00000000-0005-0000-0000-00007D010000}"/>
    <cellStyle name="20% - Accent3 2 3 6 2 2" xfId="15033" xr:uid="{407CFDA2-D19D-4B01-A4C6-4353A2CAFE82}"/>
    <cellStyle name="20% - Accent3 2 3 6 3" xfId="10815" xr:uid="{CC79A7A9-63DC-4A9E-8014-A0E3991058ED}"/>
    <cellStyle name="20% - Accent3 2 3 7" xfId="4525" xr:uid="{00000000-0005-0000-0000-00007E010000}"/>
    <cellStyle name="20% - Accent3 2 3 7 2" xfId="12967" xr:uid="{304FCA57-E810-4BDD-9B6D-B717EBB6EB2C}"/>
    <cellStyle name="20% - Accent3 2 3 8" xfId="8749" xr:uid="{041F9AFE-B3D5-4B25-B90A-A35B8B1A576F}"/>
    <cellStyle name="20% - Accent3 2 4" xfId="587" xr:uid="{00000000-0005-0000-0000-00007F010000}"/>
    <cellStyle name="20% - Accent3 2 4 2" xfId="2858" xr:uid="{00000000-0005-0000-0000-000080010000}"/>
    <cellStyle name="20% - Accent3 2 4 2 2" xfId="7081" xr:uid="{00000000-0005-0000-0000-000081010000}"/>
    <cellStyle name="20% - Accent3 2 4 2 2 2" xfId="15523" xr:uid="{80E7EB17-2D0D-40F4-A38C-53F834C0B9DA}"/>
    <cellStyle name="20% - Accent3 2 4 2 3" xfId="11305" xr:uid="{60F520E8-A1AB-406A-9212-81ACE8C1F3B7}"/>
    <cellStyle name="20% - Accent3 2 4 3" xfId="4936" xr:uid="{00000000-0005-0000-0000-000082010000}"/>
    <cellStyle name="20% - Accent3 2 4 3 2" xfId="13378" xr:uid="{3B7BAF86-B464-46A9-8EF8-E06BD589C7DB}"/>
    <cellStyle name="20% - Accent3 2 4 4" xfId="9160" xr:uid="{AA7B0BCE-839A-4839-8D42-4D9988CEE5EC}"/>
    <cellStyle name="20% - Accent3 2 5" xfId="1040" xr:uid="{00000000-0005-0000-0000-000083010000}"/>
    <cellStyle name="20% - Accent3 2 5 2" xfId="3271" xr:uid="{00000000-0005-0000-0000-000084010000}"/>
    <cellStyle name="20% - Accent3 2 5 2 2" xfId="7494" xr:uid="{00000000-0005-0000-0000-000085010000}"/>
    <cellStyle name="20% - Accent3 2 5 2 2 2" xfId="15936" xr:uid="{09BF9ADF-325F-4D34-8E56-6B58E2445A92}"/>
    <cellStyle name="20% - Accent3 2 5 2 3" xfId="11718" xr:uid="{AB584BD0-EF29-460D-9DEE-E4DDEC75A1A9}"/>
    <cellStyle name="20% - Accent3 2 5 3" xfId="5349" xr:uid="{00000000-0005-0000-0000-000086010000}"/>
    <cellStyle name="20% - Accent3 2 5 3 2" xfId="13791" xr:uid="{B4474581-EEA2-4318-998A-A650C795CE76}"/>
    <cellStyle name="20% - Accent3 2 5 4" xfId="9573" xr:uid="{A117A0BE-3DFE-467A-9D2F-A5ACC2F0EF2F}"/>
    <cellStyle name="20% - Accent3 2 6" xfId="1454" xr:uid="{00000000-0005-0000-0000-000087010000}"/>
    <cellStyle name="20% - Accent3 2 6 2" xfId="3684" xr:uid="{00000000-0005-0000-0000-000088010000}"/>
    <cellStyle name="20% - Accent3 2 6 2 2" xfId="7907" xr:uid="{00000000-0005-0000-0000-000089010000}"/>
    <cellStyle name="20% - Accent3 2 6 2 2 2" xfId="16349" xr:uid="{9B94718F-2A74-4E78-9FB5-6A3B87A35ED0}"/>
    <cellStyle name="20% - Accent3 2 6 2 3" xfId="12131" xr:uid="{C1E6904B-A27B-408E-ADAC-655534459731}"/>
    <cellStyle name="20% - Accent3 2 6 3" xfId="5762" xr:uid="{00000000-0005-0000-0000-00008A010000}"/>
    <cellStyle name="20% - Accent3 2 6 3 2" xfId="14204" xr:uid="{70CA6B99-FA41-409E-8A6E-00FCD28432F4}"/>
    <cellStyle name="20% - Accent3 2 6 4" xfId="9986" xr:uid="{81777FC0-6896-424E-B5DC-DF1CE51A1E23}"/>
    <cellStyle name="20% - Accent3 2 7" xfId="1868" xr:uid="{00000000-0005-0000-0000-00008B010000}"/>
    <cellStyle name="20% - Accent3 2 7 2" xfId="4097" xr:uid="{00000000-0005-0000-0000-00008C010000}"/>
    <cellStyle name="20% - Accent3 2 7 2 2" xfId="8320" xr:uid="{00000000-0005-0000-0000-00008D010000}"/>
    <cellStyle name="20% - Accent3 2 7 2 2 2" xfId="16762" xr:uid="{E5142620-13BD-4912-B4AB-ABAB0D3D227F}"/>
    <cellStyle name="20% - Accent3 2 7 2 3" xfId="12544" xr:uid="{A8CDBF6A-03A4-4B01-B980-38BB44F7547C}"/>
    <cellStyle name="20% - Accent3 2 7 3" xfId="6175" xr:uid="{00000000-0005-0000-0000-00008E010000}"/>
    <cellStyle name="20% - Accent3 2 7 3 2" xfId="14617" xr:uid="{7A6968E8-8D35-4150-8F5F-217B6F48A5E8}"/>
    <cellStyle name="20% - Accent3 2 7 4" xfId="10399" xr:uid="{32C2D88D-A76B-40FC-A61D-35E032112F58}"/>
    <cellStyle name="20% - Accent3 2 8" xfId="2281" xr:uid="{00000000-0005-0000-0000-00008F010000}"/>
    <cellStyle name="20% - Accent3 2 8 2" xfId="6588" xr:uid="{00000000-0005-0000-0000-000090010000}"/>
    <cellStyle name="20% - Accent3 2 8 2 2" xfId="15030" xr:uid="{77DE6441-DE1B-4B7A-B5FC-FEFD9A786FDE}"/>
    <cellStyle name="20% - Accent3 2 8 3" xfId="10812" xr:uid="{91AA7920-D371-4F22-B4CC-C87D9D41D2DF}"/>
    <cellStyle name="20% - Accent3 2 9" xfId="4522" xr:uid="{00000000-0005-0000-0000-000091010000}"/>
    <cellStyle name="20% - Accent3 2 9 2" xfId="12964" xr:uid="{C5736085-B4CD-42BB-9601-FCF2F961529B}"/>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2 2 2" xfId="15528" xr:uid="{C327621C-968B-4E7A-B410-934002DC51C0}"/>
    <cellStyle name="20% - Accent3 3 2 2 2 3" xfId="11310" xr:uid="{152E394B-A0F6-4C90-888F-57A78202105B}"/>
    <cellStyle name="20% - Accent3 3 2 2 3" xfId="4941" xr:uid="{00000000-0005-0000-0000-000097010000}"/>
    <cellStyle name="20% - Accent3 3 2 2 3 2" xfId="13383" xr:uid="{4AED91A7-15C3-4EEC-910C-375CA17F5E44}"/>
    <cellStyle name="20% - Accent3 3 2 2 4" xfId="9165" xr:uid="{8FA8C899-082C-4B83-B41C-BFD256C1B87A}"/>
    <cellStyle name="20% - Accent3 3 2 3" xfId="1045" xr:uid="{00000000-0005-0000-0000-000098010000}"/>
    <cellStyle name="20% - Accent3 3 2 3 2" xfId="3276" xr:uid="{00000000-0005-0000-0000-000099010000}"/>
    <cellStyle name="20% - Accent3 3 2 3 2 2" xfId="7499" xr:uid="{00000000-0005-0000-0000-00009A010000}"/>
    <cellStyle name="20% - Accent3 3 2 3 2 2 2" xfId="15941" xr:uid="{FE2A4CD9-F7C5-4090-85E5-154F7AEAEE7D}"/>
    <cellStyle name="20% - Accent3 3 2 3 2 3" xfId="11723" xr:uid="{A1EB000C-8F37-44C4-B2BD-13512776D8B2}"/>
    <cellStyle name="20% - Accent3 3 2 3 3" xfId="5354" xr:uid="{00000000-0005-0000-0000-00009B010000}"/>
    <cellStyle name="20% - Accent3 3 2 3 3 2" xfId="13796" xr:uid="{46352D5A-BF40-4F93-8138-9C3A880EBFC8}"/>
    <cellStyle name="20% - Accent3 3 2 3 4" xfId="9578" xr:uid="{4EE76CCA-9372-482C-BA52-B382DC59C291}"/>
    <cellStyle name="20% - Accent3 3 2 4" xfId="1459" xr:uid="{00000000-0005-0000-0000-00009C010000}"/>
    <cellStyle name="20% - Accent3 3 2 4 2" xfId="3689" xr:uid="{00000000-0005-0000-0000-00009D010000}"/>
    <cellStyle name="20% - Accent3 3 2 4 2 2" xfId="7912" xr:uid="{00000000-0005-0000-0000-00009E010000}"/>
    <cellStyle name="20% - Accent3 3 2 4 2 2 2" xfId="16354" xr:uid="{19CA0A31-B933-47F0-A154-74951DA8F294}"/>
    <cellStyle name="20% - Accent3 3 2 4 2 3" xfId="12136" xr:uid="{D0FA04BD-C642-4DFC-A1E7-D9D462329E68}"/>
    <cellStyle name="20% - Accent3 3 2 4 3" xfId="5767" xr:uid="{00000000-0005-0000-0000-00009F010000}"/>
    <cellStyle name="20% - Accent3 3 2 4 3 2" xfId="14209" xr:uid="{BC42057D-99A9-49A9-8E73-1495CBE6B18D}"/>
    <cellStyle name="20% - Accent3 3 2 4 4" xfId="9991" xr:uid="{92DBA422-7BB0-4CF1-A3F7-24D8FA5A8404}"/>
    <cellStyle name="20% - Accent3 3 2 5" xfId="1873" xr:uid="{00000000-0005-0000-0000-0000A0010000}"/>
    <cellStyle name="20% - Accent3 3 2 5 2" xfId="4102" xr:uid="{00000000-0005-0000-0000-0000A1010000}"/>
    <cellStyle name="20% - Accent3 3 2 5 2 2" xfId="8325" xr:uid="{00000000-0005-0000-0000-0000A2010000}"/>
    <cellStyle name="20% - Accent3 3 2 5 2 2 2" xfId="16767" xr:uid="{C1F24652-1281-48B5-91D9-53640D006F6B}"/>
    <cellStyle name="20% - Accent3 3 2 5 2 3" xfId="12549" xr:uid="{281C9284-C2E2-403E-8F6F-9DBB584B25F8}"/>
    <cellStyle name="20% - Accent3 3 2 5 3" xfId="6180" xr:uid="{00000000-0005-0000-0000-0000A3010000}"/>
    <cellStyle name="20% - Accent3 3 2 5 3 2" xfId="14622" xr:uid="{A63A2935-D791-42A3-A9C2-B42213A9EEBE}"/>
    <cellStyle name="20% - Accent3 3 2 5 4" xfId="10404" xr:uid="{4D8DF929-884E-421E-8D48-5058896609BD}"/>
    <cellStyle name="20% - Accent3 3 2 6" xfId="2286" xr:uid="{00000000-0005-0000-0000-0000A4010000}"/>
    <cellStyle name="20% - Accent3 3 2 6 2" xfId="6593" xr:uid="{00000000-0005-0000-0000-0000A5010000}"/>
    <cellStyle name="20% - Accent3 3 2 6 2 2" xfId="15035" xr:uid="{B3FA33C2-EF7F-4D3F-B0B2-BF895C83E36A}"/>
    <cellStyle name="20% - Accent3 3 2 6 3" xfId="10817" xr:uid="{7B77365F-9A62-452E-93F9-0F2AB4892538}"/>
    <cellStyle name="20% - Accent3 3 2 7" xfId="4527" xr:uid="{00000000-0005-0000-0000-0000A6010000}"/>
    <cellStyle name="20% - Accent3 3 2 7 2" xfId="12969" xr:uid="{CA3A5001-9B1B-489F-9D81-753E36C01AB6}"/>
    <cellStyle name="20% - Accent3 3 2 8" xfId="8751" xr:uid="{1F33ED53-8754-4B78-AC4A-06E4A13A483D}"/>
    <cellStyle name="20% - Accent3 3 3" xfId="591" xr:uid="{00000000-0005-0000-0000-0000A7010000}"/>
    <cellStyle name="20% - Accent3 3 3 2" xfId="2862" xr:uid="{00000000-0005-0000-0000-0000A8010000}"/>
    <cellStyle name="20% - Accent3 3 3 2 2" xfId="7085" xr:uid="{00000000-0005-0000-0000-0000A9010000}"/>
    <cellStyle name="20% - Accent3 3 3 2 2 2" xfId="15527" xr:uid="{6A468741-EA4A-4BBF-8FF1-48145D7749C4}"/>
    <cellStyle name="20% - Accent3 3 3 2 3" xfId="11309" xr:uid="{CF5DE739-BA62-41F8-BEC2-C7D32FDB8A09}"/>
    <cellStyle name="20% - Accent3 3 3 3" xfId="4940" xr:uid="{00000000-0005-0000-0000-0000AA010000}"/>
    <cellStyle name="20% - Accent3 3 3 3 2" xfId="13382" xr:uid="{5117A57D-BB6B-4CDD-B386-992F25B54BA0}"/>
    <cellStyle name="20% - Accent3 3 3 4" xfId="9164" xr:uid="{F170EB51-19AC-4E63-918A-1D5DC45E44BD}"/>
    <cellStyle name="20% - Accent3 3 4" xfId="1044" xr:uid="{00000000-0005-0000-0000-0000AB010000}"/>
    <cellStyle name="20% - Accent3 3 4 2" xfId="3275" xr:uid="{00000000-0005-0000-0000-0000AC010000}"/>
    <cellStyle name="20% - Accent3 3 4 2 2" xfId="7498" xr:uid="{00000000-0005-0000-0000-0000AD010000}"/>
    <cellStyle name="20% - Accent3 3 4 2 2 2" xfId="15940" xr:uid="{BACB3E33-9A29-46A7-8846-4B7425748F5B}"/>
    <cellStyle name="20% - Accent3 3 4 2 3" xfId="11722" xr:uid="{6B9078E3-B5E7-4FC0-B625-B339A4CEBB61}"/>
    <cellStyle name="20% - Accent3 3 4 3" xfId="5353" xr:uid="{00000000-0005-0000-0000-0000AE010000}"/>
    <cellStyle name="20% - Accent3 3 4 3 2" xfId="13795" xr:uid="{BD9F8944-3EBD-47E9-9F41-9B573F0EAAB0}"/>
    <cellStyle name="20% - Accent3 3 4 4" xfId="9577" xr:uid="{369084F2-E634-4657-9575-5A2DCE550340}"/>
    <cellStyle name="20% - Accent3 3 5" xfId="1458" xr:uid="{00000000-0005-0000-0000-0000AF010000}"/>
    <cellStyle name="20% - Accent3 3 5 2" xfId="3688" xr:uid="{00000000-0005-0000-0000-0000B0010000}"/>
    <cellStyle name="20% - Accent3 3 5 2 2" xfId="7911" xr:uid="{00000000-0005-0000-0000-0000B1010000}"/>
    <cellStyle name="20% - Accent3 3 5 2 2 2" xfId="16353" xr:uid="{1552809A-98BC-431C-84E5-7F9E9617ADB3}"/>
    <cellStyle name="20% - Accent3 3 5 2 3" xfId="12135" xr:uid="{DCA1F22A-4B62-4E38-86BA-EC4A824367C7}"/>
    <cellStyle name="20% - Accent3 3 5 3" xfId="5766" xr:uid="{00000000-0005-0000-0000-0000B2010000}"/>
    <cellStyle name="20% - Accent3 3 5 3 2" xfId="14208" xr:uid="{907554CC-5A20-4DAE-A952-0B5456B48AA8}"/>
    <cellStyle name="20% - Accent3 3 5 4" xfId="9990" xr:uid="{43EFEB65-5686-44C6-89A3-B3E256A2FAE8}"/>
    <cellStyle name="20% - Accent3 3 6" xfId="1872" xr:uid="{00000000-0005-0000-0000-0000B3010000}"/>
    <cellStyle name="20% - Accent3 3 6 2" xfId="4101" xr:uid="{00000000-0005-0000-0000-0000B4010000}"/>
    <cellStyle name="20% - Accent3 3 6 2 2" xfId="8324" xr:uid="{00000000-0005-0000-0000-0000B5010000}"/>
    <cellStyle name="20% - Accent3 3 6 2 2 2" xfId="16766" xr:uid="{A0D0D62B-3A42-408C-8602-BDE84826C6E5}"/>
    <cellStyle name="20% - Accent3 3 6 2 3" xfId="12548" xr:uid="{1795C6E5-FE9A-4BB0-9F40-A4E23D1A0024}"/>
    <cellStyle name="20% - Accent3 3 6 3" xfId="6179" xr:uid="{00000000-0005-0000-0000-0000B6010000}"/>
    <cellStyle name="20% - Accent3 3 6 3 2" xfId="14621" xr:uid="{23F85F69-55A9-4F74-9C46-3E8DDC06CFC8}"/>
    <cellStyle name="20% - Accent3 3 6 4" xfId="10403" xr:uid="{AAA0E410-5B58-4E1A-B142-BC913DD95F76}"/>
    <cellStyle name="20% - Accent3 3 7" xfId="2285" xr:uid="{00000000-0005-0000-0000-0000B7010000}"/>
    <cellStyle name="20% - Accent3 3 7 2" xfId="6592" xr:uid="{00000000-0005-0000-0000-0000B8010000}"/>
    <cellStyle name="20% - Accent3 3 7 2 2" xfId="15034" xr:uid="{B3955D64-A9DE-4EAA-9BCE-390467A208E6}"/>
    <cellStyle name="20% - Accent3 3 7 3" xfId="10816" xr:uid="{CC6D7407-2C4E-4BAB-B59A-92296FB1CE46}"/>
    <cellStyle name="20% - Accent3 3 8" xfId="4526" xr:uid="{00000000-0005-0000-0000-0000B9010000}"/>
    <cellStyle name="20% - Accent3 3 8 2" xfId="12968" xr:uid="{2BA9FC7C-1A25-46DA-AAE7-94D2BCB27D78}"/>
    <cellStyle name="20% - Accent3 3 9" xfId="8750" xr:uid="{4B025923-3DC6-41B7-873E-CFABAA6C53F6}"/>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2 2 2" xfId="15529" xr:uid="{22B28984-1C2F-4F54-B124-7348F52BAC78}"/>
    <cellStyle name="20% - Accent3 4 2 2 3" xfId="11311" xr:uid="{A87CF8C0-9551-437D-9D4F-0605F1634335}"/>
    <cellStyle name="20% - Accent3 4 2 3" xfId="4942" xr:uid="{00000000-0005-0000-0000-0000BE010000}"/>
    <cellStyle name="20% - Accent3 4 2 3 2" xfId="13384" xr:uid="{B395C92E-DFE8-46F8-A258-15F1F00285B6}"/>
    <cellStyle name="20% - Accent3 4 2 4" xfId="9166" xr:uid="{36D7EF79-0A82-4949-BE42-84C786241690}"/>
    <cellStyle name="20% - Accent3 4 3" xfId="1046" xr:uid="{00000000-0005-0000-0000-0000BF010000}"/>
    <cellStyle name="20% - Accent3 4 3 2" xfId="3277" xr:uid="{00000000-0005-0000-0000-0000C0010000}"/>
    <cellStyle name="20% - Accent3 4 3 2 2" xfId="7500" xr:uid="{00000000-0005-0000-0000-0000C1010000}"/>
    <cellStyle name="20% - Accent3 4 3 2 2 2" xfId="15942" xr:uid="{905081BE-BA4F-4C37-A49F-A7C5109839B4}"/>
    <cellStyle name="20% - Accent3 4 3 2 3" xfId="11724" xr:uid="{243B9D87-D2AF-4679-BE8F-AAD29D080C1F}"/>
    <cellStyle name="20% - Accent3 4 3 3" xfId="5355" xr:uid="{00000000-0005-0000-0000-0000C2010000}"/>
    <cellStyle name="20% - Accent3 4 3 3 2" xfId="13797" xr:uid="{671D4F5D-95AB-4EFD-9910-B78450797A65}"/>
    <cellStyle name="20% - Accent3 4 3 4" xfId="9579" xr:uid="{32AD60DC-7B51-4414-99E7-5ED74443D7EE}"/>
    <cellStyle name="20% - Accent3 4 4" xfId="1460" xr:uid="{00000000-0005-0000-0000-0000C3010000}"/>
    <cellStyle name="20% - Accent3 4 4 2" xfId="3690" xr:uid="{00000000-0005-0000-0000-0000C4010000}"/>
    <cellStyle name="20% - Accent3 4 4 2 2" xfId="7913" xr:uid="{00000000-0005-0000-0000-0000C5010000}"/>
    <cellStyle name="20% - Accent3 4 4 2 2 2" xfId="16355" xr:uid="{E4B18D26-2383-43B9-88F3-B928AC93302A}"/>
    <cellStyle name="20% - Accent3 4 4 2 3" xfId="12137" xr:uid="{3668814B-C71E-47A2-86EC-394705E61801}"/>
    <cellStyle name="20% - Accent3 4 4 3" xfId="5768" xr:uid="{00000000-0005-0000-0000-0000C6010000}"/>
    <cellStyle name="20% - Accent3 4 4 3 2" xfId="14210" xr:uid="{C22E983E-20DE-4723-AC4F-A48F90838836}"/>
    <cellStyle name="20% - Accent3 4 4 4" xfId="9992" xr:uid="{8D8DB0DB-6AEE-4B8C-92A4-892765EE8C23}"/>
    <cellStyle name="20% - Accent3 4 5" xfId="1874" xr:uid="{00000000-0005-0000-0000-0000C7010000}"/>
    <cellStyle name="20% - Accent3 4 5 2" xfId="4103" xr:uid="{00000000-0005-0000-0000-0000C8010000}"/>
    <cellStyle name="20% - Accent3 4 5 2 2" xfId="8326" xr:uid="{00000000-0005-0000-0000-0000C9010000}"/>
    <cellStyle name="20% - Accent3 4 5 2 2 2" xfId="16768" xr:uid="{52C52FFF-5D8C-4535-9D7C-4139A556A643}"/>
    <cellStyle name="20% - Accent3 4 5 2 3" xfId="12550" xr:uid="{D6D9F6AA-EABC-41F7-A664-EAE9A5ADAA10}"/>
    <cellStyle name="20% - Accent3 4 5 3" xfId="6181" xr:uid="{00000000-0005-0000-0000-0000CA010000}"/>
    <cellStyle name="20% - Accent3 4 5 3 2" xfId="14623" xr:uid="{4ECAB7C4-7986-4BC3-A14A-6EF52069DA98}"/>
    <cellStyle name="20% - Accent3 4 5 4" xfId="10405" xr:uid="{458F8149-866D-41D5-9082-AA6400288781}"/>
    <cellStyle name="20% - Accent3 4 6" xfId="2287" xr:uid="{00000000-0005-0000-0000-0000CB010000}"/>
    <cellStyle name="20% - Accent3 4 6 2" xfId="6594" xr:uid="{00000000-0005-0000-0000-0000CC010000}"/>
    <cellStyle name="20% - Accent3 4 6 2 2" xfId="15036" xr:uid="{CEF1E1AF-FD31-4930-9009-1C7C1ED338BB}"/>
    <cellStyle name="20% - Accent3 4 6 3" xfId="10818" xr:uid="{95A3DD08-C678-4D21-9735-D24D21EEEBA8}"/>
    <cellStyle name="20% - Accent3 4 7" xfId="4528" xr:uid="{00000000-0005-0000-0000-0000CD010000}"/>
    <cellStyle name="20% - Accent3 4 7 2" xfId="12970" xr:uid="{783232AD-F1CA-43A5-8C6B-DB0D58EC56A8}"/>
    <cellStyle name="20% - Accent3 4 8" xfId="8752" xr:uid="{4354FD46-7547-4B12-B582-2F41A59B8F33}"/>
    <cellStyle name="20% - Accent3 5" xfId="586" xr:uid="{00000000-0005-0000-0000-0000CE010000}"/>
    <cellStyle name="20% - Accent3 5 2" xfId="2857" xr:uid="{00000000-0005-0000-0000-0000CF010000}"/>
    <cellStyle name="20% - Accent3 5 2 2" xfId="7080" xr:uid="{00000000-0005-0000-0000-0000D0010000}"/>
    <cellStyle name="20% - Accent3 5 2 2 2" xfId="15522" xr:uid="{A2E8748C-59DE-4D6E-8B8A-CCBF7C90BCA7}"/>
    <cellStyle name="20% - Accent3 5 2 3" xfId="11304" xr:uid="{45BF0648-DEA2-40E4-A34D-5BA375387BC5}"/>
    <cellStyle name="20% - Accent3 5 3" xfId="4935" xr:uid="{00000000-0005-0000-0000-0000D1010000}"/>
    <cellStyle name="20% - Accent3 5 3 2" xfId="13377" xr:uid="{89D5A8AD-4E64-45EE-8C63-31190F74C734}"/>
    <cellStyle name="20% - Accent3 5 4" xfId="9159" xr:uid="{2C31FDBA-2F0E-4FFE-A0A9-ACDC830B9F0C}"/>
    <cellStyle name="20% - Accent3 6" xfId="1039" xr:uid="{00000000-0005-0000-0000-0000D2010000}"/>
    <cellStyle name="20% - Accent3 6 2" xfId="3270" xr:uid="{00000000-0005-0000-0000-0000D3010000}"/>
    <cellStyle name="20% - Accent3 6 2 2" xfId="7493" xr:uid="{00000000-0005-0000-0000-0000D4010000}"/>
    <cellStyle name="20% - Accent3 6 2 2 2" xfId="15935" xr:uid="{30D94011-CA6C-4BE7-9373-E846FD9D1656}"/>
    <cellStyle name="20% - Accent3 6 2 3" xfId="11717" xr:uid="{70FC9054-5F68-4C98-8392-8088E8BAD70B}"/>
    <cellStyle name="20% - Accent3 6 3" xfId="5348" xr:uid="{00000000-0005-0000-0000-0000D5010000}"/>
    <cellStyle name="20% - Accent3 6 3 2" xfId="13790" xr:uid="{6DF160C4-CC06-477B-8EE8-B108E8CF026B}"/>
    <cellStyle name="20% - Accent3 6 4" xfId="9572" xr:uid="{C920C9D8-10E2-4011-96CC-94FEBFDAD275}"/>
    <cellStyle name="20% - Accent3 7" xfId="1453" xr:uid="{00000000-0005-0000-0000-0000D6010000}"/>
    <cellStyle name="20% - Accent3 7 2" xfId="3683" xr:uid="{00000000-0005-0000-0000-0000D7010000}"/>
    <cellStyle name="20% - Accent3 7 2 2" xfId="7906" xr:uid="{00000000-0005-0000-0000-0000D8010000}"/>
    <cellStyle name="20% - Accent3 7 2 2 2" xfId="16348" xr:uid="{23D3BE69-397B-48F6-9D4D-D9D4AF8D2AD5}"/>
    <cellStyle name="20% - Accent3 7 2 3" xfId="12130" xr:uid="{5DC72C37-0139-455F-95F9-3C96088258FF}"/>
    <cellStyle name="20% - Accent3 7 3" xfId="5761" xr:uid="{00000000-0005-0000-0000-0000D9010000}"/>
    <cellStyle name="20% - Accent3 7 3 2" xfId="14203" xr:uid="{B8E59AD6-1361-4370-B851-EE223F4827CC}"/>
    <cellStyle name="20% - Accent3 7 4" xfId="9985" xr:uid="{A3955421-97EC-4C6D-9BBB-E97DB1AE1F4B}"/>
    <cellStyle name="20% - Accent3 8" xfId="1867" xr:uid="{00000000-0005-0000-0000-0000DA010000}"/>
    <cellStyle name="20% - Accent3 8 2" xfId="4096" xr:uid="{00000000-0005-0000-0000-0000DB010000}"/>
    <cellStyle name="20% - Accent3 8 2 2" xfId="8319" xr:uid="{00000000-0005-0000-0000-0000DC010000}"/>
    <cellStyle name="20% - Accent3 8 2 2 2" xfId="16761" xr:uid="{81DD750B-6F35-4EA4-8505-86688A39276B}"/>
    <cellStyle name="20% - Accent3 8 2 3" xfId="12543" xr:uid="{C9990A15-14CB-461B-BE92-4F67DD353188}"/>
    <cellStyle name="20% - Accent3 8 3" xfId="6174" xr:uid="{00000000-0005-0000-0000-0000DD010000}"/>
    <cellStyle name="20% - Accent3 8 3 2" xfId="14616" xr:uid="{5CA01C5E-D84F-4C1B-98BB-8BC11EB58C91}"/>
    <cellStyle name="20% - Accent3 8 4" xfId="10398" xr:uid="{E5ABAD12-0E85-4A15-85AA-515E313876AB}"/>
    <cellStyle name="20% - Accent3 9" xfId="2280" xr:uid="{00000000-0005-0000-0000-0000DE010000}"/>
    <cellStyle name="20% - Accent3 9 2" xfId="6587" xr:uid="{00000000-0005-0000-0000-0000DF010000}"/>
    <cellStyle name="20% - Accent3 9 2 2" xfId="15029" xr:uid="{7A114FB5-4F6E-4159-BE6E-65145BCC60DB}"/>
    <cellStyle name="20% - Accent3 9 3" xfId="10811" xr:uid="{1CA18C64-6441-4182-81D5-7477BB591F8E}"/>
    <cellStyle name="20% - Accent4" xfId="25" builtinId="42" customBuiltin="1"/>
    <cellStyle name="20% - Accent4 10" xfId="4529" xr:uid="{00000000-0005-0000-0000-0000E1010000}"/>
    <cellStyle name="20% - Accent4 10 2" xfId="12971" xr:uid="{EA32BA1A-875E-4D76-A0C4-C272EAA2052A}"/>
    <cellStyle name="20% - Accent4 11" xfId="8753" xr:uid="{19CCFFEA-9CB7-4DBB-B1C6-91B09215BD80}"/>
    <cellStyle name="20% - Accent4 2" xfId="26" xr:uid="{00000000-0005-0000-0000-0000E2010000}"/>
    <cellStyle name="20% - Accent4 2 10" xfId="8754" xr:uid="{6AD2A198-CAC8-4F7C-9E19-C065A3D4EE6F}"/>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2 2 2" xfId="15533" xr:uid="{869B7D4E-D671-4A3A-8334-538E90BAA6BC}"/>
    <cellStyle name="20% - Accent4 2 2 2 2 2 3" xfId="11315" xr:uid="{88FFCC91-0828-4DAA-B39B-262713D678C1}"/>
    <cellStyle name="20% - Accent4 2 2 2 2 3" xfId="4946" xr:uid="{00000000-0005-0000-0000-0000E8010000}"/>
    <cellStyle name="20% - Accent4 2 2 2 2 3 2" xfId="13388" xr:uid="{9BC0E0D6-FE6A-4AA4-9A0B-8B1D084EA0D4}"/>
    <cellStyle name="20% - Accent4 2 2 2 2 4" xfId="9170" xr:uid="{2ED3141B-8297-4BF9-A563-23735BBB5529}"/>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2 2 2" xfId="15946" xr:uid="{85D024E5-856D-48A5-BD50-9F97ECE20D3B}"/>
    <cellStyle name="20% - Accent4 2 2 2 3 2 3" xfId="11728" xr:uid="{AF8E7737-D53F-4FF5-9B08-FEFF272F53EC}"/>
    <cellStyle name="20% - Accent4 2 2 2 3 3" xfId="5359" xr:uid="{00000000-0005-0000-0000-0000EC010000}"/>
    <cellStyle name="20% - Accent4 2 2 2 3 3 2" xfId="13801" xr:uid="{4644DA72-4999-433A-9A4C-6A65C77FBD42}"/>
    <cellStyle name="20% - Accent4 2 2 2 3 4" xfId="9583" xr:uid="{CA520A0B-4FED-406E-94FD-14F15E3ABEC3}"/>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2 2 2" xfId="16359" xr:uid="{98C4BBCB-47A1-4A77-A05B-251E3266BD8D}"/>
    <cellStyle name="20% - Accent4 2 2 2 4 2 3" xfId="12141" xr:uid="{A961CC68-4B27-4B79-8E64-272AE09D8ABA}"/>
    <cellStyle name="20% - Accent4 2 2 2 4 3" xfId="5772" xr:uid="{00000000-0005-0000-0000-0000F0010000}"/>
    <cellStyle name="20% - Accent4 2 2 2 4 3 2" xfId="14214" xr:uid="{4F4CEBEF-AC13-425A-988D-57B3AA33BF2E}"/>
    <cellStyle name="20% - Accent4 2 2 2 4 4" xfId="9996" xr:uid="{3E035D58-E65D-4565-BE9B-B78073DDF669}"/>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2 2 2" xfId="16772" xr:uid="{3A6D19B2-E548-4DD2-B09B-57F2700B73F5}"/>
    <cellStyle name="20% - Accent4 2 2 2 5 2 3" xfId="12554" xr:uid="{009CE1F6-ECC1-4B2A-B9DC-38029D605726}"/>
    <cellStyle name="20% - Accent4 2 2 2 5 3" xfId="6185" xr:uid="{00000000-0005-0000-0000-0000F4010000}"/>
    <cellStyle name="20% - Accent4 2 2 2 5 3 2" xfId="14627" xr:uid="{A7952C84-D9AA-4AEC-BC77-484A587D3362}"/>
    <cellStyle name="20% - Accent4 2 2 2 5 4" xfId="10409" xr:uid="{0FDA7CB5-20DC-476F-A0EC-6351269FBB8A}"/>
    <cellStyle name="20% - Accent4 2 2 2 6" xfId="2291" xr:uid="{00000000-0005-0000-0000-0000F5010000}"/>
    <cellStyle name="20% - Accent4 2 2 2 6 2" xfId="6598" xr:uid="{00000000-0005-0000-0000-0000F6010000}"/>
    <cellStyle name="20% - Accent4 2 2 2 6 2 2" xfId="15040" xr:uid="{0B9634EB-0262-43FE-B445-A94E7A96955C}"/>
    <cellStyle name="20% - Accent4 2 2 2 6 3" xfId="10822" xr:uid="{BE11AA45-BE73-4480-9A31-80BC429446D2}"/>
    <cellStyle name="20% - Accent4 2 2 2 7" xfId="4532" xr:uid="{00000000-0005-0000-0000-0000F7010000}"/>
    <cellStyle name="20% - Accent4 2 2 2 7 2" xfId="12974" xr:uid="{E3A6718B-2626-4467-93C2-89DE7E00D984}"/>
    <cellStyle name="20% - Accent4 2 2 2 8" xfId="8756" xr:uid="{B0714853-A297-4E78-8F4B-6AD7B1AAC748}"/>
    <cellStyle name="20% - Accent4 2 2 3" xfId="596" xr:uid="{00000000-0005-0000-0000-0000F8010000}"/>
    <cellStyle name="20% - Accent4 2 2 3 2" xfId="2867" xr:uid="{00000000-0005-0000-0000-0000F9010000}"/>
    <cellStyle name="20% - Accent4 2 2 3 2 2" xfId="7090" xr:uid="{00000000-0005-0000-0000-0000FA010000}"/>
    <cellStyle name="20% - Accent4 2 2 3 2 2 2" xfId="15532" xr:uid="{C3D37E52-3C7A-4942-A1F6-8A4D26BDE7C8}"/>
    <cellStyle name="20% - Accent4 2 2 3 2 3" xfId="11314" xr:uid="{A0D54F3D-64F3-4AA6-9752-A7864082A711}"/>
    <cellStyle name="20% - Accent4 2 2 3 3" xfId="4945" xr:uid="{00000000-0005-0000-0000-0000FB010000}"/>
    <cellStyle name="20% - Accent4 2 2 3 3 2" xfId="13387" xr:uid="{614C4543-C3FF-4A86-B864-85FEF3509344}"/>
    <cellStyle name="20% - Accent4 2 2 3 4" xfId="9169" xr:uid="{94A416BB-6809-486E-BAF8-C1B23CB07B29}"/>
    <cellStyle name="20% - Accent4 2 2 4" xfId="1049" xr:uid="{00000000-0005-0000-0000-0000FC010000}"/>
    <cellStyle name="20% - Accent4 2 2 4 2" xfId="3280" xr:uid="{00000000-0005-0000-0000-0000FD010000}"/>
    <cellStyle name="20% - Accent4 2 2 4 2 2" xfId="7503" xr:uid="{00000000-0005-0000-0000-0000FE010000}"/>
    <cellStyle name="20% - Accent4 2 2 4 2 2 2" xfId="15945" xr:uid="{F4145F7D-56C1-4046-B40A-DCC1AC3D8441}"/>
    <cellStyle name="20% - Accent4 2 2 4 2 3" xfId="11727" xr:uid="{4AE259C6-3D02-453F-84EF-4F747B2D4E18}"/>
    <cellStyle name="20% - Accent4 2 2 4 3" xfId="5358" xr:uid="{00000000-0005-0000-0000-0000FF010000}"/>
    <cellStyle name="20% - Accent4 2 2 4 3 2" xfId="13800" xr:uid="{9870B45A-7FDC-4BBB-9A6C-C04293059C14}"/>
    <cellStyle name="20% - Accent4 2 2 4 4" xfId="9582" xr:uid="{2F7324D8-52D6-43F8-B7FF-DEC0C075C5DE}"/>
    <cellStyle name="20% - Accent4 2 2 5" xfId="1463" xr:uid="{00000000-0005-0000-0000-000000020000}"/>
    <cellStyle name="20% - Accent4 2 2 5 2" xfId="3693" xr:uid="{00000000-0005-0000-0000-000001020000}"/>
    <cellStyle name="20% - Accent4 2 2 5 2 2" xfId="7916" xr:uid="{00000000-0005-0000-0000-000002020000}"/>
    <cellStyle name="20% - Accent4 2 2 5 2 2 2" xfId="16358" xr:uid="{39ABC4E9-DACC-46A2-A6AA-8E795F0325AB}"/>
    <cellStyle name="20% - Accent4 2 2 5 2 3" xfId="12140" xr:uid="{4050F742-0BD1-487D-9F38-5DD932972920}"/>
    <cellStyle name="20% - Accent4 2 2 5 3" xfId="5771" xr:uid="{00000000-0005-0000-0000-000003020000}"/>
    <cellStyle name="20% - Accent4 2 2 5 3 2" xfId="14213" xr:uid="{B416AC20-0257-4333-85BC-DB91EA7E4EA9}"/>
    <cellStyle name="20% - Accent4 2 2 5 4" xfId="9995" xr:uid="{5486D83A-86CB-4A97-9436-26976DB3C594}"/>
    <cellStyle name="20% - Accent4 2 2 6" xfId="1877" xr:uid="{00000000-0005-0000-0000-000004020000}"/>
    <cellStyle name="20% - Accent4 2 2 6 2" xfId="4106" xr:uid="{00000000-0005-0000-0000-000005020000}"/>
    <cellStyle name="20% - Accent4 2 2 6 2 2" xfId="8329" xr:uid="{00000000-0005-0000-0000-000006020000}"/>
    <cellStyle name="20% - Accent4 2 2 6 2 2 2" xfId="16771" xr:uid="{1995AA86-28C8-42F2-9E50-A6BB255831E0}"/>
    <cellStyle name="20% - Accent4 2 2 6 2 3" xfId="12553" xr:uid="{D7D73E71-DF4F-42E8-9DCB-3F0211ADA4A9}"/>
    <cellStyle name="20% - Accent4 2 2 6 3" xfId="6184" xr:uid="{00000000-0005-0000-0000-000007020000}"/>
    <cellStyle name="20% - Accent4 2 2 6 3 2" xfId="14626" xr:uid="{35B7954B-E70C-4BDE-ADA8-C21D5BF55654}"/>
    <cellStyle name="20% - Accent4 2 2 6 4" xfId="10408" xr:uid="{A657D62A-48E7-44CA-A081-4FD3CBC36792}"/>
    <cellStyle name="20% - Accent4 2 2 7" xfId="2290" xr:uid="{00000000-0005-0000-0000-000008020000}"/>
    <cellStyle name="20% - Accent4 2 2 7 2" xfId="6597" xr:uid="{00000000-0005-0000-0000-000009020000}"/>
    <cellStyle name="20% - Accent4 2 2 7 2 2" xfId="15039" xr:uid="{CC8B5C8C-8DCC-4BA4-A234-2C2ADFC55135}"/>
    <cellStyle name="20% - Accent4 2 2 7 3" xfId="10821" xr:uid="{B74FA49C-9B8D-4779-85DA-EE7BF7913F7E}"/>
    <cellStyle name="20% - Accent4 2 2 8" xfId="4531" xr:uid="{00000000-0005-0000-0000-00000A020000}"/>
    <cellStyle name="20% - Accent4 2 2 8 2" xfId="12973" xr:uid="{DBB227B5-C63A-4C86-A012-EC0C59B9169C}"/>
    <cellStyle name="20% - Accent4 2 2 9" xfId="8755" xr:uid="{0D8FE824-4369-4ED4-9211-801D2AA994F1}"/>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2 2 2" xfId="15534" xr:uid="{40ACD269-65F7-4568-A983-F4E2AE66D5CC}"/>
    <cellStyle name="20% - Accent4 2 3 2 2 3" xfId="11316" xr:uid="{660BA7B3-7CBD-4248-A3E0-5B6652C8A289}"/>
    <cellStyle name="20% - Accent4 2 3 2 3" xfId="4947" xr:uid="{00000000-0005-0000-0000-00000F020000}"/>
    <cellStyle name="20% - Accent4 2 3 2 3 2" xfId="13389" xr:uid="{C5277CFF-B42A-481F-AEEB-DF06D236B463}"/>
    <cellStyle name="20% - Accent4 2 3 2 4" xfId="9171" xr:uid="{F27AA611-621A-417E-8B32-EED010201851}"/>
    <cellStyle name="20% - Accent4 2 3 3" xfId="1051" xr:uid="{00000000-0005-0000-0000-000010020000}"/>
    <cellStyle name="20% - Accent4 2 3 3 2" xfId="3282" xr:uid="{00000000-0005-0000-0000-000011020000}"/>
    <cellStyle name="20% - Accent4 2 3 3 2 2" xfId="7505" xr:uid="{00000000-0005-0000-0000-000012020000}"/>
    <cellStyle name="20% - Accent4 2 3 3 2 2 2" xfId="15947" xr:uid="{4116D762-3B70-4181-A9AD-1095AC7B4D88}"/>
    <cellStyle name="20% - Accent4 2 3 3 2 3" xfId="11729" xr:uid="{D63722CB-CD56-4145-8C91-1779EEEDCD4C}"/>
    <cellStyle name="20% - Accent4 2 3 3 3" xfId="5360" xr:uid="{00000000-0005-0000-0000-000013020000}"/>
    <cellStyle name="20% - Accent4 2 3 3 3 2" xfId="13802" xr:uid="{AF8CF3CD-5703-4765-96C2-F4367BCB8C86}"/>
    <cellStyle name="20% - Accent4 2 3 3 4" xfId="9584" xr:uid="{CC469C4E-D2BB-4FEA-9589-A04B829DC20E}"/>
    <cellStyle name="20% - Accent4 2 3 4" xfId="1465" xr:uid="{00000000-0005-0000-0000-000014020000}"/>
    <cellStyle name="20% - Accent4 2 3 4 2" xfId="3695" xr:uid="{00000000-0005-0000-0000-000015020000}"/>
    <cellStyle name="20% - Accent4 2 3 4 2 2" xfId="7918" xr:uid="{00000000-0005-0000-0000-000016020000}"/>
    <cellStyle name="20% - Accent4 2 3 4 2 2 2" xfId="16360" xr:uid="{42F3312D-0C96-4EFC-95C2-F49556720756}"/>
    <cellStyle name="20% - Accent4 2 3 4 2 3" xfId="12142" xr:uid="{F3CB54F7-0035-4148-BA66-41057DF8B3AD}"/>
    <cellStyle name="20% - Accent4 2 3 4 3" xfId="5773" xr:uid="{00000000-0005-0000-0000-000017020000}"/>
    <cellStyle name="20% - Accent4 2 3 4 3 2" xfId="14215" xr:uid="{52480579-EF03-475E-B1BC-45E255B9A271}"/>
    <cellStyle name="20% - Accent4 2 3 4 4" xfId="9997" xr:uid="{11213B0C-DBFD-4436-A025-18A38B590A86}"/>
    <cellStyle name="20% - Accent4 2 3 5" xfId="1879" xr:uid="{00000000-0005-0000-0000-000018020000}"/>
    <cellStyle name="20% - Accent4 2 3 5 2" xfId="4108" xr:uid="{00000000-0005-0000-0000-000019020000}"/>
    <cellStyle name="20% - Accent4 2 3 5 2 2" xfId="8331" xr:uid="{00000000-0005-0000-0000-00001A020000}"/>
    <cellStyle name="20% - Accent4 2 3 5 2 2 2" xfId="16773" xr:uid="{0BDB9F89-4402-482D-A02D-AF913AC5919A}"/>
    <cellStyle name="20% - Accent4 2 3 5 2 3" xfId="12555" xr:uid="{3B6FCDE4-EA14-4632-8313-BEBE957E549A}"/>
    <cellStyle name="20% - Accent4 2 3 5 3" xfId="6186" xr:uid="{00000000-0005-0000-0000-00001B020000}"/>
    <cellStyle name="20% - Accent4 2 3 5 3 2" xfId="14628" xr:uid="{EBC33EBE-0D6A-45B3-9858-4BA7F601F3A7}"/>
    <cellStyle name="20% - Accent4 2 3 5 4" xfId="10410" xr:uid="{9EBC91E4-7B7F-48E8-A96F-FB4E8CF50126}"/>
    <cellStyle name="20% - Accent4 2 3 6" xfId="2292" xr:uid="{00000000-0005-0000-0000-00001C020000}"/>
    <cellStyle name="20% - Accent4 2 3 6 2" xfId="6599" xr:uid="{00000000-0005-0000-0000-00001D020000}"/>
    <cellStyle name="20% - Accent4 2 3 6 2 2" xfId="15041" xr:uid="{AD47E285-D97F-4938-9CD9-2B746665C5A5}"/>
    <cellStyle name="20% - Accent4 2 3 6 3" xfId="10823" xr:uid="{23DA2383-3245-4D1A-BC2A-21AFAC31DA56}"/>
    <cellStyle name="20% - Accent4 2 3 7" xfId="4533" xr:uid="{00000000-0005-0000-0000-00001E020000}"/>
    <cellStyle name="20% - Accent4 2 3 7 2" xfId="12975" xr:uid="{4C502BC3-6AE6-4A51-953F-89DB2E44D48E}"/>
    <cellStyle name="20% - Accent4 2 3 8" xfId="8757" xr:uid="{14AB2E04-0BDC-489C-9E04-85F57BA68C46}"/>
    <cellStyle name="20% - Accent4 2 4" xfId="595" xr:uid="{00000000-0005-0000-0000-00001F020000}"/>
    <cellStyle name="20% - Accent4 2 4 2" xfId="2866" xr:uid="{00000000-0005-0000-0000-000020020000}"/>
    <cellStyle name="20% - Accent4 2 4 2 2" xfId="7089" xr:uid="{00000000-0005-0000-0000-000021020000}"/>
    <cellStyle name="20% - Accent4 2 4 2 2 2" xfId="15531" xr:uid="{D89E6EB1-3CA5-40C2-9A6D-CD1C88779140}"/>
    <cellStyle name="20% - Accent4 2 4 2 3" xfId="11313" xr:uid="{E6B0A022-5D7F-4ED1-B59B-EFFC4BAFBF57}"/>
    <cellStyle name="20% - Accent4 2 4 3" xfId="4944" xr:uid="{00000000-0005-0000-0000-000022020000}"/>
    <cellStyle name="20% - Accent4 2 4 3 2" xfId="13386" xr:uid="{FCBCAFCB-82D9-4CCA-B39D-0503B64A16F3}"/>
    <cellStyle name="20% - Accent4 2 4 4" xfId="9168" xr:uid="{2B6FB77E-4B04-431F-A567-595FE2A0A2E2}"/>
    <cellStyle name="20% - Accent4 2 5" xfId="1048" xr:uid="{00000000-0005-0000-0000-000023020000}"/>
    <cellStyle name="20% - Accent4 2 5 2" xfId="3279" xr:uid="{00000000-0005-0000-0000-000024020000}"/>
    <cellStyle name="20% - Accent4 2 5 2 2" xfId="7502" xr:uid="{00000000-0005-0000-0000-000025020000}"/>
    <cellStyle name="20% - Accent4 2 5 2 2 2" xfId="15944" xr:uid="{1F4552D5-C384-427F-8AB2-74729F05A87C}"/>
    <cellStyle name="20% - Accent4 2 5 2 3" xfId="11726" xr:uid="{EA4195DF-6ADD-450A-AB5B-28A735C5DF13}"/>
    <cellStyle name="20% - Accent4 2 5 3" xfId="5357" xr:uid="{00000000-0005-0000-0000-000026020000}"/>
    <cellStyle name="20% - Accent4 2 5 3 2" xfId="13799" xr:uid="{D5339DFE-B0C0-4190-B173-10828DC7E4A5}"/>
    <cellStyle name="20% - Accent4 2 5 4" xfId="9581" xr:uid="{118F42A4-54E9-4A73-B3FF-06538771B5E6}"/>
    <cellStyle name="20% - Accent4 2 6" xfId="1462" xr:uid="{00000000-0005-0000-0000-000027020000}"/>
    <cellStyle name="20% - Accent4 2 6 2" xfId="3692" xr:uid="{00000000-0005-0000-0000-000028020000}"/>
    <cellStyle name="20% - Accent4 2 6 2 2" xfId="7915" xr:uid="{00000000-0005-0000-0000-000029020000}"/>
    <cellStyle name="20% - Accent4 2 6 2 2 2" xfId="16357" xr:uid="{84D06719-1942-4C1C-BB44-1D5056ADB041}"/>
    <cellStyle name="20% - Accent4 2 6 2 3" xfId="12139" xr:uid="{AF5C9E4A-EF54-400C-86FD-2BA99DC548CF}"/>
    <cellStyle name="20% - Accent4 2 6 3" xfId="5770" xr:uid="{00000000-0005-0000-0000-00002A020000}"/>
    <cellStyle name="20% - Accent4 2 6 3 2" xfId="14212" xr:uid="{CB7D3676-6159-45B5-91E5-5F1327675A5B}"/>
    <cellStyle name="20% - Accent4 2 6 4" xfId="9994" xr:uid="{0BC4F95D-43B6-4D0E-B691-AD2F9AF18BF1}"/>
    <cellStyle name="20% - Accent4 2 7" xfId="1876" xr:uid="{00000000-0005-0000-0000-00002B020000}"/>
    <cellStyle name="20% - Accent4 2 7 2" xfId="4105" xr:uid="{00000000-0005-0000-0000-00002C020000}"/>
    <cellStyle name="20% - Accent4 2 7 2 2" xfId="8328" xr:uid="{00000000-0005-0000-0000-00002D020000}"/>
    <cellStyle name="20% - Accent4 2 7 2 2 2" xfId="16770" xr:uid="{B341D565-F38B-49BF-8E62-B4B88153B6F4}"/>
    <cellStyle name="20% - Accent4 2 7 2 3" xfId="12552" xr:uid="{6C504B35-833A-42AC-BBE9-8194C2DECF6C}"/>
    <cellStyle name="20% - Accent4 2 7 3" xfId="6183" xr:uid="{00000000-0005-0000-0000-00002E020000}"/>
    <cellStyle name="20% - Accent4 2 7 3 2" xfId="14625" xr:uid="{46EBF47C-EFE2-4181-866E-5254432E8F61}"/>
    <cellStyle name="20% - Accent4 2 7 4" xfId="10407" xr:uid="{A5054833-32A8-42B6-B72C-77AC5A6FE2EA}"/>
    <cellStyle name="20% - Accent4 2 8" xfId="2289" xr:uid="{00000000-0005-0000-0000-00002F020000}"/>
    <cellStyle name="20% - Accent4 2 8 2" xfId="6596" xr:uid="{00000000-0005-0000-0000-000030020000}"/>
    <cellStyle name="20% - Accent4 2 8 2 2" xfId="15038" xr:uid="{B1138667-C65A-4BF1-B2B9-519D1852972E}"/>
    <cellStyle name="20% - Accent4 2 8 3" xfId="10820" xr:uid="{2E97B250-EAE8-467B-AC6C-459C5F606D72}"/>
    <cellStyle name="20% - Accent4 2 9" xfId="4530" xr:uid="{00000000-0005-0000-0000-000031020000}"/>
    <cellStyle name="20% - Accent4 2 9 2" xfId="12972" xr:uid="{C269589C-8A9C-4AE9-8694-C8FB84A9A19E}"/>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2 2 2" xfId="15536" xr:uid="{0F9C7946-0680-4A08-BACE-562DDD05503B}"/>
    <cellStyle name="20% - Accent4 3 2 2 2 3" xfId="11318" xr:uid="{D209B1D1-3967-470D-A9D4-B51E2186C87F}"/>
    <cellStyle name="20% - Accent4 3 2 2 3" xfId="4949" xr:uid="{00000000-0005-0000-0000-000037020000}"/>
    <cellStyle name="20% - Accent4 3 2 2 3 2" xfId="13391" xr:uid="{00537F1C-B857-4F22-A0CD-643D62AF3B90}"/>
    <cellStyle name="20% - Accent4 3 2 2 4" xfId="9173" xr:uid="{E74BD535-E685-4736-84E4-A224F9971D45}"/>
    <cellStyle name="20% - Accent4 3 2 3" xfId="1053" xr:uid="{00000000-0005-0000-0000-000038020000}"/>
    <cellStyle name="20% - Accent4 3 2 3 2" xfId="3284" xr:uid="{00000000-0005-0000-0000-000039020000}"/>
    <cellStyle name="20% - Accent4 3 2 3 2 2" xfId="7507" xr:uid="{00000000-0005-0000-0000-00003A020000}"/>
    <cellStyle name="20% - Accent4 3 2 3 2 2 2" xfId="15949" xr:uid="{9C4B1107-F0DC-4483-9790-BA1D52387B4D}"/>
    <cellStyle name="20% - Accent4 3 2 3 2 3" xfId="11731" xr:uid="{F6987B2C-01B9-46FE-9999-20C5D440733E}"/>
    <cellStyle name="20% - Accent4 3 2 3 3" xfId="5362" xr:uid="{00000000-0005-0000-0000-00003B020000}"/>
    <cellStyle name="20% - Accent4 3 2 3 3 2" xfId="13804" xr:uid="{1918A477-BAC6-4261-ADAA-797C1A1843C2}"/>
    <cellStyle name="20% - Accent4 3 2 3 4" xfId="9586" xr:uid="{6CF227C8-32B6-46B5-9553-96B3A73920AB}"/>
    <cellStyle name="20% - Accent4 3 2 4" xfId="1467" xr:uid="{00000000-0005-0000-0000-00003C020000}"/>
    <cellStyle name="20% - Accent4 3 2 4 2" xfId="3697" xr:uid="{00000000-0005-0000-0000-00003D020000}"/>
    <cellStyle name="20% - Accent4 3 2 4 2 2" xfId="7920" xr:uid="{00000000-0005-0000-0000-00003E020000}"/>
    <cellStyle name="20% - Accent4 3 2 4 2 2 2" xfId="16362" xr:uid="{C4FE4F46-1723-4F05-95E7-CB08C4F98E00}"/>
    <cellStyle name="20% - Accent4 3 2 4 2 3" xfId="12144" xr:uid="{9608DD43-E128-4435-8EA6-AF866B67786B}"/>
    <cellStyle name="20% - Accent4 3 2 4 3" xfId="5775" xr:uid="{00000000-0005-0000-0000-00003F020000}"/>
    <cellStyle name="20% - Accent4 3 2 4 3 2" xfId="14217" xr:uid="{E895D2DD-BF9E-45E9-B865-26093FF819A0}"/>
    <cellStyle name="20% - Accent4 3 2 4 4" xfId="9999" xr:uid="{E6C615DC-8D99-4714-B8E4-A5DCDDCFB185}"/>
    <cellStyle name="20% - Accent4 3 2 5" xfId="1881" xr:uid="{00000000-0005-0000-0000-000040020000}"/>
    <cellStyle name="20% - Accent4 3 2 5 2" xfId="4110" xr:uid="{00000000-0005-0000-0000-000041020000}"/>
    <cellStyle name="20% - Accent4 3 2 5 2 2" xfId="8333" xr:uid="{00000000-0005-0000-0000-000042020000}"/>
    <cellStyle name="20% - Accent4 3 2 5 2 2 2" xfId="16775" xr:uid="{2A41F4E4-306A-4284-9810-A647C2AF1B68}"/>
    <cellStyle name="20% - Accent4 3 2 5 2 3" xfId="12557" xr:uid="{A8F9AC66-2F52-43A4-9AD5-2BBB3C694A68}"/>
    <cellStyle name="20% - Accent4 3 2 5 3" xfId="6188" xr:uid="{00000000-0005-0000-0000-000043020000}"/>
    <cellStyle name="20% - Accent4 3 2 5 3 2" xfId="14630" xr:uid="{40E62A6E-419B-4BD0-9EB7-4340BD525B55}"/>
    <cellStyle name="20% - Accent4 3 2 5 4" xfId="10412" xr:uid="{0F7A59B1-7705-4A9A-B886-5D0F04EEAC8B}"/>
    <cellStyle name="20% - Accent4 3 2 6" xfId="2294" xr:uid="{00000000-0005-0000-0000-000044020000}"/>
    <cellStyle name="20% - Accent4 3 2 6 2" xfId="6601" xr:uid="{00000000-0005-0000-0000-000045020000}"/>
    <cellStyle name="20% - Accent4 3 2 6 2 2" xfId="15043" xr:uid="{B5D38D04-D22E-4BDF-BF6D-E94C27AD0C3E}"/>
    <cellStyle name="20% - Accent4 3 2 6 3" xfId="10825" xr:uid="{ED1C6E5F-8A26-423F-8435-CF0B819D68DB}"/>
    <cellStyle name="20% - Accent4 3 2 7" xfId="4535" xr:uid="{00000000-0005-0000-0000-000046020000}"/>
    <cellStyle name="20% - Accent4 3 2 7 2" xfId="12977" xr:uid="{3565DA05-A677-483F-9153-E79D0430E929}"/>
    <cellStyle name="20% - Accent4 3 2 8" xfId="8759" xr:uid="{178D5AD7-F06E-41E2-9EB6-D62B48838700}"/>
    <cellStyle name="20% - Accent4 3 3" xfId="599" xr:uid="{00000000-0005-0000-0000-000047020000}"/>
    <cellStyle name="20% - Accent4 3 3 2" xfId="2870" xr:uid="{00000000-0005-0000-0000-000048020000}"/>
    <cellStyle name="20% - Accent4 3 3 2 2" xfId="7093" xr:uid="{00000000-0005-0000-0000-000049020000}"/>
    <cellStyle name="20% - Accent4 3 3 2 2 2" xfId="15535" xr:uid="{82FB1C24-1665-44A1-819F-830D1C8FCA6A}"/>
    <cellStyle name="20% - Accent4 3 3 2 3" xfId="11317" xr:uid="{A0105F74-09C4-4A64-943B-469413AB12CC}"/>
    <cellStyle name="20% - Accent4 3 3 3" xfId="4948" xr:uid="{00000000-0005-0000-0000-00004A020000}"/>
    <cellStyle name="20% - Accent4 3 3 3 2" xfId="13390" xr:uid="{8C3043C8-DAF6-4202-92B2-733643B4E089}"/>
    <cellStyle name="20% - Accent4 3 3 4" xfId="9172" xr:uid="{31A7A0CF-CC8E-463A-B8A6-930D49B84603}"/>
    <cellStyle name="20% - Accent4 3 4" xfId="1052" xr:uid="{00000000-0005-0000-0000-00004B020000}"/>
    <cellStyle name="20% - Accent4 3 4 2" xfId="3283" xr:uid="{00000000-0005-0000-0000-00004C020000}"/>
    <cellStyle name="20% - Accent4 3 4 2 2" xfId="7506" xr:uid="{00000000-0005-0000-0000-00004D020000}"/>
    <cellStyle name="20% - Accent4 3 4 2 2 2" xfId="15948" xr:uid="{980F8776-9DAB-4A61-B9B8-EFE547714177}"/>
    <cellStyle name="20% - Accent4 3 4 2 3" xfId="11730" xr:uid="{08A345D2-ED30-4A22-80C4-E1392FDE87B2}"/>
    <cellStyle name="20% - Accent4 3 4 3" xfId="5361" xr:uid="{00000000-0005-0000-0000-00004E020000}"/>
    <cellStyle name="20% - Accent4 3 4 3 2" xfId="13803" xr:uid="{2BA174F0-CF3A-4C21-BACE-41AAB09AE3CF}"/>
    <cellStyle name="20% - Accent4 3 4 4" xfId="9585" xr:uid="{B55E2ED8-57ED-4EC6-902C-10D99717F2FA}"/>
    <cellStyle name="20% - Accent4 3 5" xfId="1466" xr:uid="{00000000-0005-0000-0000-00004F020000}"/>
    <cellStyle name="20% - Accent4 3 5 2" xfId="3696" xr:uid="{00000000-0005-0000-0000-000050020000}"/>
    <cellStyle name="20% - Accent4 3 5 2 2" xfId="7919" xr:uid="{00000000-0005-0000-0000-000051020000}"/>
    <cellStyle name="20% - Accent4 3 5 2 2 2" xfId="16361" xr:uid="{6D7FC886-868F-49E9-B57A-1FA90F3B44AF}"/>
    <cellStyle name="20% - Accent4 3 5 2 3" xfId="12143" xr:uid="{A952ADFC-2911-4B07-8EB7-25C7AF34AA69}"/>
    <cellStyle name="20% - Accent4 3 5 3" xfId="5774" xr:uid="{00000000-0005-0000-0000-000052020000}"/>
    <cellStyle name="20% - Accent4 3 5 3 2" xfId="14216" xr:uid="{0697F192-622E-4871-AFD5-CC7FE7F0D50F}"/>
    <cellStyle name="20% - Accent4 3 5 4" xfId="9998" xr:uid="{70942E4B-50A4-4FEA-9BFD-A6E708E631CC}"/>
    <cellStyle name="20% - Accent4 3 6" xfId="1880" xr:uid="{00000000-0005-0000-0000-000053020000}"/>
    <cellStyle name="20% - Accent4 3 6 2" xfId="4109" xr:uid="{00000000-0005-0000-0000-000054020000}"/>
    <cellStyle name="20% - Accent4 3 6 2 2" xfId="8332" xr:uid="{00000000-0005-0000-0000-000055020000}"/>
    <cellStyle name="20% - Accent4 3 6 2 2 2" xfId="16774" xr:uid="{568C9567-B40B-401A-B882-AB8071D1C9CC}"/>
    <cellStyle name="20% - Accent4 3 6 2 3" xfId="12556" xr:uid="{B4553178-E8D1-4444-A8B0-222403F43E93}"/>
    <cellStyle name="20% - Accent4 3 6 3" xfId="6187" xr:uid="{00000000-0005-0000-0000-000056020000}"/>
    <cellStyle name="20% - Accent4 3 6 3 2" xfId="14629" xr:uid="{6A68242B-0B72-4546-AD81-04F4B52D72F0}"/>
    <cellStyle name="20% - Accent4 3 6 4" xfId="10411" xr:uid="{06C86723-7EDC-4A23-B95A-E93400CBBFCE}"/>
    <cellStyle name="20% - Accent4 3 7" xfId="2293" xr:uid="{00000000-0005-0000-0000-000057020000}"/>
    <cellStyle name="20% - Accent4 3 7 2" xfId="6600" xr:uid="{00000000-0005-0000-0000-000058020000}"/>
    <cellStyle name="20% - Accent4 3 7 2 2" xfId="15042" xr:uid="{CBBF87EA-67B6-43B6-8671-7804CB470BB2}"/>
    <cellStyle name="20% - Accent4 3 7 3" xfId="10824" xr:uid="{81543AC7-08D1-46CB-A518-E21E271466C6}"/>
    <cellStyle name="20% - Accent4 3 8" xfId="4534" xr:uid="{00000000-0005-0000-0000-000059020000}"/>
    <cellStyle name="20% - Accent4 3 8 2" xfId="12976" xr:uid="{FDBF92F3-2463-44B3-8AE3-939ECD0D9D74}"/>
    <cellStyle name="20% - Accent4 3 9" xfId="8758" xr:uid="{EF26EA04-1AD4-43BD-A6F1-4864E4546273}"/>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2 2 2" xfId="15537" xr:uid="{DD1263E2-1CF9-4988-9179-489A88ADBA46}"/>
    <cellStyle name="20% - Accent4 4 2 2 3" xfId="11319" xr:uid="{F300646F-EAC9-4730-9B32-891BB6823BFB}"/>
    <cellStyle name="20% - Accent4 4 2 3" xfId="4950" xr:uid="{00000000-0005-0000-0000-00005E020000}"/>
    <cellStyle name="20% - Accent4 4 2 3 2" xfId="13392" xr:uid="{FB65609F-C2B7-4EFD-8A17-250BB16B3082}"/>
    <cellStyle name="20% - Accent4 4 2 4" xfId="9174" xr:uid="{9C40C989-B8C7-4929-934E-B0DDCB5A7DF4}"/>
    <cellStyle name="20% - Accent4 4 3" xfId="1054" xr:uid="{00000000-0005-0000-0000-00005F020000}"/>
    <cellStyle name="20% - Accent4 4 3 2" xfId="3285" xr:uid="{00000000-0005-0000-0000-000060020000}"/>
    <cellStyle name="20% - Accent4 4 3 2 2" xfId="7508" xr:uid="{00000000-0005-0000-0000-000061020000}"/>
    <cellStyle name="20% - Accent4 4 3 2 2 2" xfId="15950" xr:uid="{C6ADEF33-13DC-4862-A8D5-307DADA8484A}"/>
    <cellStyle name="20% - Accent4 4 3 2 3" xfId="11732" xr:uid="{46557808-4FFB-42ED-B875-D1431BAE20E5}"/>
    <cellStyle name="20% - Accent4 4 3 3" xfId="5363" xr:uid="{00000000-0005-0000-0000-000062020000}"/>
    <cellStyle name="20% - Accent4 4 3 3 2" xfId="13805" xr:uid="{E5BED09F-37E6-4FEF-AAAB-E6DA2630C74A}"/>
    <cellStyle name="20% - Accent4 4 3 4" xfId="9587" xr:uid="{A1EB8041-210F-44A3-821E-46FFDC95557D}"/>
    <cellStyle name="20% - Accent4 4 4" xfId="1468" xr:uid="{00000000-0005-0000-0000-000063020000}"/>
    <cellStyle name="20% - Accent4 4 4 2" xfId="3698" xr:uid="{00000000-0005-0000-0000-000064020000}"/>
    <cellStyle name="20% - Accent4 4 4 2 2" xfId="7921" xr:uid="{00000000-0005-0000-0000-000065020000}"/>
    <cellStyle name="20% - Accent4 4 4 2 2 2" xfId="16363" xr:uid="{2386E3E3-3D27-46E9-88CE-EF1B1F683CBF}"/>
    <cellStyle name="20% - Accent4 4 4 2 3" xfId="12145" xr:uid="{D47CA406-85B1-4267-998F-4F3BCB24CB18}"/>
    <cellStyle name="20% - Accent4 4 4 3" xfId="5776" xr:uid="{00000000-0005-0000-0000-000066020000}"/>
    <cellStyle name="20% - Accent4 4 4 3 2" xfId="14218" xr:uid="{F9AA1619-6088-48A6-B818-E7E0505C4F98}"/>
    <cellStyle name="20% - Accent4 4 4 4" xfId="10000" xr:uid="{EA378724-4E04-4DDA-8E2E-556921C37A0B}"/>
    <cellStyle name="20% - Accent4 4 5" xfId="1882" xr:uid="{00000000-0005-0000-0000-000067020000}"/>
    <cellStyle name="20% - Accent4 4 5 2" xfId="4111" xr:uid="{00000000-0005-0000-0000-000068020000}"/>
    <cellStyle name="20% - Accent4 4 5 2 2" xfId="8334" xr:uid="{00000000-0005-0000-0000-000069020000}"/>
    <cellStyle name="20% - Accent4 4 5 2 2 2" xfId="16776" xr:uid="{4E4025F2-C382-46EC-9C2E-95BA32EE5727}"/>
    <cellStyle name="20% - Accent4 4 5 2 3" xfId="12558" xr:uid="{6A9A8927-7A57-4521-919E-F2049C643A62}"/>
    <cellStyle name="20% - Accent4 4 5 3" xfId="6189" xr:uid="{00000000-0005-0000-0000-00006A020000}"/>
    <cellStyle name="20% - Accent4 4 5 3 2" xfId="14631" xr:uid="{1AE4A313-546C-4491-BF64-2C9E20A41AB0}"/>
    <cellStyle name="20% - Accent4 4 5 4" xfId="10413" xr:uid="{927DFA15-753A-4132-8448-165F466471F1}"/>
    <cellStyle name="20% - Accent4 4 6" xfId="2295" xr:uid="{00000000-0005-0000-0000-00006B020000}"/>
    <cellStyle name="20% - Accent4 4 6 2" xfId="6602" xr:uid="{00000000-0005-0000-0000-00006C020000}"/>
    <cellStyle name="20% - Accent4 4 6 2 2" xfId="15044" xr:uid="{81C7DD21-D844-4B25-86E2-AA002445BD82}"/>
    <cellStyle name="20% - Accent4 4 6 3" xfId="10826" xr:uid="{9BAADB66-194A-4042-8057-0AADAF07A2AA}"/>
    <cellStyle name="20% - Accent4 4 7" xfId="4536" xr:uid="{00000000-0005-0000-0000-00006D020000}"/>
    <cellStyle name="20% - Accent4 4 7 2" xfId="12978" xr:uid="{C3C9351D-4E0B-433D-8D42-62DC12EA84A9}"/>
    <cellStyle name="20% - Accent4 4 8" xfId="8760" xr:uid="{727F3F0A-A492-46FD-A350-72B06F69D7A1}"/>
    <cellStyle name="20% - Accent4 5" xfId="594" xr:uid="{00000000-0005-0000-0000-00006E020000}"/>
    <cellStyle name="20% - Accent4 5 2" xfId="2865" xr:uid="{00000000-0005-0000-0000-00006F020000}"/>
    <cellStyle name="20% - Accent4 5 2 2" xfId="7088" xr:uid="{00000000-0005-0000-0000-000070020000}"/>
    <cellStyle name="20% - Accent4 5 2 2 2" xfId="15530" xr:uid="{F50F73C0-4023-4EFC-B187-DD1377A074B1}"/>
    <cellStyle name="20% - Accent4 5 2 3" xfId="11312" xr:uid="{CF022C3F-0ED8-4E0C-B00B-C0D6C9A37A22}"/>
    <cellStyle name="20% - Accent4 5 3" xfId="4943" xr:uid="{00000000-0005-0000-0000-000071020000}"/>
    <cellStyle name="20% - Accent4 5 3 2" xfId="13385" xr:uid="{26D9FB8F-6876-4E7D-A27A-BD82ABAC250A}"/>
    <cellStyle name="20% - Accent4 5 4" xfId="9167" xr:uid="{FC583BD8-4651-469D-9414-0387875279FD}"/>
    <cellStyle name="20% - Accent4 6" xfId="1047" xr:uid="{00000000-0005-0000-0000-000072020000}"/>
    <cellStyle name="20% - Accent4 6 2" xfId="3278" xr:uid="{00000000-0005-0000-0000-000073020000}"/>
    <cellStyle name="20% - Accent4 6 2 2" xfId="7501" xr:uid="{00000000-0005-0000-0000-000074020000}"/>
    <cellStyle name="20% - Accent4 6 2 2 2" xfId="15943" xr:uid="{4A3D7CCB-BD74-441C-856B-CA673AAC39DE}"/>
    <cellStyle name="20% - Accent4 6 2 3" xfId="11725" xr:uid="{5F9619C1-CA3B-4C18-891C-4653DADB65E7}"/>
    <cellStyle name="20% - Accent4 6 3" xfId="5356" xr:uid="{00000000-0005-0000-0000-000075020000}"/>
    <cellStyle name="20% - Accent4 6 3 2" xfId="13798" xr:uid="{2063AA3F-BAEA-4F63-A9A9-1723F2801505}"/>
    <cellStyle name="20% - Accent4 6 4" xfId="9580" xr:uid="{F0AB97A8-1768-49C3-B7CE-06DFF758F6B1}"/>
    <cellStyle name="20% - Accent4 7" xfId="1461" xr:uid="{00000000-0005-0000-0000-000076020000}"/>
    <cellStyle name="20% - Accent4 7 2" xfId="3691" xr:uid="{00000000-0005-0000-0000-000077020000}"/>
    <cellStyle name="20% - Accent4 7 2 2" xfId="7914" xr:uid="{00000000-0005-0000-0000-000078020000}"/>
    <cellStyle name="20% - Accent4 7 2 2 2" xfId="16356" xr:uid="{9361289B-2C24-4CD0-A586-8590C4EC59C0}"/>
    <cellStyle name="20% - Accent4 7 2 3" xfId="12138" xr:uid="{C03BA9B0-5563-4CB8-9C3F-0F6FF74017CF}"/>
    <cellStyle name="20% - Accent4 7 3" xfId="5769" xr:uid="{00000000-0005-0000-0000-000079020000}"/>
    <cellStyle name="20% - Accent4 7 3 2" xfId="14211" xr:uid="{0824E8E5-7D3F-44A6-9F70-7BE19A88D971}"/>
    <cellStyle name="20% - Accent4 7 4" xfId="9993" xr:uid="{22FB7316-B13D-4DD7-95C2-B12494787B1F}"/>
    <cellStyle name="20% - Accent4 8" xfId="1875" xr:uid="{00000000-0005-0000-0000-00007A020000}"/>
    <cellStyle name="20% - Accent4 8 2" xfId="4104" xr:uid="{00000000-0005-0000-0000-00007B020000}"/>
    <cellStyle name="20% - Accent4 8 2 2" xfId="8327" xr:uid="{00000000-0005-0000-0000-00007C020000}"/>
    <cellStyle name="20% - Accent4 8 2 2 2" xfId="16769" xr:uid="{76CEB0A4-8008-4217-B253-736E44CAC093}"/>
    <cellStyle name="20% - Accent4 8 2 3" xfId="12551" xr:uid="{9781000C-C215-426F-8DB7-F8696DC37049}"/>
    <cellStyle name="20% - Accent4 8 3" xfId="6182" xr:uid="{00000000-0005-0000-0000-00007D020000}"/>
    <cellStyle name="20% - Accent4 8 3 2" xfId="14624" xr:uid="{BF6ADA03-6452-4576-BE70-2B8624B8F92F}"/>
    <cellStyle name="20% - Accent4 8 4" xfId="10406" xr:uid="{5969DCEE-4287-4AFA-B712-6A6F2D13E898}"/>
    <cellStyle name="20% - Accent4 9" xfId="2288" xr:uid="{00000000-0005-0000-0000-00007E020000}"/>
    <cellStyle name="20% - Accent4 9 2" xfId="6595" xr:uid="{00000000-0005-0000-0000-00007F020000}"/>
    <cellStyle name="20% - Accent4 9 2 2" xfId="15037" xr:uid="{D2488A08-F7F5-43FF-B7A1-E84F4447D835}"/>
    <cellStyle name="20% - Accent4 9 3" xfId="10819" xr:uid="{7105DB17-277E-44A4-860A-582BDFDCC3C2}"/>
    <cellStyle name="20% - Accent5" xfId="33" builtinId="46" customBuiltin="1"/>
    <cellStyle name="20% - Accent5 10" xfId="4537" xr:uid="{00000000-0005-0000-0000-000081020000}"/>
    <cellStyle name="20% - Accent5 10 2" xfId="12979" xr:uid="{E14AE46C-CC88-44C4-A055-FA47EC94F2C2}"/>
    <cellStyle name="20% - Accent5 11" xfId="8761" xr:uid="{A66E68B1-A486-454D-89EB-BC57CEDFBD0D}"/>
    <cellStyle name="20% - Accent5 2" xfId="34" xr:uid="{00000000-0005-0000-0000-000082020000}"/>
    <cellStyle name="20% - Accent5 2 10" xfId="8762" xr:uid="{B6420955-0889-4633-9D5B-171E2E204898}"/>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2 2 2" xfId="15541" xr:uid="{6D400CF0-AE6D-4933-A11D-14A1D8E67163}"/>
    <cellStyle name="20% - Accent5 2 2 2 2 2 3" xfId="11323" xr:uid="{D391C548-1AE7-4A1B-84DC-01C664BC1B8F}"/>
    <cellStyle name="20% - Accent5 2 2 2 2 3" xfId="4954" xr:uid="{00000000-0005-0000-0000-000088020000}"/>
    <cellStyle name="20% - Accent5 2 2 2 2 3 2" xfId="13396" xr:uid="{59C550D1-E896-4703-AB16-9B6889CD1C03}"/>
    <cellStyle name="20% - Accent5 2 2 2 2 4" xfId="9178" xr:uid="{8D96BE21-48C3-46D5-8560-3BD326F4AAAC}"/>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2 2 2" xfId="15954" xr:uid="{A561384D-59D4-4589-9EFC-FBB92421F1CC}"/>
    <cellStyle name="20% - Accent5 2 2 2 3 2 3" xfId="11736" xr:uid="{6C739677-6B27-438F-BD05-F4AF6C885784}"/>
    <cellStyle name="20% - Accent5 2 2 2 3 3" xfId="5367" xr:uid="{00000000-0005-0000-0000-00008C020000}"/>
    <cellStyle name="20% - Accent5 2 2 2 3 3 2" xfId="13809" xr:uid="{207A03DF-D768-4A53-8DBE-4ADB67A3E6D7}"/>
    <cellStyle name="20% - Accent5 2 2 2 3 4" xfId="9591" xr:uid="{72C20965-4DA7-4021-ACAE-6CAC2A2A3135}"/>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2 2 2" xfId="16367" xr:uid="{84B9C977-B90A-42A0-ABAF-D60B37BEF170}"/>
    <cellStyle name="20% - Accent5 2 2 2 4 2 3" xfId="12149" xr:uid="{CB95C450-1B63-421B-9782-C00D3CFB87C3}"/>
    <cellStyle name="20% - Accent5 2 2 2 4 3" xfId="5780" xr:uid="{00000000-0005-0000-0000-000090020000}"/>
    <cellStyle name="20% - Accent5 2 2 2 4 3 2" xfId="14222" xr:uid="{707481EE-F558-4299-9585-2561DF171B71}"/>
    <cellStyle name="20% - Accent5 2 2 2 4 4" xfId="10004" xr:uid="{25B3CA0C-3B24-457E-8FE2-14F2B7F798BF}"/>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2 2 2" xfId="16780" xr:uid="{1203D156-0E27-471C-807E-75A5B243C372}"/>
    <cellStyle name="20% - Accent5 2 2 2 5 2 3" xfId="12562" xr:uid="{2FC05418-6E07-456E-A73B-35B4D717F19A}"/>
    <cellStyle name="20% - Accent5 2 2 2 5 3" xfId="6193" xr:uid="{00000000-0005-0000-0000-000094020000}"/>
    <cellStyle name="20% - Accent5 2 2 2 5 3 2" xfId="14635" xr:uid="{0C730A76-6574-434B-8F05-2D59A598EFDB}"/>
    <cellStyle name="20% - Accent5 2 2 2 5 4" xfId="10417" xr:uid="{9F4D59B3-9920-422D-BD72-15C70F7BDA2E}"/>
    <cellStyle name="20% - Accent5 2 2 2 6" xfId="2299" xr:uid="{00000000-0005-0000-0000-000095020000}"/>
    <cellStyle name="20% - Accent5 2 2 2 6 2" xfId="6606" xr:uid="{00000000-0005-0000-0000-000096020000}"/>
    <cellStyle name="20% - Accent5 2 2 2 6 2 2" xfId="15048" xr:uid="{C86B8F9A-B2F5-415C-9C20-F93399244B08}"/>
    <cellStyle name="20% - Accent5 2 2 2 6 3" xfId="10830" xr:uid="{5C935FEB-098C-48EC-8C6A-58488BE763C2}"/>
    <cellStyle name="20% - Accent5 2 2 2 7" xfId="4540" xr:uid="{00000000-0005-0000-0000-000097020000}"/>
    <cellStyle name="20% - Accent5 2 2 2 7 2" xfId="12982" xr:uid="{9A8EAAFA-A689-44F5-A959-46F8E23C7A13}"/>
    <cellStyle name="20% - Accent5 2 2 2 8" xfId="8764" xr:uid="{DD1B9E4E-8FA4-4CC4-98ED-C75A69E9F569}"/>
    <cellStyle name="20% - Accent5 2 2 3" xfId="604" xr:uid="{00000000-0005-0000-0000-000098020000}"/>
    <cellStyle name="20% - Accent5 2 2 3 2" xfId="2875" xr:uid="{00000000-0005-0000-0000-000099020000}"/>
    <cellStyle name="20% - Accent5 2 2 3 2 2" xfId="7098" xr:uid="{00000000-0005-0000-0000-00009A020000}"/>
    <cellStyle name="20% - Accent5 2 2 3 2 2 2" xfId="15540" xr:uid="{38E3F10E-07EB-4014-A1F5-83532B944EE2}"/>
    <cellStyle name="20% - Accent5 2 2 3 2 3" xfId="11322" xr:uid="{B55EFD0C-3B92-4E1F-8706-C2ADBD538DED}"/>
    <cellStyle name="20% - Accent5 2 2 3 3" xfId="4953" xr:uid="{00000000-0005-0000-0000-00009B020000}"/>
    <cellStyle name="20% - Accent5 2 2 3 3 2" xfId="13395" xr:uid="{EC5834C9-1C6B-412F-8FF7-3F14E9675BF8}"/>
    <cellStyle name="20% - Accent5 2 2 3 4" xfId="9177" xr:uid="{95C9F24E-47AB-4D68-8840-B716B6794E8F}"/>
    <cellStyle name="20% - Accent5 2 2 4" xfId="1057" xr:uid="{00000000-0005-0000-0000-00009C020000}"/>
    <cellStyle name="20% - Accent5 2 2 4 2" xfId="3288" xr:uid="{00000000-0005-0000-0000-00009D020000}"/>
    <cellStyle name="20% - Accent5 2 2 4 2 2" xfId="7511" xr:uid="{00000000-0005-0000-0000-00009E020000}"/>
    <cellStyle name="20% - Accent5 2 2 4 2 2 2" xfId="15953" xr:uid="{B3C23BB6-666A-4CFC-98A3-C5A70BBDE123}"/>
    <cellStyle name="20% - Accent5 2 2 4 2 3" xfId="11735" xr:uid="{65355E84-9AFF-4FA3-8AC6-3DD96B4AFCD9}"/>
    <cellStyle name="20% - Accent5 2 2 4 3" xfId="5366" xr:uid="{00000000-0005-0000-0000-00009F020000}"/>
    <cellStyle name="20% - Accent5 2 2 4 3 2" xfId="13808" xr:uid="{1EAA6C57-89B7-4386-8AAC-B7D01CC4C9C9}"/>
    <cellStyle name="20% - Accent5 2 2 4 4" xfId="9590" xr:uid="{5BC534BB-733C-4CDF-87DE-8136570E5FFA}"/>
    <cellStyle name="20% - Accent5 2 2 5" xfId="1471" xr:uid="{00000000-0005-0000-0000-0000A0020000}"/>
    <cellStyle name="20% - Accent5 2 2 5 2" xfId="3701" xr:uid="{00000000-0005-0000-0000-0000A1020000}"/>
    <cellStyle name="20% - Accent5 2 2 5 2 2" xfId="7924" xr:uid="{00000000-0005-0000-0000-0000A2020000}"/>
    <cellStyle name="20% - Accent5 2 2 5 2 2 2" xfId="16366" xr:uid="{B3F5C7BE-1B15-4CB1-A4E8-822C786EDE9D}"/>
    <cellStyle name="20% - Accent5 2 2 5 2 3" xfId="12148" xr:uid="{D2FDF952-3EAD-4881-9C29-5D8B1413DB76}"/>
    <cellStyle name="20% - Accent5 2 2 5 3" xfId="5779" xr:uid="{00000000-0005-0000-0000-0000A3020000}"/>
    <cellStyle name="20% - Accent5 2 2 5 3 2" xfId="14221" xr:uid="{D4E24615-EDE5-49D9-AF79-0FC636D7B76F}"/>
    <cellStyle name="20% - Accent5 2 2 5 4" xfId="10003" xr:uid="{A4CDB75C-1EEB-41E3-9EB0-8438C69FBC8E}"/>
    <cellStyle name="20% - Accent5 2 2 6" xfId="1885" xr:uid="{00000000-0005-0000-0000-0000A4020000}"/>
    <cellStyle name="20% - Accent5 2 2 6 2" xfId="4114" xr:uid="{00000000-0005-0000-0000-0000A5020000}"/>
    <cellStyle name="20% - Accent5 2 2 6 2 2" xfId="8337" xr:uid="{00000000-0005-0000-0000-0000A6020000}"/>
    <cellStyle name="20% - Accent5 2 2 6 2 2 2" xfId="16779" xr:uid="{A1358AFA-2CBA-403B-84C3-5EE912EEB1F3}"/>
    <cellStyle name="20% - Accent5 2 2 6 2 3" xfId="12561" xr:uid="{5EF57BE9-DD89-4B98-86C2-44B955D16CE4}"/>
    <cellStyle name="20% - Accent5 2 2 6 3" xfId="6192" xr:uid="{00000000-0005-0000-0000-0000A7020000}"/>
    <cellStyle name="20% - Accent5 2 2 6 3 2" xfId="14634" xr:uid="{2E87203B-2CE7-4A1F-ACD7-ADFEBA1BE92C}"/>
    <cellStyle name="20% - Accent5 2 2 6 4" xfId="10416" xr:uid="{FC794211-2979-4A48-9D29-9ECC156E3BCC}"/>
    <cellStyle name="20% - Accent5 2 2 7" xfId="2298" xr:uid="{00000000-0005-0000-0000-0000A8020000}"/>
    <cellStyle name="20% - Accent5 2 2 7 2" xfId="6605" xr:uid="{00000000-0005-0000-0000-0000A9020000}"/>
    <cellStyle name="20% - Accent5 2 2 7 2 2" xfId="15047" xr:uid="{31816587-C76A-480F-8472-12203FD93D19}"/>
    <cellStyle name="20% - Accent5 2 2 7 3" xfId="10829" xr:uid="{C70B8FC5-6A83-424E-AAA0-6D70B5DD1C29}"/>
    <cellStyle name="20% - Accent5 2 2 8" xfId="4539" xr:uid="{00000000-0005-0000-0000-0000AA020000}"/>
    <cellStyle name="20% - Accent5 2 2 8 2" xfId="12981" xr:uid="{39E873D7-1E6F-4B69-A768-E7AEF809C8A1}"/>
    <cellStyle name="20% - Accent5 2 2 9" xfId="8763" xr:uid="{08B13C2E-EC0B-4C9C-ADE0-D009B894EC9C}"/>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2 2 2" xfId="15542" xr:uid="{796DACF3-C4FD-4476-8F10-36B23ABCD017}"/>
    <cellStyle name="20% - Accent5 2 3 2 2 3" xfId="11324" xr:uid="{C45861A3-833C-4D61-AF2F-14DE32FA7DFF}"/>
    <cellStyle name="20% - Accent5 2 3 2 3" xfId="4955" xr:uid="{00000000-0005-0000-0000-0000AF020000}"/>
    <cellStyle name="20% - Accent5 2 3 2 3 2" xfId="13397" xr:uid="{734CC9CB-37AD-40EB-A5AC-D9CC230676B9}"/>
    <cellStyle name="20% - Accent5 2 3 2 4" xfId="9179" xr:uid="{9F24A7D2-2098-4278-A17B-C88E180CABE1}"/>
    <cellStyle name="20% - Accent5 2 3 3" xfId="1059" xr:uid="{00000000-0005-0000-0000-0000B0020000}"/>
    <cellStyle name="20% - Accent5 2 3 3 2" xfId="3290" xr:uid="{00000000-0005-0000-0000-0000B1020000}"/>
    <cellStyle name="20% - Accent5 2 3 3 2 2" xfId="7513" xr:uid="{00000000-0005-0000-0000-0000B2020000}"/>
    <cellStyle name="20% - Accent5 2 3 3 2 2 2" xfId="15955" xr:uid="{E58AC9A7-F3F7-4228-9702-918BD95F0E53}"/>
    <cellStyle name="20% - Accent5 2 3 3 2 3" xfId="11737" xr:uid="{616AAE34-5ABF-4FEF-B03D-0CA07BEDAF3E}"/>
    <cellStyle name="20% - Accent5 2 3 3 3" xfId="5368" xr:uid="{00000000-0005-0000-0000-0000B3020000}"/>
    <cellStyle name="20% - Accent5 2 3 3 3 2" xfId="13810" xr:uid="{6B38A65F-5FE3-4AA6-9EAB-7B60C8FCF73E}"/>
    <cellStyle name="20% - Accent5 2 3 3 4" xfId="9592" xr:uid="{B1721B1E-312A-44DF-8311-3E1ECF868593}"/>
    <cellStyle name="20% - Accent5 2 3 4" xfId="1473" xr:uid="{00000000-0005-0000-0000-0000B4020000}"/>
    <cellStyle name="20% - Accent5 2 3 4 2" xfId="3703" xr:uid="{00000000-0005-0000-0000-0000B5020000}"/>
    <cellStyle name="20% - Accent5 2 3 4 2 2" xfId="7926" xr:uid="{00000000-0005-0000-0000-0000B6020000}"/>
    <cellStyle name="20% - Accent5 2 3 4 2 2 2" xfId="16368" xr:uid="{B84D2A65-24F9-4353-9511-525C686D8E48}"/>
    <cellStyle name="20% - Accent5 2 3 4 2 3" xfId="12150" xr:uid="{5C28C436-1AC6-4164-B7BA-C4BC532CABF2}"/>
    <cellStyle name="20% - Accent5 2 3 4 3" xfId="5781" xr:uid="{00000000-0005-0000-0000-0000B7020000}"/>
    <cellStyle name="20% - Accent5 2 3 4 3 2" xfId="14223" xr:uid="{C132F67A-A49C-48E5-9950-758C0276E03B}"/>
    <cellStyle name="20% - Accent5 2 3 4 4" xfId="10005" xr:uid="{A146193E-951A-41F3-8DF7-2D67170A32BD}"/>
    <cellStyle name="20% - Accent5 2 3 5" xfId="1887" xr:uid="{00000000-0005-0000-0000-0000B8020000}"/>
    <cellStyle name="20% - Accent5 2 3 5 2" xfId="4116" xr:uid="{00000000-0005-0000-0000-0000B9020000}"/>
    <cellStyle name="20% - Accent5 2 3 5 2 2" xfId="8339" xr:uid="{00000000-0005-0000-0000-0000BA020000}"/>
    <cellStyle name="20% - Accent5 2 3 5 2 2 2" xfId="16781" xr:uid="{17A8C97B-B66F-4BBC-88CB-D1457B69570C}"/>
    <cellStyle name="20% - Accent5 2 3 5 2 3" xfId="12563" xr:uid="{41761369-E009-4460-A76F-D5636C878743}"/>
    <cellStyle name="20% - Accent5 2 3 5 3" xfId="6194" xr:uid="{00000000-0005-0000-0000-0000BB020000}"/>
    <cellStyle name="20% - Accent5 2 3 5 3 2" xfId="14636" xr:uid="{32940EF1-E53F-4148-A1B3-C955E42A9754}"/>
    <cellStyle name="20% - Accent5 2 3 5 4" xfId="10418" xr:uid="{7E6586C9-E047-4DB1-8906-829249C12839}"/>
    <cellStyle name="20% - Accent5 2 3 6" xfId="2300" xr:uid="{00000000-0005-0000-0000-0000BC020000}"/>
    <cellStyle name="20% - Accent5 2 3 6 2" xfId="6607" xr:uid="{00000000-0005-0000-0000-0000BD020000}"/>
    <cellStyle name="20% - Accent5 2 3 6 2 2" xfId="15049" xr:uid="{7C48C0B4-0E4C-4DEA-A471-CFC8F3A9D233}"/>
    <cellStyle name="20% - Accent5 2 3 6 3" xfId="10831" xr:uid="{87966DA2-CCEF-47AB-A095-2C1F3F48FBB2}"/>
    <cellStyle name="20% - Accent5 2 3 7" xfId="4541" xr:uid="{00000000-0005-0000-0000-0000BE020000}"/>
    <cellStyle name="20% - Accent5 2 3 7 2" xfId="12983" xr:uid="{AFD37A83-624B-453D-9811-FB3466B5CA00}"/>
    <cellStyle name="20% - Accent5 2 3 8" xfId="8765" xr:uid="{EB46D0EE-0BFA-4721-B509-C6CDEEB4C378}"/>
    <cellStyle name="20% - Accent5 2 4" xfId="603" xr:uid="{00000000-0005-0000-0000-0000BF020000}"/>
    <cellStyle name="20% - Accent5 2 4 2" xfId="2874" xr:uid="{00000000-0005-0000-0000-0000C0020000}"/>
    <cellStyle name="20% - Accent5 2 4 2 2" xfId="7097" xr:uid="{00000000-0005-0000-0000-0000C1020000}"/>
    <cellStyle name="20% - Accent5 2 4 2 2 2" xfId="15539" xr:uid="{E849BBD7-3012-41E5-BBFF-F79E80DDC026}"/>
    <cellStyle name="20% - Accent5 2 4 2 3" xfId="11321" xr:uid="{D4AF5B44-842D-4FB1-862D-1DDD3B53F005}"/>
    <cellStyle name="20% - Accent5 2 4 3" xfId="4952" xr:uid="{00000000-0005-0000-0000-0000C2020000}"/>
    <cellStyle name="20% - Accent5 2 4 3 2" xfId="13394" xr:uid="{0AADEB52-66BC-44D3-858A-DBA38497484B}"/>
    <cellStyle name="20% - Accent5 2 4 4" xfId="9176" xr:uid="{7F1814F4-13DA-49D6-A4AC-0C9CC53150B3}"/>
    <cellStyle name="20% - Accent5 2 5" xfId="1056" xr:uid="{00000000-0005-0000-0000-0000C3020000}"/>
    <cellStyle name="20% - Accent5 2 5 2" xfId="3287" xr:uid="{00000000-0005-0000-0000-0000C4020000}"/>
    <cellStyle name="20% - Accent5 2 5 2 2" xfId="7510" xr:uid="{00000000-0005-0000-0000-0000C5020000}"/>
    <cellStyle name="20% - Accent5 2 5 2 2 2" xfId="15952" xr:uid="{59130C2D-7B12-410D-9AE4-8C163E17E4F0}"/>
    <cellStyle name="20% - Accent5 2 5 2 3" xfId="11734" xr:uid="{4D6484BC-9A4B-4594-8EED-5F0744A11289}"/>
    <cellStyle name="20% - Accent5 2 5 3" xfId="5365" xr:uid="{00000000-0005-0000-0000-0000C6020000}"/>
    <cellStyle name="20% - Accent5 2 5 3 2" xfId="13807" xr:uid="{5F420066-253B-4F2B-8349-9919E420D7B1}"/>
    <cellStyle name="20% - Accent5 2 5 4" xfId="9589" xr:uid="{4C124300-CA39-4C62-A729-87450EBBE37C}"/>
    <cellStyle name="20% - Accent5 2 6" xfId="1470" xr:uid="{00000000-0005-0000-0000-0000C7020000}"/>
    <cellStyle name="20% - Accent5 2 6 2" xfId="3700" xr:uid="{00000000-0005-0000-0000-0000C8020000}"/>
    <cellStyle name="20% - Accent5 2 6 2 2" xfId="7923" xr:uid="{00000000-0005-0000-0000-0000C9020000}"/>
    <cellStyle name="20% - Accent5 2 6 2 2 2" xfId="16365" xr:uid="{D8006A0F-E66D-499F-9A41-0BECC77E3A38}"/>
    <cellStyle name="20% - Accent5 2 6 2 3" xfId="12147" xr:uid="{326FF986-9E30-4EAF-8F4D-350207D9E27B}"/>
    <cellStyle name="20% - Accent5 2 6 3" xfId="5778" xr:uid="{00000000-0005-0000-0000-0000CA020000}"/>
    <cellStyle name="20% - Accent5 2 6 3 2" xfId="14220" xr:uid="{1F29AD57-4261-4CAC-A6D9-D469C56B2B35}"/>
    <cellStyle name="20% - Accent5 2 6 4" xfId="10002" xr:uid="{859067F0-B72E-43FC-AE95-E1D4D38F405C}"/>
    <cellStyle name="20% - Accent5 2 7" xfId="1884" xr:uid="{00000000-0005-0000-0000-0000CB020000}"/>
    <cellStyle name="20% - Accent5 2 7 2" xfId="4113" xr:uid="{00000000-0005-0000-0000-0000CC020000}"/>
    <cellStyle name="20% - Accent5 2 7 2 2" xfId="8336" xr:uid="{00000000-0005-0000-0000-0000CD020000}"/>
    <cellStyle name="20% - Accent5 2 7 2 2 2" xfId="16778" xr:uid="{6B2E4946-4B2C-4BBE-A632-879E630FF5F5}"/>
    <cellStyle name="20% - Accent5 2 7 2 3" xfId="12560" xr:uid="{C9730820-0E7D-41BE-AB63-4562F83921BC}"/>
    <cellStyle name="20% - Accent5 2 7 3" xfId="6191" xr:uid="{00000000-0005-0000-0000-0000CE020000}"/>
    <cellStyle name="20% - Accent5 2 7 3 2" xfId="14633" xr:uid="{24162E7B-E7B4-4285-B411-E71E09B0994D}"/>
    <cellStyle name="20% - Accent5 2 7 4" xfId="10415" xr:uid="{D3FA9CBA-6020-4D02-8B3D-957F632E06EA}"/>
    <cellStyle name="20% - Accent5 2 8" xfId="2297" xr:uid="{00000000-0005-0000-0000-0000CF020000}"/>
    <cellStyle name="20% - Accent5 2 8 2" xfId="6604" xr:uid="{00000000-0005-0000-0000-0000D0020000}"/>
    <cellStyle name="20% - Accent5 2 8 2 2" xfId="15046" xr:uid="{00FC7B47-50F7-49EB-98C6-FF2273752087}"/>
    <cellStyle name="20% - Accent5 2 8 3" xfId="10828" xr:uid="{56E2F676-C532-4AD8-A4B4-FF95B851D2D6}"/>
    <cellStyle name="20% - Accent5 2 9" xfId="4538" xr:uid="{00000000-0005-0000-0000-0000D1020000}"/>
    <cellStyle name="20% - Accent5 2 9 2" xfId="12980" xr:uid="{E07E8592-B07F-4F6F-93E8-5B4E882C56EB}"/>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2 2 2" xfId="15544" xr:uid="{9F7BB489-7273-44E0-BA5B-5E2922C3F6BF}"/>
    <cellStyle name="20% - Accent5 3 2 2 2 3" xfId="11326" xr:uid="{F4FE92E7-0587-4D2C-B0F5-1F3C3BF17504}"/>
    <cellStyle name="20% - Accent5 3 2 2 3" xfId="4957" xr:uid="{00000000-0005-0000-0000-0000D7020000}"/>
    <cellStyle name="20% - Accent5 3 2 2 3 2" xfId="13399" xr:uid="{E2851F26-9D2F-47D9-8BE2-15D55913A9C0}"/>
    <cellStyle name="20% - Accent5 3 2 2 4" xfId="9181" xr:uid="{F0E1CF52-056F-4839-9764-66710AC8A83E}"/>
    <cellStyle name="20% - Accent5 3 2 3" xfId="1061" xr:uid="{00000000-0005-0000-0000-0000D8020000}"/>
    <cellStyle name="20% - Accent5 3 2 3 2" xfId="3292" xr:uid="{00000000-0005-0000-0000-0000D9020000}"/>
    <cellStyle name="20% - Accent5 3 2 3 2 2" xfId="7515" xr:uid="{00000000-0005-0000-0000-0000DA020000}"/>
    <cellStyle name="20% - Accent5 3 2 3 2 2 2" xfId="15957" xr:uid="{BDEDFD12-2F2A-47B1-8AAC-F68302AD1CF1}"/>
    <cellStyle name="20% - Accent5 3 2 3 2 3" xfId="11739" xr:uid="{9BED1042-20AC-4187-9BA8-246B6646E92E}"/>
    <cellStyle name="20% - Accent5 3 2 3 3" xfId="5370" xr:uid="{00000000-0005-0000-0000-0000DB020000}"/>
    <cellStyle name="20% - Accent5 3 2 3 3 2" xfId="13812" xr:uid="{1C301777-415E-4B76-AC49-19155D399E84}"/>
    <cellStyle name="20% - Accent5 3 2 3 4" xfId="9594" xr:uid="{DD97262C-20A4-41D4-BC6D-94C74BFD9A59}"/>
    <cellStyle name="20% - Accent5 3 2 4" xfId="1475" xr:uid="{00000000-0005-0000-0000-0000DC020000}"/>
    <cellStyle name="20% - Accent5 3 2 4 2" xfId="3705" xr:uid="{00000000-0005-0000-0000-0000DD020000}"/>
    <cellStyle name="20% - Accent5 3 2 4 2 2" xfId="7928" xr:uid="{00000000-0005-0000-0000-0000DE020000}"/>
    <cellStyle name="20% - Accent5 3 2 4 2 2 2" xfId="16370" xr:uid="{AC6A7B1C-4C46-4DF5-A268-88036F3B81F7}"/>
    <cellStyle name="20% - Accent5 3 2 4 2 3" xfId="12152" xr:uid="{95A7F397-99DE-4EF1-BF17-0F70A9DFDAF2}"/>
    <cellStyle name="20% - Accent5 3 2 4 3" xfId="5783" xr:uid="{00000000-0005-0000-0000-0000DF020000}"/>
    <cellStyle name="20% - Accent5 3 2 4 3 2" xfId="14225" xr:uid="{1698C46B-0B79-4B0B-AD0B-6F033E4703AE}"/>
    <cellStyle name="20% - Accent5 3 2 4 4" xfId="10007" xr:uid="{FE23021D-5C0C-4849-B5E4-5BE52554D1D5}"/>
    <cellStyle name="20% - Accent5 3 2 5" xfId="1889" xr:uid="{00000000-0005-0000-0000-0000E0020000}"/>
    <cellStyle name="20% - Accent5 3 2 5 2" xfId="4118" xr:uid="{00000000-0005-0000-0000-0000E1020000}"/>
    <cellStyle name="20% - Accent5 3 2 5 2 2" xfId="8341" xr:uid="{00000000-0005-0000-0000-0000E2020000}"/>
    <cellStyle name="20% - Accent5 3 2 5 2 2 2" xfId="16783" xr:uid="{B3E88C80-DEE2-4EE1-AFF1-C25B0BE3D451}"/>
    <cellStyle name="20% - Accent5 3 2 5 2 3" xfId="12565" xr:uid="{6391B891-4D00-4262-94AA-C6B1AD8FA0E3}"/>
    <cellStyle name="20% - Accent5 3 2 5 3" xfId="6196" xr:uid="{00000000-0005-0000-0000-0000E3020000}"/>
    <cellStyle name="20% - Accent5 3 2 5 3 2" xfId="14638" xr:uid="{88D87DDE-0F23-4889-9522-513B0D4CF8A6}"/>
    <cellStyle name="20% - Accent5 3 2 5 4" xfId="10420" xr:uid="{DE5909CB-404A-4EDD-A83C-CDD7E5A7475E}"/>
    <cellStyle name="20% - Accent5 3 2 6" xfId="2302" xr:uid="{00000000-0005-0000-0000-0000E4020000}"/>
    <cellStyle name="20% - Accent5 3 2 6 2" xfId="6609" xr:uid="{00000000-0005-0000-0000-0000E5020000}"/>
    <cellStyle name="20% - Accent5 3 2 6 2 2" xfId="15051" xr:uid="{468D3C60-3899-4EA5-83E9-2773DFEA7E6E}"/>
    <cellStyle name="20% - Accent5 3 2 6 3" xfId="10833" xr:uid="{29D9FD83-CDA1-4D20-BD6B-53857191B57E}"/>
    <cellStyle name="20% - Accent5 3 2 7" xfId="4543" xr:uid="{00000000-0005-0000-0000-0000E6020000}"/>
    <cellStyle name="20% - Accent5 3 2 7 2" xfId="12985" xr:uid="{D8AD1C76-243F-4A36-BBEE-BDC1AB6EDE90}"/>
    <cellStyle name="20% - Accent5 3 2 8" xfId="8767" xr:uid="{AA1EE1CB-72F1-468D-ADD1-D95E7EA5FFFF}"/>
    <cellStyle name="20% - Accent5 3 3" xfId="607" xr:uid="{00000000-0005-0000-0000-0000E7020000}"/>
    <cellStyle name="20% - Accent5 3 3 2" xfId="2878" xr:uid="{00000000-0005-0000-0000-0000E8020000}"/>
    <cellStyle name="20% - Accent5 3 3 2 2" xfId="7101" xr:uid="{00000000-0005-0000-0000-0000E9020000}"/>
    <cellStyle name="20% - Accent5 3 3 2 2 2" xfId="15543" xr:uid="{3471F5E8-0156-40DA-AFEE-D602488C5551}"/>
    <cellStyle name="20% - Accent5 3 3 2 3" xfId="11325" xr:uid="{60687146-EDC1-4BDB-88CA-DD4159C64141}"/>
    <cellStyle name="20% - Accent5 3 3 3" xfId="4956" xr:uid="{00000000-0005-0000-0000-0000EA020000}"/>
    <cellStyle name="20% - Accent5 3 3 3 2" xfId="13398" xr:uid="{DCDEA21C-DD15-403C-84B5-6C91D0BB21BC}"/>
    <cellStyle name="20% - Accent5 3 3 4" xfId="9180" xr:uid="{58CCB9EC-0661-4565-A6DB-D8E776C77EFC}"/>
    <cellStyle name="20% - Accent5 3 4" xfId="1060" xr:uid="{00000000-0005-0000-0000-0000EB020000}"/>
    <cellStyle name="20% - Accent5 3 4 2" xfId="3291" xr:uid="{00000000-0005-0000-0000-0000EC020000}"/>
    <cellStyle name="20% - Accent5 3 4 2 2" xfId="7514" xr:uid="{00000000-0005-0000-0000-0000ED020000}"/>
    <cellStyle name="20% - Accent5 3 4 2 2 2" xfId="15956" xr:uid="{83E9EE4E-ABC3-4DC2-975F-A7809547AB22}"/>
    <cellStyle name="20% - Accent5 3 4 2 3" xfId="11738" xr:uid="{FF563E9A-74E4-45EB-9690-BD5B2E4346F7}"/>
    <cellStyle name="20% - Accent5 3 4 3" xfId="5369" xr:uid="{00000000-0005-0000-0000-0000EE020000}"/>
    <cellStyle name="20% - Accent5 3 4 3 2" xfId="13811" xr:uid="{4B0D1B6D-E4F5-44C3-BCB7-842EC8BCC6A0}"/>
    <cellStyle name="20% - Accent5 3 4 4" xfId="9593" xr:uid="{FC435AC4-DF66-4636-97AF-9FDFE60BE45E}"/>
    <cellStyle name="20% - Accent5 3 5" xfId="1474" xr:uid="{00000000-0005-0000-0000-0000EF020000}"/>
    <cellStyle name="20% - Accent5 3 5 2" xfId="3704" xr:uid="{00000000-0005-0000-0000-0000F0020000}"/>
    <cellStyle name="20% - Accent5 3 5 2 2" xfId="7927" xr:uid="{00000000-0005-0000-0000-0000F1020000}"/>
    <cellStyle name="20% - Accent5 3 5 2 2 2" xfId="16369" xr:uid="{C091F207-6E35-44C0-BD9D-3FDFE742CDC7}"/>
    <cellStyle name="20% - Accent5 3 5 2 3" xfId="12151" xr:uid="{33CB1CC1-4778-43AD-9FE0-4D93AC742779}"/>
    <cellStyle name="20% - Accent5 3 5 3" xfId="5782" xr:uid="{00000000-0005-0000-0000-0000F2020000}"/>
    <cellStyle name="20% - Accent5 3 5 3 2" xfId="14224" xr:uid="{757A598B-F9B1-40E3-9899-65E1375F5E22}"/>
    <cellStyle name="20% - Accent5 3 5 4" xfId="10006" xr:uid="{ADA4DB63-D720-4BA0-A998-A5FBDDA7D9B2}"/>
    <cellStyle name="20% - Accent5 3 6" xfId="1888" xr:uid="{00000000-0005-0000-0000-0000F3020000}"/>
    <cellStyle name="20% - Accent5 3 6 2" xfId="4117" xr:uid="{00000000-0005-0000-0000-0000F4020000}"/>
    <cellStyle name="20% - Accent5 3 6 2 2" xfId="8340" xr:uid="{00000000-0005-0000-0000-0000F5020000}"/>
    <cellStyle name="20% - Accent5 3 6 2 2 2" xfId="16782" xr:uid="{595CECEE-C654-47A4-87F9-C6CC263B90DA}"/>
    <cellStyle name="20% - Accent5 3 6 2 3" xfId="12564" xr:uid="{5E294423-31AE-4335-8B65-8AE6498160B7}"/>
    <cellStyle name="20% - Accent5 3 6 3" xfId="6195" xr:uid="{00000000-0005-0000-0000-0000F6020000}"/>
    <cellStyle name="20% - Accent5 3 6 3 2" xfId="14637" xr:uid="{619F9ABE-0CB1-45A5-8372-59E4F9466466}"/>
    <cellStyle name="20% - Accent5 3 6 4" xfId="10419" xr:uid="{93E33BE4-2B4E-4D7D-91B1-C682B2144ECC}"/>
    <cellStyle name="20% - Accent5 3 7" xfId="2301" xr:uid="{00000000-0005-0000-0000-0000F7020000}"/>
    <cellStyle name="20% - Accent5 3 7 2" xfId="6608" xr:uid="{00000000-0005-0000-0000-0000F8020000}"/>
    <cellStyle name="20% - Accent5 3 7 2 2" xfId="15050" xr:uid="{8FACCE61-D9B6-4259-9B48-DDC8047F19B7}"/>
    <cellStyle name="20% - Accent5 3 7 3" xfId="10832" xr:uid="{93C56578-235F-41D0-A4E9-95BD1536A4B4}"/>
    <cellStyle name="20% - Accent5 3 8" xfId="4542" xr:uid="{00000000-0005-0000-0000-0000F9020000}"/>
    <cellStyle name="20% - Accent5 3 8 2" xfId="12984" xr:uid="{3CE39E43-BA03-4578-9328-E023CD42D316}"/>
    <cellStyle name="20% - Accent5 3 9" xfId="8766" xr:uid="{FCEBF22F-036F-45CF-8859-0BCB276170B9}"/>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2 2 2" xfId="15545" xr:uid="{95158213-5368-4488-8F90-DABFC49CCEF3}"/>
    <cellStyle name="20% - Accent5 4 2 2 3" xfId="11327" xr:uid="{71E8152C-CA1B-4E63-A92E-476834440C9E}"/>
    <cellStyle name="20% - Accent5 4 2 3" xfId="4958" xr:uid="{00000000-0005-0000-0000-0000FE020000}"/>
    <cellStyle name="20% - Accent5 4 2 3 2" xfId="13400" xr:uid="{5EDFF559-5A7A-4D4D-827C-1921D31F3040}"/>
    <cellStyle name="20% - Accent5 4 2 4" xfId="9182" xr:uid="{00C7C555-DD55-4772-8E55-69FE25FD988D}"/>
    <cellStyle name="20% - Accent5 4 3" xfId="1062" xr:uid="{00000000-0005-0000-0000-0000FF020000}"/>
    <cellStyle name="20% - Accent5 4 3 2" xfId="3293" xr:uid="{00000000-0005-0000-0000-000000030000}"/>
    <cellStyle name="20% - Accent5 4 3 2 2" xfId="7516" xr:uid="{00000000-0005-0000-0000-000001030000}"/>
    <cellStyle name="20% - Accent5 4 3 2 2 2" xfId="15958" xr:uid="{58C227C3-1C18-44A7-9364-0C9E9974CE6D}"/>
    <cellStyle name="20% - Accent5 4 3 2 3" xfId="11740" xr:uid="{862BC3E5-F0D5-4D06-8803-0C474633A560}"/>
    <cellStyle name="20% - Accent5 4 3 3" xfId="5371" xr:uid="{00000000-0005-0000-0000-000002030000}"/>
    <cellStyle name="20% - Accent5 4 3 3 2" xfId="13813" xr:uid="{73306D01-1D5F-46D7-85E6-C4F93E3E7C49}"/>
    <cellStyle name="20% - Accent5 4 3 4" xfId="9595" xr:uid="{F19450F2-AC9C-42D2-8365-F450E73885ED}"/>
    <cellStyle name="20% - Accent5 4 4" xfId="1476" xr:uid="{00000000-0005-0000-0000-000003030000}"/>
    <cellStyle name="20% - Accent5 4 4 2" xfId="3706" xr:uid="{00000000-0005-0000-0000-000004030000}"/>
    <cellStyle name="20% - Accent5 4 4 2 2" xfId="7929" xr:uid="{00000000-0005-0000-0000-000005030000}"/>
    <cellStyle name="20% - Accent5 4 4 2 2 2" xfId="16371" xr:uid="{0C8F723F-7321-4622-99C4-0DA1C2DD2C81}"/>
    <cellStyle name="20% - Accent5 4 4 2 3" xfId="12153" xr:uid="{A2BCCED1-E2B0-4C2C-AA02-C3C38E7B5508}"/>
    <cellStyle name="20% - Accent5 4 4 3" xfId="5784" xr:uid="{00000000-0005-0000-0000-000006030000}"/>
    <cellStyle name="20% - Accent5 4 4 3 2" xfId="14226" xr:uid="{9773D959-CA90-4815-ADFE-7F3C295A73B4}"/>
    <cellStyle name="20% - Accent5 4 4 4" xfId="10008" xr:uid="{8AA53563-0140-4981-A5E5-D519E741CEBC}"/>
    <cellStyle name="20% - Accent5 4 5" xfId="1890" xr:uid="{00000000-0005-0000-0000-000007030000}"/>
    <cellStyle name="20% - Accent5 4 5 2" xfId="4119" xr:uid="{00000000-0005-0000-0000-000008030000}"/>
    <cellStyle name="20% - Accent5 4 5 2 2" xfId="8342" xr:uid="{00000000-0005-0000-0000-000009030000}"/>
    <cellStyle name="20% - Accent5 4 5 2 2 2" xfId="16784" xr:uid="{534B3ED1-4C59-4E18-81C4-AF6FCD3CEE21}"/>
    <cellStyle name="20% - Accent5 4 5 2 3" xfId="12566" xr:uid="{E3D5C22A-D41D-424F-9A0D-5F987987D331}"/>
    <cellStyle name="20% - Accent5 4 5 3" xfId="6197" xr:uid="{00000000-0005-0000-0000-00000A030000}"/>
    <cellStyle name="20% - Accent5 4 5 3 2" xfId="14639" xr:uid="{8A6FCF97-A02D-4943-813E-421658072805}"/>
    <cellStyle name="20% - Accent5 4 5 4" xfId="10421" xr:uid="{39CAB7BA-2204-486B-A2AC-A6C1B6B486D7}"/>
    <cellStyle name="20% - Accent5 4 6" xfId="2303" xr:uid="{00000000-0005-0000-0000-00000B030000}"/>
    <cellStyle name="20% - Accent5 4 6 2" xfId="6610" xr:uid="{00000000-0005-0000-0000-00000C030000}"/>
    <cellStyle name="20% - Accent5 4 6 2 2" xfId="15052" xr:uid="{5CA5CE38-B4FA-435A-8A77-9290104BB7C1}"/>
    <cellStyle name="20% - Accent5 4 6 3" xfId="10834" xr:uid="{855AFB42-02BA-4D58-9118-F83BEB7D4FA3}"/>
    <cellStyle name="20% - Accent5 4 7" xfId="4544" xr:uid="{00000000-0005-0000-0000-00000D030000}"/>
    <cellStyle name="20% - Accent5 4 7 2" xfId="12986" xr:uid="{EA264A0C-15D3-4187-896F-85F98549F8AB}"/>
    <cellStyle name="20% - Accent5 4 8" xfId="8768" xr:uid="{2B6C79B6-2F53-44F3-9FDB-6531A8D23993}"/>
    <cellStyle name="20% - Accent5 5" xfId="602" xr:uid="{00000000-0005-0000-0000-00000E030000}"/>
    <cellStyle name="20% - Accent5 5 2" xfId="2873" xr:uid="{00000000-0005-0000-0000-00000F030000}"/>
    <cellStyle name="20% - Accent5 5 2 2" xfId="7096" xr:uid="{00000000-0005-0000-0000-000010030000}"/>
    <cellStyle name="20% - Accent5 5 2 2 2" xfId="15538" xr:uid="{D92D59BC-13A5-4BCD-9D2D-144011520228}"/>
    <cellStyle name="20% - Accent5 5 2 3" xfId="11320" xr:uid="{6180CCC5-A541-432B-968D-D81D123960F9}"/>
    <cellStyle name="20% - Accent5 5 3" xfId="4951" xr:uid="{00000000-0005-0000-0000-000011030000}"/>
    <cellStyle name="20% - Accent5 5 3 2" xfId="13393" xr:uid="{A6BF82A0-A7ED-4092-9414-A24E37BCD02F}"/>
    <cellStyle name="20% - Accent5 5 4" xfId="9175" xr:uid="{E74DEF4D-CFBC-4B7B-97D1-7FF63C4233E3}"/>
    <cellStyle name="20% - Accent5 6" xfId="1055" xr:uid="{00000000-0005-0000-0000-000012030000}"/>
    <cellStyle name="20% - Accent5 6 2" xfId="3286" xr:uid="{00000000-0005-0000-0000-000013030000}"/>
    <cellStyle name="20% - Accent5 6 2 2" xfId="7509" xr:uid="{00000000-0005-0000-0000-000014030000}"/>
    <cellStyle name="20% - Accent5 6 2 2 2" xfId="15951" xr:uid="{89793AB8-BA08-4BA9-B1FF-1686741DB7DB}"/>
    <cellStyle name="20% - Accent5 6 2 3" xfId="11733" xr:uid="{5F6F9F89-97BE-4564-8BC5-5AD003DCFE92}"/>
    <cellStyle name="20% - Accent5 6 3" xfId="5364" xr:uid="{00000000-0005-0000-0000-000015030000}"/>
    <cellStyle name="20% - Accent5 6 3 2" xfId="13806" xr:uid="{34C20B87-262E-4455-B2E2-F549A8FE6C6E}"/>
    <cellStyle name="20% - Accent5 6 4" xfId="9588" xr:uid="{D97802E7-8E13-42F7-B638-CAD20D37F893}"/>
    <cellStyle name="20% - Accent5 7" xfId="1469" xr:uid="{00000000-0005-0000-0000-000016030000}"/>
    <cellStyle name="20% - Accent5 7 2" xfId="3699" xr:uid="{00000000-0005-0000-0000-000017030000}"/>
    <cellStyle name="20% - Accent5 7 2 2" xfId="7922" xr:uid="{00000000-0005-0000-0000-000018030000}"/>
    <cellStyle name="20% - Accent5 7 2 2 2" xfId="16364" xr:uid="{04B65C4E-216B-4D5F-A0A7-2DACA67A7900}"/>
    <cellStyle name="20% - Accent5 7 2 3" xfId="12146" xr:uid="{A41ABB6D-5977-45DE-B02D-A13A5E643AE1}"/>
    <cellStyle name="20% - Accent5 7 3" xfId="5777" xr:uid="{00000000-0005-0000-0000-000019030000}"/>
    <cellStyle name="20% - Accent5 7 3 2" xfId="14219" xr:uid="{BDE43643-5E3C-4667-A1CB-7B6974DF728B}"/>
    <cellStyle name="20% - Accent5 7 4" xfId="10001" xr:uid="{EEAC6781-E577-4D06-81E4-5A0FC7E12B01}"/>
    <cellStyle name="20% - Accent5 8" xfId="1883" xr:uid="{00000000-0005-0000-0000-00001A030000}"/>
    <cellStyle name="20% - Accent5 8 2" xfId="4112" xr:uid="{00000000-0005-0000-0000-00001B030000}"/>
    <cellStyle name="20% - Accent5 8 2 2" xfId="8335" xr:uid="{00000000-0005-0000-0000-00001C030000}"/>
    <cellStyle name="20% - Accent5 8 2 2 2" xfId="16777" xr:uid="{108C0AF6-62D0-4CEC-B99F-40E52A571214}"/>
    <cellStyle name="20% - Accent5 8 2 3" xfId="12559" xr:uid="{51157B5F-8E32-4D31-954C-51AD8AF43BE7}"/>
    <cellStyle name="20% - Accent5 8 3" xfId="6190" xr:uid="{00000000-0005-0000-0000-00001D030000}"/>
    <cellStyle name="20% - Accent5 8 3 2" xfId="14632" xr:uid="{53DB3226-C35A-474C-BEA1-0E5F79ABBBEA}"/>
    <cellStyle name="20% - Accent5 8 4" xfId="10414" xr:uid="{E46FE0BC-D684-4C73-856F-975448CCBC11}"/>
    <cellStyle name="20% - Accent5 9" xfId="2296" xr:uid="{00000000-0005-0000-0000-00001E030000}"/>
    <cellStyle name="20% - Accent5 9 2" xfId="6603" xr:uid="{00000000-0005-0000-0000-00001F030000}"/>
    <cellStyle name="20% - Accent5 9 2 2" xfId="15045" xr:uid="{3794C45E-D87C-4557-BD4B-479B30C25208}"/>
    <cellStyle name="20% - Accent5 9 3" xfId="10827" xr:uid="{53395C39-0842-465E-BFA5-9328ED907B7C}"/>
    <cellStyle name="20% - Accent6" xfId="41" builtinId="50" customBuiltin="1"/>
    <cellStyle name="20% - Accent6 10" xfId="4545" xr:uid="{00000000-0005-0000-0000-000021030000}"/>
    <cellStyle name="20% - Accent6 10 2" xfId="12987" xr:uid="{CDDA1EBE-DE03-4E34-9F50-ECFADE5019E0}"/>
    <cellStyle name="20% - Accent6 11" xfId="8769" xr:uid="{A0BDCB9B-BB6E-4BE9-80DB-295513960F78}"/>
    <cellStyle name="20% - Accent6 2" xfId="42" xr:uid="{00000000-0005-0000-0000-000022030000}"/>
    <cellStyle name="20% - Accent6 2 10" xfId="8770" xr:uid="{59FD2768-8F2A-46DF-A164-A57BFB0C048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2 2 2" xfId="15549" xr:uid="{CDD09B19-0B44-4BDB-812C-24A614BB517E}"/>
    <cellStyle name="20% - Accent6 2 2 2 2 2 3" xfId="11331" xr:uid="{079C30E6-00AA-4A58-B56B-D28EB2A85C16}"/>
    <cellStyle name="20% - Accent6 2 2 2 2 3" xfId="4962" xr:uid="{00000000-0005-0000-0000-000028030000}"/>
    <cellStyle name="20% - Accent6 2 2 2 2 3 2" xfId="13404" xr:uid="{BE2D6E2F-20C5-48FC-9625-FB0574B06DF6}"/>
    <cellStyle name="20% - Accent6 2 2 2 2 4" xfId="9186" xr:uid="{7B7951D3-0715-4FB3-B776-A8B9D5847EFD}"/>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2 2 2" xfId="15962" xr:uid="{13F2AF94-4975-41CB-B872-9E068F80CDA8}"/>
    <cellStyle name="20% - Accent6 2 2 2 3 2 3" xfId="11744" xr:uid="{C8CA3EED-5A0D-4200-8F57-EB828739A72F}"/>
    <cellStyle name="20% - Accent6 2 2 2 3 3" xfId="5375" xr:uid="{00000000-0005-0000-0000-00002C030000}"/>
    <cellStyle name="20% - Accent6 2 2 2 3 3 2" xfId="13817" xr:uid="{C7627049-FF28-4E82-8E73-5A7CAB66B359}"/>
    <cellStyle name="20% - Accent6 2 2 2 3 4" xfId="9599" xr:uid="{E828EFC3-36D8-456C-BA79-DEC29E320C51}"/>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2 2 2" xfId="16375" xr:uid="{A057EADE-70A6-449C-A08F-F232AA3F1429}"/>
    <cellStyle name="20% - Accent6 2 2 2 4 2 3" xfId="12157" xr:uid="{61E3A0FD-286D-4DC7-9F9A-19981A87A071}"/>
    <cellStyle name="20% - Accent6 2 2 2 4 3" xfId="5788" xr:uid="{00000000-0005-0000-0000-000030030000}"/>
    <cellStyle name="20% - Accent6 2 2 2 4 3 2" xfId="14230" xr:uid="{011F53EB-BE6B-4239-99EB-7B9D0E1300AD}"/>
    <cellStyle name="20% - Accent6 2 2 2 4 4" xfId="10012" xr:uid="{DA321470-0F7B-4047-B7BA-A525B5368D0A}"/>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2 2 2" xfId="16788" xr:uid="{D46982D2-2EE7-47B9-BB8B-3AF1D7311F28}"/>
    <cellStyle name="20% - Accent6 2 2 2 5 2 3" xfId="12570" xr:uid="{53B3ED59-C20D-430F-81B5-9E4243784BCD}"/>
    <cellStyle name="20% - Accent6 2 2 2 5 3" xfId="6201" xr:uid="{00000000-0005-0000-0000-000034030000}"/>
    <cellStyle name="20% - Accent6 2 2 2 5 3 2" xfId="14643" xr:uid="{D66074AB-E071-46AC-A360-FF9A4B2AAA97}"/>
    <cellStyle name="20% - Accent6 2 2 2 5 4" xfId="10425" xr:uid="{C0D0244B-09DF-4666-92F3-347F84BB3450}"/>
    <cellStyle name="20% - Accent6 2 2 2 6" xfId="2307" xr:uid="{00000000-0005-0000-0000-000035030000}"/>
    <cellStyle name="20% - Accent6 2 2 2 6 2" xfId="6614" xr:uid="{00000000-0005-0000-0000-000036030000}"/>
    <cellStyle name="20% - Accent6 2 2 2 6 2 2" xfId="15056" xr:uid="{0265ACF7-CB34-4836-BF19-D0308163159A}"/>
    <cellStyle name="20% - Accent6 2 2 2 6 3" xfId="10838" xr:uid="{311F097C-2601-4051-AE82-D891741A78E7}"/>
    <cellStyle name="20% - Accent6 2 2 2 7" xfId="4548" xr:uid="{00000000-0005-0000-0000-000037030000}"/>
    <cellStyle name="20% - Accent6 2 2 2 7 2" xfId="12990" xr:uid="{0C11E2D4-D1B6-4279-89BE-373B949B596D}"/>
    <cellStyle name="20% - Accent6 2 2 2 8" xfId="8772" xr:uid="{24FDD849-51C7-4064-BC69-1C28810C7BBA}"/>
    <cellStyle name="20% - Accent6 2 2 3" xfId="612" xr:uid="{00000000-0005-0000-0000-000038030000}"/>
    <cellStyle name="20% - Accent6 2 2 3 2" xfId="2883" xr:uid="{00000000-0005-0000-0000-000039030000}"/>
    <cellStyle name="20% - Accent6 2 2 3 2 2" xfId="7106" xr:uid="{00000000-0005-0000-0000-00003A030000}"/>
    <cellStyle name="20% - Accent6 2 2 3 2 2 2" xfId="15548" xr:uid="{67DABB76-8493-41DB-B688-4BCF47A6CD3B}"/>
    <cellStyle name="20% - Accent6 2 2 3 2 3" xfId="11330" xr:uid="{E806DA22-572E-42E2-9612-1AD531577789}"/>
    <cellStyle name="20% - Accent6 2 2 3 3" xfId="4961" xr:uid="{00000000-0005-0000-0000-00003B030000}"/>
    <cellStyle name="20% - Accent6 2 2 3 3 2" xfId="13403" xr:uid="{96E594B6-65CD-4E1A-9615-1BFE03B53FE4}"/>
    <cellStyle name="20% - Accent6 2 2 3 4" xfId="9185" xr:uid="{6D448CED-08FB-440B-BC6C-3ACBEFBC3C59}"/>
    <cellStyle name="20% - Accent6 2 2 4" xfId="1065" xr:uid="{00000000-0005-0000-0000-00003C030000}"/>
    <cellStyle name="20% - Accent6 2 2 4 2" xfId="3296" xr:uid="{00000000-0005-0000-0000-00003D030000}"/>
    <cellStyle name="20% - Accent6 2 2 4 2 2" xfId="7519" xr:uid="{00000000-0005-0000-0000-00003E030000}"/>
    <cellStyle name="20% - Accent6 2 2 4 2 2 2" xfId="15961" xr:uid="{35367995-A038-425E-8C8B-CF37B600EB2C}"/>
    <cellStyle name="20% - Accent6 2 2 4 2 3" xfId="11743" xr:uid="{1044CC10-D090-4E24-8A94-EF8E725E74E2}"/>
    <cellStyle name="20% - Accent6 2 2 4 3" xfId="5374" xr:uid="{00000000-0005-0000-0000-00003F030000}"/>
    <cellStyle name="20% - Accent6 2 2 4 3 2" xfId="13816" xr:uid="{785A38E9-04BF-4A23-A562-9F30BDDC3567}"/>
    <cellStyle name="20% - Accent6 2 2 4 4" xfId="9598" xr:uid="{2D488ED8-D674-49BD-B8CD-47931F778144}"/>
    <cellStyle name="20% - Accent6 2 2 5" xfId="1479" xr:uid="{00000000-0005-0000-0000-000040030000}"/>
    <cellStyle name="20% - Accent6 2 2 5 2" xfId="3709" xr:uid="{00000000-0005-0000-0000-000041030000}"/>
    <cellStyle name="20% - Accent6 2 2 5 2 2" xfId="7932" xr:uid="{00000000-0005-0000-0000-000042030000}"/>
    <cellStyle name="20% - Accent6 2 2 5 2 2 2" xfId="16374" xr:uid="{9FABEFCC-9451-45A9-A12D-B6687FECCBB7}"/>
    <cellStyle name="20% - Accent6 2 2 5 2 3" xfId="12156" xr:uid="{DD9A9741-959A-4B30-AEEF-BDABCA78D8B8}"/>
    <cellStyle name="20% - Accent6 2 2 5 3" xfId="5787" xr:uid="{00000000-0005-0000-0000-000043030000}"/>
    <cellStyle name="20% - Accent6 2 2 5 3 2" xfId="14229" xr:uid="{4DF16D15-3847-4B51-8906-F3FB9F6AC6DA}"/>
    <cellStyle name="20% - Accent6 2 2 5 4" xfId="10011" xr:uid="{C2489864-215F-48EF-B928-3F1F4AB6949F}"/>
    <cellStyle name="20% - Accent6 2 2 6" xfId="1893" xr:uid="{00000000-0005-0000-0000-000044030000}"/>
    <cellStyle name="20% - Accent6 2 2 6 2" xfId="4122" xr:uid="{00000000-0005-0000-0000-000045030000}"/>
    <cellStyle name="20% - Accent6 2 2 6 2 2" xfId="8345" xr:uid="{00000000-0005-0000-0000-000046030000}"/>
    <cellStyle name="20% - Accent6 2 2 6 2 2 2" xfId="16787" xr:uid="{B40FCEA1-C4B9-49B6-B6BD-6F36746A10BD}"/>
    <cellStyle name="20% - Accent6 2 2 6 2 3" xfId="12569" xr:uid="{BC4267F6-E06C-4490-983F-87379E85D62A}"/>
    <cellStyle name="20% - Accent6 2 2 6 3" xfId="6200" xr:uid="{00000000-0005-0000-0000-000047030000}"/>
    <cellStyle name="20% - Accent6 2 2 6 3 2" xfId="14642" xr:uid="{D8C88C45-B364-4AB6-83C2-ACAD856C1747}"/>
    <cellStyle name="20% - Accent6 2 2 6 4" xfId="10424" xr:uid="{288341EE-E9CE-4EB2-8A15-0C668027299C}"/>
    <cellStyle name="20% - Accent6 2 2 7" xfId="2306" xr:uid="{00000000-0005-0000-0000-000048030000}"/>
    <cellStyle name="20% - Accent6 2 2 7 2" xfId="6613" xr:uid="{00000000-0005-0000-0000-000049030000}"/>
    <cellStyle name="20% - Accent6 2 2 7 2 2" xfId="15055" xr:uid="{B5F3E891-4FE9-430D-BC5A-8F1A8EDA2D67}"/>
    <cellStyle name="20% - Accent6 2 2 7 3" xfId="10837" xr:uid="{23168079-541E-4EAB-85C0-64AF389F72AA}"/>
    <cellStyle name="20% - Accent6 2 2 8" xfId="4547" xr:uid="{00000000-0005-0000-0000-00004A030000}"/>
    <cellStyle name="20% - Accent6 2 2 8 2" xfId="12989" xr:uid="{A96E01D3-EF43-46CA-AF20-51F4B254DFD0}"/>
    <cellStyle name="20% - Accent6 2 2 9" xfId="8771" xr:uid="{CAA37A96-DF47-4A26-8843-11C31FEF6078}"/>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2 2 2" xfId="15550" xr:uid="{E93AC27D-71F6-4D18-9EC0-7F7410083A8B}"/>
    <cellStyle name="20% - Accent6 2 3 2 2 3" xfId="11332" xr:uid="{3DE1C8A7-B570-4EA5-A932-34D1B29EB370}"/>
    <cellStyle name="20% - Accent6 2 3 2 3" xfId="4963" xr:uid="{00000000-0005-0000-0000-00004F030000}"/>
    <cellStyle name="20% - Accent6 2 3 2 3 2" xfId="13405" xr:uid="{061F90A5-DF4D-49B9-8E3D-45626BB7B0EE}"/>
    <cellStyle name="20% - Accent6 2 3 2 4" xfId="9187" xr:uid="{134AF599-AD06-4105-9D4A-A8E462DABA3D}"/>
    <cellStyle name="20% - Accent6 2 3 3" xfId="1067" xr:uid="{00000000-0005-0000-0000-000050030000}"/>
    <cellStyle name="20% - Accent6 2 3 3 2" xfId="3298" xr:uid="{00000000-0005-0000-0000-000051030000}"/>
    <cellStyle name="20% - Accent6 2 3 3 2 2" xfId="7521" xr:uid="{00000000-0005-0000-0000-000052030000}"/>
    <cellStyle name="20% - Accent6 2 3 3 2 2 2" xfId="15963" xr:uid="{3B44A57D-CFD2-4493-A719-26F7CFFB0BB5}"/>
    <cellStyle name="20% - Accent6 2 3 3 2 3" xfId="11745" xr:uid="{EC903B38-E4F2-4A15-90A4-1B581C56A3FF}"/>
    <cellStyle name="20% - Accent6 2 3 3 3" xfId="5376" xr:uid="{00000000-0005-0000-0000-000053030000}"/>
    <cellStyle name="20% - Accent6 2 3 3 3 2" xfId="13818" xr:uid="{9F9C669E-546B-42B2-B8E2-61343A707177}"/>
    <cellStyle name="20% - Accent6 2 3 3 4" xfId="9600" xr:uid="{C7286BCE-171F-44B5-B101-CB4E043B2611}"/>
    <cellStyle name="20% - Accent6 2 3 4" xfId="1481" xr:uid="{00000000-0005-0000-0000-000054030000}"/>
    <cellStyle name="20% - Accent6 2 3 4 2" xfId="3711" xr:uid="{00000000-0005-0000-0000-000055030000}"/>
    <cellStyle name="20% - Accent6 2 3 4 2 2" xfId="7934" xr:uid="{00000000-0005-0000-0000-000056030000}"/>
    <cellStyle name="20% - Accent6 2 3 4 2 2 2" xfId="16376" xr:uid="{D0829BB2-E388-4986-9215-E6F499650E58}"/>
    <cellStyle name="20% - Accent6 2 3 4 2 3" xfId="12158" xr:uid="{0D3342AF-70F4-4C23-8BE7-9DC76D4DD274}"/>
    <cellStyle name="20% - Accent6 2 3 4 3" xfId="5789" xr:uid="{00000000-0005-0000-0000-000057030000}"/>
    <cellStyle name="20% - Accent6 2 3 4 3 2" xfId="14231" xr:uid="{25C73F34-482D-4144-BED5-EDBC64FA0B9D}"/>
    <cellStyle name="20% - Accent6 2 3 4 4" xfId="10013" xr:uid="{B2EECED0-98B0-4EA3-8A0A-A077CDA0E9D7}"/>
    <cellStyle name="20% - Accent6 2 3 5" xfId="1895" xr:uid="{00000000-0005-0000-0000-000058030000}"/>
    <cellStyle name="20% - Accent6 2 3 5 2" xfId="4124" xr:uid="{00000000-0005-0000-0000-000059030000}"/>
    <cellStyle name="20% - Accent6 2 3 5 2 2" xfId="8347" xr:uid="{00000000-0005-0000-0000-00005A030000}"/>
    <cellStyle name="20% - Accent6 2 3 5 2 2 2" xfId="16789" xr:uid="{086E5EDB-1A2F-432F-80AB-4C468D773206}"/>
    <cellStyle name="20% - Accent6 2 3 5 2 3" xfId="12571" xr:uid="{0C39D48A-0F36-493F-9853-9253AFD0F06F}"/>
    <cellStyle name="20% - Accent6 2 3 5 3" xfId="6202" xr:uid="{00000000-0005-0000-0000-00005B030000}"/>
    <cellStyle name="20% - Accent6 2 3 5 3 2" xfId="14644" xr:uid="{3670D350-3C9D-41BE-BA88-57957DA04DB1}"/>
    <cellStyle name="20% - Accent6 2 3 5 4" xfId="10426" xr:uid="{7C4D81D7-F691-44CE-8342-D46EB483C5F9}"/>
    <cellStyle name="20% - Accent6 2 3 6" xfId="2308" xr:uid="{00000000-0005-0000-0000-00005C030000}"/>
    <cellStyle name="20% - Accent6 2 3 6 2" xfId="6615" xr:uid="{00000000-0005-0000-0000-00005D030000}"/>
    <cellStyle name="20% - Accent6 2 3 6 2 2" xfId="15057" xr:uid="{E9593851-DA13-4FC5-BBA4-DF5B1FAEF41D}"/>
    <cellStyle name="20% - Accent6 2 3 6 3" xfId="10839" xr:uid="{4C51EA62-635F-44A8-99FB-B7B45D298835}"/>
    <cellStyle name="20% - Accent6 2 3 7" xfId="4549" xr:uid="{00000000-0005-0000-0000-00005E030000}"/>
    <cellStyle name="20% - Accent6 2 3 7 2" xfId="12991" xr:uid="{FBF2E8C8-7306-4125-9F9F-F36EA8A165CA}"/>
    <cellStyle name="20% - Accent6 2 3 8" xfId="8773" xr:uid="{297DCDA9-FB27-434A-930E-15644A3ADAB0}"/>
    <cellStyle name="20% - Accent6 2 4" xfId="611" xr:uid="{00000000-0005-0000-0000-00005F030000}"/>
    <cellStyle name="20% - Accent6 2 4 2" xfId="2882" xr:uid="{00000000-0005-0000-0000-000060030000}"/>
    <cellStyle name="20% - Accent6 2 4 2 2" xfId="7105" xr:uid="{00000000-0005-0000-0000-000061030000}"/>
    <cellStyle name="20% - Accent6 2 4 2 2 2" xfId="15547" xr:uid="{E7347F02-C606-45A3-A3E6-3885244D82A6}"/>
    <cellStyle name="20% - Accent6 2 4 2 3" xfId="11329" xr:uid="{9E7BDA14-3B6D-46DC-9106-FDE450D25B46}"/>
    <cellStyle name="20% - Accent6 2 4 3" xfId="4960" xr:uid="{00000000-0005-0000-0000-000062030000}"/>
    <cellStyle name="20% - Accent6 2 4 3 2" xfId="13402" xr:uid="{DC781E20-03D5-4B3D-9C0C-7A0C26B86B80}"/>
    <cellStyle name="20% - Accent6 2 4 4" xfId="9184" xr:uid="{1CCA7085-A718-4D92-872B-810E8C17935A}"/>
    <cellStyle name="20% - Accent6 2 5" xfId="1064" xr:uid="{00000000-0005-0000-0000-000063030000}"/>
    <cellStyle name="20% - Accent6 2 5 2" xfId="3295" xr:uid="{00000000-0005-0000-0000-000064030000}"/>
    <cellStyle name="20% - Accent6 2 5 2 2" xfId="7518" xr:uid="{00000000-0005-0000-0000-000065030000}"/>
    <cellStyle name="20% - Accent6 2 5 2 2 2" xfId="15960" xr:uid="{6D633164-1295-4FF4-9D05-6B1A438A572B}"/>
    <cellStyle name="20% - Accent6 2 5 2 3" xfId="11742" xr:uid="{B9E20AED-750A-427B-AF20-D0D93C500DB2}"/>
    <cellStyle name="20% - Accent6 2 5 3" xfId="5373" xr:uid="{00000000-0005-0000-0000-000066030000}"/>
    <cellStyle name="20% - Accent6 2 5 3 2" xfId="13815" xr:uid="{6D87199D-D5EC-4072-91FE-F1E8BEFD6362}"/>
    <cellStyle name="20% - Accent6 2 5 4" xfId="9597" xr:uid="{2C0BCBBB-E396-4E8F-90B2-C770B8763FBB}"/>
    <cellStyle name="20% - Accent6 2 6" xfId="1478" xr:uid="{00000000-0005-0000-0000-000067030000}"/>
    <cellStyle name="20% - Accent6 2 6 2" xfId="3708" xr:uid="{00000000-0005-0000-0000-000068030000}"/>
    <cellStyle name="20% - Accent6 2 6 2 2" xfId="7931" xr:uid="{00000000-0005-0000-0000-000069030000}"/>
    <cellStyle name="20% - Accent6 2 6 2 2 2" xfId="16373" xr:uid="{AC755F56-44A1-4C0E-A122-483C6631D050}"/>
    <cellStyle name="20% - Accent6 2 6 2 3" xfId="12155" xr:uid="{1F9DD87D-CE23-474A-B059-24BAC3F093B7}"/>
    <cellStyle name="20% - Accent6 2 6 3" xfId="5786" xr:uid="{00000000-0005-0000-0000-00006A030000}"/>
    <cellStyle name="20% - Accent6 2 6 3 2" xfId="14228" xr:uid="{1D08213D-B7AB-4D22-B562-56E771400AB1}"/>
    <cellStyle name="20% - Accent6 2 6 4" xfId="10010" xr:uid="{4E26C7A4-BBFC-4E38-B193-9D93105936FE}"/>
    <cellStyle name="20% - Accent6 2 7" xfId="1892" xr:uid="{00000000-0005-0000-0000-00006B030000}"/>
    <cellStyle name="20% - Accent6 2 7 2" xfId="4121" xr:uid="{00000000-0005-0000-0000-00006C030000}"/>
    <cellStyle name="20% - Accent6 2 7 2 2" xfId="8344" xr:uid="{00000000-0005-0000-0000-00006D030000}"/>
    <cellStyle name="20% - Accent6 2 7 2 2 2" xfId="16786" xr:uid="{92A122C7-24BB-47A7-B021-98EAC82BC509}"/>
    <cellStyle name="20% - Accent6 2 7 2 3" xfId="12568" xr:uid="{471E7688-A897-4ECB-B14F-B6BD49845C4C}"/>
    <cellStyle name="20% - Accent6 2 7 3" xfId="6199" xr:uid="{00000000-0005-0000-0000-00006E030000}"/>
    <cellStyle name="20% - Accent6 2 7 3 2" xfId="14641" xr:uid="{F6D565B8-BA81-47C6-9C3B-78065B2E33D6}"/>
    <cellStyle name="20% - Accent6 2 7 4" xfId="10423" xr:uid="{9000AA77-E351-4B55-8D75-3ECD172D1A78}"/>
    <cellStyle name="20% - Accent6 2 8" xfId="2305" xr:uid="{00000000-0005-0000-0000-00006F030000}"/>
    <cellStyle name="20% - Accent6 2 8 2" xfId="6612" xr:uid="{00000000-0005-0000-0000-000070030000}"/>
    <cellStyle name="20% - Accent6 2 8 2 2" xfId="15054" xr:uid="{35846F3E-C2CD-4D46-98A4-133BD7DD5624}"/>
    <cellStyle name="20% - Accent6 2 8 3" xfId="10836" xr:uid="{BF1CBC25-5090-4F11-BD97-075B31398023}"/>
    <cellStyle name="20% - Accent6 2 9" xfId="4546" xr:uid="{00000000-0005-0000-0000-000071030000}"/>
    <cellStyle name="20% - Accent6 2 9 2" xfId="12988" xr:uid="{C68DF5A3-E256-4D43-9C24-157D98A4A365}"/>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2 2 2" xfId="15552" xr:uid="{0B6441ED-4F10-45CA-8E5A-B8854BEAF018}"/>
    <cellStyle name="20% - Accent6 3 2 2 2 3" xfId="11334" xr:uid="{4318EA43-867F-4990-8FDF-0C5AD72DF16E}"/>
    <cellStyle name="20% - Accent6 3 2 2 3" xfId="4965" xr:uid="{00000000-0005-0000-0000-000077030000}"/>
    <cellStyle name="20% - Accent6 3 2 2 3 2" xfId="13407" xr:uid="{35C1C19F-1930-4699-85BE-3EBDFEE5654B}"/>
    <cellStyle name="20% - Accent6 3 2 2 4" xfId="9189" xr:uid="{D259B548-DC93-40E7-A71D-F71D5EC57044}"/>
    <cellStyle name="20% - Accent6 3 2 3" xfId="1069" xr:uid="{00000000-0005-0000-0000-000078030000}"/>
    <cellStyle name="20% - Accent6 3 2 3 2" xfId="3300" xr:uid="{00000000-0005-0000-0000-000079030000}"/>
    <cellStyle name="20% - Accent6 3 2 3 2 2" xfId="7523" xr:uid="{00000000-0005-0000-0000-00007A030000}"/>
    <cellStyle name="20% - Accent6 3 2 3 2 2 2" xfId="15965" xr:uid="{EE08F336-6353-4A50-8A14-9E99129C7865}"/>
    <cellStyle name="20% - Accent6 3 2 3 2 3" xfId="11747" xr:uid="{3B4E0F7D-90EE-43BC-912E-1201FF7A6BB5}"/>
    <cellStyle name="20% - Accent6 3 2 3 3" xfId="5378" xr:uid="{00000000-0005-0000-0000-00007B030000}"/>
    <cellStyle name="20% - Accent6 3 2 3 3 2" xfId="13820" xr:uid="{BBA89E09-CBD2-4413-A20C-7548800B3061}"/>
    <cellStyle name="20% - Accent6 3 2 3 4" xfId="9602" xr:uid="{B3376D24-3144-4805-A0D0-AB17ED3E5A28}"/>
    <cellStyle name="20% - Accent6 3 2 4" xfId="1483" xr:uid="{00000000-0005-0000-0000-00007C030000}"/>
    <cellStyle name="20% - Accent6 3 2 4 2" xfId="3713" xr:uid="{00000000-0005-0000-0000-00007D030000}"/>
    <cellStyle name="20% - Accent6 3 2 4 2 2" xfId="7936" xr:uid="{00000000-0005-0000-0000-00007E030000}"/>
    <cellStyle name="20% - Accent6 3 2 4 2 2 2" xfId="16378" xr:uid="{D9D4DCA1-29E4-42E7-9D3D-E18500E0B3FE}"/>
    <cellStyle name="20% - Accent6 3 2 4 2 3" xfId="12160" xr:uid="{DE22085F-347B-447E-88AD-A077DD9F10CE}"/>
    <cellStyle name="20% - Accent6 3 2 4 3" xfId="5791" xr:uid="{00000000-0005-0000-0000-00007F030000}"/>
    <cellStyle name="20% - Accent6 3 2 4 3 2" xfId="14233" xr:uid="{D93BBEDD-75FE-4494-A233-97ECB25CAC3D}"/>
    <cellStyle name="20% - Accent6 3 2 4 4" xfId="10015" xr:uid="{3568075A-0FE6-49F7-A472-43031D34F334}"/>
    <cellStyle name="20% - Accent6 3 2 5" xfId="1897" xr:uid="{00000000-0005-0000-0000-000080030000}"/>
    <cellStyle name="20% - Accent6 3 2 5 2" xfId="4126" xr:uid="{00000000-0005-0000-0000-000081030000}"/>
    <cellStyle name="20% - Accent6 3 2 5 2 2" xfId="8349" xr:uid="{00000000-0005-0000-0000-000082030000}"/>
    <cellStyle name="20% - Accent6 3 2 5 2 2 2" xfId="16791" xr:uid="{0A9AB25F-2346-436F-A1DC-C332F74AC0CD}"/>
    <cellStyle name="20% - Accent6 3 2 5 2 3" xfId="12573" xr:uid="{C5609B93-F497-4DE7-A9F6-C29439CAEEB6}"/>
    <cellStyle name="20% - Accent6 3 2 5 3" xfId="6204" xr:uid="{00000000-0005-0000-0000-000083030000}"/>
    <cellStyle name="20% - Accent6 3 2 5 3 2" xfId="14646" xr:uid="{602B7099-131A-424F-BD90-2BA0C4C9097D}"/>
    <cellStyle name="20% - Accent6 3 2 5 4" xfId="10428" xr:uid="{8A207724-E8AE-4247-B5A6-B9A22BABCC63}"/>
    <cellStyle name="20% - Accent6 3 2 6" xfId="2310" xr:uid="{00000000-0005-0000-0000-000084030000}"/>
    <cellStyle name="20% - Accent6 3 2 6 2" xfId="6617" xr:uid="{00000000-0005-0000-0000-000085030000}"/>
    <cellStyle name="20% - Accent6 3 2 6 2 2" xfId="15059" xr:uid="{32C2FA9C-F59D-462E-9403-ACB0A1A18D41}"/>
    <cellStyle name="20% - Accent6 3 2 6 3" xfId="10841" xr:uid="{B85D11E7-5473-4702-A5B3-F80F12D17572}"/>
    <cellStyle name="20% - Accent6 3 2 7" xfId="4551" xr:uid="{00000000-0005-0000-0000-000086030000}"/>
    <cellStyle name="20% - Accent6 3 2 7 2" xfId="12993" xr:uid="{1208F1D9-4CD6-433D-8423-FD3CCE94492A}"/>
    <cellStyle name="20% - Accent6 3 2 8" xfId="8775" xr:uid="{62C92698-E923-42A0-8CB3-E9AB375702C7}"/>
    <cellStyle name="20% - Accent6 3 3" xfId="615" xr:uid="{00000000-0005-0000-0000-000087030000}"/>
    <cellStyle name="20% - Accent6 3 3 2" xfId="2886" xr:uid="{00000000-0005-0000-0000-000088030000}"/>
    <cellStyle name="20% - Accent6 3 3 2 2" xfId="7109" xr:uid="{00000000-0005-0000-0000-000089030000}"/>
    <cellStyle name="20% - Accent6 3 3 2 2 2" xfId="15551" xr:uid="{23211809-4875-425F-AF68-44C67192616F}"/>
    <cellStyle name="20% - Accent6 3 3 2 3" xfId="11333" xr:uid="{10B4D92C-F5E3-4188-8575-FB38FC4DDB02}"/>
    <cellStyle name="20% - Accent6 3 3 3" xfId="4964" xr:uid="{00000000-0005-0000-0000-00008A030000}"/>
    <cellStyle name="20% - Accent6 3 3 3 2" xfId="13406" xr:uid="{636AA412-3574-4F72-B387-F90649E43BE7}"/>
    <cellStyle name="20% - Accent6 3 3 4" xfId="9188" xr:uid="{5B8BD976-65C4-41EE-B361-9384BCED3F59}"/>
    <cellStyle name="20% - Accent6 3 4" xfId="1068" xr:uid="{00000000-0005-0000-0000-00008B030000}"/>
    <cellStyle name="20% - Accent6 3 4 2" xfId="3299" xr:uid="{00000000-0005-0000-0000-00008C030000}"/>
    <cellStyle name="20% - Accent6 3 4 2 2" xfId="7522" xr:uid="{00000000-0005-0000-0000-00008D030000}"/>
    <cellStyle name="20% - Accent6 3 4 2 2 2" xfId="15964" xr:uid="{FA91554C-1071-4AAC-9C94-E0EF69AC27F5}"/>
    <cellStyle name="20% - Accent6 3 4 2 3" xfId="11746" xr:uid="{8EEA168B-9BFE-40E2-98F3-1EF1C3B56C1B}"/>
    <cellStyle name="20% - Accent6 3 4 3" xfId="5377" xr:uid="{00000000-0005-0000-0000-00008E030000}"/>
    <cellStyle name="20% - Accent6 3 4 3 2" xfId="13819" xr:uid="{27BA37A2-E109-4017-8060-5C5A4CB8B6C6}"/>
    <cellStyle name="20% - Accent6 3 4 4" xfId="9601" xr:uid="{8DAB14C7-7F06-4716-9D71-53A615F7A58A}"/>
    <cellStyle name="20% - Accent6 3 5" xfId="1482" xr:uid="{00000000-0005-0000-0000-00008F030000}"/>
    <cellStyle name="20% - Accent6 3 5 2" xfId="3712" xr:uid="{00000000-0005-0000-0000-000090030000}"/>
    <cellStyle name="20% - Accent6 3 5 2 2" xfId="7935" xr:uid="{00000000-0005-0000-0000-000091030000}"/>
    <cellStyle name="20% - Accent6 3 5 2 2 2" xfId="16377" xr:uid="{07EDF41D-9219-40F8-92D1-C749C331C0AA}"/>
    <cellStyle name="20% - Accent6 3 5 2 3" xfId="12159" xr:uid="{CDC336E9-B12A-432D-80F6-55CF353F8AFF}"/>
    <cellStyle name="20% - Accent6 3 5 3" xfId="5790" xr:uid="{00000000-0005-0000-0000-000092030000}"/>
    <cellStyle name="20% - Accent6 3 5 3 2" xfId="14232" xr:uid="{C15E84BD-CB3E-498B-A436-ECA9AC8C521F}"/>
    <cellStyle name="20% - Accent6 3 5 4" xfId="10014" xr:uid="{6419BA86-410B-4753-BA30-88442697F555}"/>
    <cellStyle name="20% - Accent6 3 6" xfId="1896" xr:uid="{00000000-0005-0000-0000-000093030000}"/>
    <cellStyle name="20% - Accent6 3 6 2" xfId="4125" xr:uid="{00000000-0005-0000-0000-000094030000}"/>
    <cellStyle name="20% - Accent6 3 6 2 2" xfId="8348" xr:uid="{00000000-0005-0000-0000-000095030000}"/>
    <cellStyle name="20% - Accent6 3 6 2 2 2" xfId="16790" xr:uid="{D00EB5C7-1D2E-47BD-9E15-E946EA89D8D6}"/>
    <cellStyle name="20% - Accent6 3 6 2 3" xfId="12572" xr:uid="{3DD6AC58-5E58-4B76-84CA-76362DD8C1BF}"/>
    <cellStyle name="20% - Accent6 3 6 3" xfId="6203" xr:uid="{00000000-0005-0000-0000-000096030000}"/>
    <cellStyle name="20% - Accent6 3 6 3 2" xfId="14645" xr:uid="{9FDB7662-520C-4506-ABEE-65F15B9A2A71}"/>
    <cellStyle name="20% - Accent6 3 6 4" xfId="10427" xr:uid="{11E63DF2-2AE2-417A-A96F-BD3C376C8757}"/>
    <cellStyle name="20% - Accent6 3 7" xfId="2309" xr:uid="{00000000-0005-0000-0000-000097030000}"/>
    <cellStyle name="20% - Accent6 3 7 2" xfId="6616" xr:uid="{00000000-0005-0000-0000-000098030000}"/>
    <cellStyle name="20% - Accent6 3 7 2 2" xfId="15058" xr:uid="{6E14DBAE-100D-4D1F-AB98-EB79DB9A779D}"/>
    <cellStyle name="20% - Accent6 3 7 3" xfId="10840" xr:uid="{17101AF8-C736-4D6D-A955-08D80FAC0D56}"/>
    <cellStyle name="20% - Accent6 3 8" xfId="4550" xr:uid="{00000000-0005-0000-0000-000099030000}"/>
    <cellStyle name="20% - Accent6 3 8 2" xfId="12992" xr:uid="{3CA7142E-E7C8-4989-ABA2-BA73756ABB4E}"/>
    <cellStyle name="20% - Accent6 3 9" xfId="8774" xr:uid="{F1A00282-BDC9-4E9F-AC90-3B8C1D472FC4}"/>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2 2 2" xfId="15553" xr:uid="{9B38E5E1-2B8E-4155-96D2-0A082E36AEF3}"/>
    <cellStyle name="20% - Accent6 4 2 2 3" xfId="11335" xr:uid="{15BF7B2C-2020-4469-8280-5F32CC2B27AF}"/>
    <cellStyle name="20% - Accent6 4 2 3" xfId="4966" xr:uid="{00000000-0005-0000-0000-00009E030000}"/>
    <cellStyle name="20% - Accent6 4 2 3 2" xfId="13408" xr:uid="{8075CF90-669A-4EB3-9DB2-89C4BDD6326D}"/>
    <cellStyle name="20% - Accent6 4 2 4" xfId="9190" xr:uid="{0921CACD-26B7-46EF-9A45-FDFB20DEE8B3}"/>
    <cellStyle name="20% - Accent6 4 3" xfId="1070" xr:uid="{00000000-0005-0000-0000-00009F030000}"/>
    <cellStyle name="20% - Accent6 4 3 2" xfId="3301" xr:uid="{00000000-0005-0000-0000-0000A0030000}"/>
    <cellStyle name="20% - Accent6 4 3 2 2" xfId="7524" xr:uid="{00000000-0005-0000-0000-0000A1030000}"/>
    <cellStyle name="20% - Accent6 4 3 2 2 2" xfId="15966" xr:uid="{88ECAD9F-2F6D-4E3B-9FC9-AAB0E9FD2771}"/>
    <cellStyle name="20% - Accent6 4 3 2 3" xfId="11748" xr:uid="{8CC626D0-AFCC-43C5-95BB-0442EF50EB58}"/>
    <cellStyle name="20% - Accent6 4 3 3" xfId="5379" xr:uid="{00000000-0005-0000-0000-0000A2030000}"/>
    <cellStyle name="20% - Accent6 4 3 3 2" xfId="13821" xr:uid="{15DC5D78-8FE1-4A62-B77D-727FFD7465A3}"/>
    <cellStyle name="20% - Accent6 4 3 4" xfId="9603" xr:uid="{AA52417E-28A9-4FD8-BCBB-A6733069C787}"/>
    <cellStyle name="20% - Accent6 4 4" xfId="1484" xr:uid="{00000000-0005-0000-0000-0000A3030000}"/>
    <cellStyle name="20% - Accent6 4 4 2" xfId="3714" xr:uid="{00000000-0005-0000-0000-0000A4030000}"/>
    <cellStyle name="20% - Accent6 4 4 2 2" xfId="7937" xr:uid="{00000000-0005-0000-0000-0000A5030000}"/>
    <cellStyle name="20% - Accent6 4 4 2 2 2" xfId="16379" xr:uid="{2BA9BA3E-C5E7-45BF-9778-8A635E9DBEE6}"/>
    <cellStyle name="20% - Accent6 4 4 2 3" xfId="12161" xr:uid="{CDB03545-DD7E-4BDD-9D0D-1D37DFEEB1B5}"/>
    <cellStyle name="20% - Accent6 4 4 3" xfId="5792" xr:uid="{00000000-0005-0000-0000-0000A6030000}"/>
    <cellStyle name="20% - Accent6 4 4 3 2" xfId="14234" xr:uid="{6C8FF7D5-2448-4776-BC70-D9E905185430}"/>
    <cellStyle name="20% - Accent6 4 4 4" xfId="10016" xr:uid="{51A20374-F373-47A6-AE41-70C902A73625}"/>
    <cellStyle name="20% - Accent6 4 5" xfId="1898" xr:uid="{00000000-0005-0000-0000-0000A7030000}"/>
    <cellStyle name="20% - Accent6 4 5 2" xfId="4127" xr:uid="{00000000-0005-0000-0000-0000A8030000}"/>
    <cellStyle name="20% - Accent6 4 5 2 2" xfId="8350" xr:uid="{00000000-0005-0000-0000-0000A9030000}"/>
    <cellStyle name="20% - Accent6 4 5 2 2 2" xfId="16792" xr:uid="{111C80C0-9AEB-4AB3-A63F-4505CBC6E7A4}"/>
    <cellStyle name="20% - Accent6 4 5 2 3" xfId="12574" xr:uid="{FD16CF22-87FB-4776-ACA0-7FAA60E2BB0F}"/>
    <cellStyle name="20% - Accent6 4 5 3" xfId="6205" xr:uid="{00000000-0005-0000-0000-0000AA030000}"/>
    <cellStyle name="20% - Accent6 4 5 3 2" xfId="14647" xr:uid="{6EF8020A-18ED-4074-BB80-3E80F9DF6530}"/>
    <cellStyle name="20% - Accent6 4 5 4" xfId="10429" xr:uid="{1D9A63D6-B00C-40B1-B002-22E26935D87E}"/>
    <cellStyle name="20% - Accent6 4 6" xfId="2311" xr:uid="{00000000-0005-0000-0000-0000AB030000}"/>
    <cellStyle name="20% - Accent6 4 6 2" xfId="6618" xr:uid="{00000000-0005-0000-0000-0000AC030000}"/>
    <cellStyle name="20% - Accent6 4 6 2 2" xfId="15060" xr:uid="{9643A178-6C32-4028-9387-2C5E5823D170}"/>
    <cellStyle name="20% - Accent6 4 6 3" xfId="10842" xr:uid="{1F79D377-93D3-4543-984B-3DD4766A1C0A}"/>
    <cellStyle name="20% - Accent6 4 7" xfId="4552" xr:uid="{00000000-0005-0000-0000-0000AD030000}"/>
    <cellStyle name="20% - Accent6 4 7 2" xfId="12994" xr:uid="{9378DA80-8024-4F07-A827-022E19300226}"/>
    <cellStyle name="20% - Accent6 4 8" xfId="8776" xr:uid="{8FC33683-2560-43D8-84AA-4D26041878BC}"/>
    <cellStyle name="20% - Accent6 5" xfId="610" xr:uid="{00000000-0005-0000-0000-0000AE030000}"/>
    <cellStyle name="20% - Accent6 5 2" xfId="2881" xr:uid="{00000000-0005-0000-0000-0000AF030000}"/>
    <cellStyle name="20% - Accent6 5 2 2" xfId="7104" xr:uid="{00000000-0005-0000-0000-0000B0030000}"/>
    <cellStyle name="20% - Accent6 5 2 2 2" xfId="15546" xr:uid="{838FBCEE-E5D7-4515-84C2-DE16822DB4C4}"/>
    <cellStyle name="20% - Accent6 5 2 3" xfId="11328" xr:uid="{5C7D4805-F84E-48B8-97A8-5C1543194F66}"/>
    <cellStyle name="20% - Accent6 5 3" xfId="4959" xr:uid="{00000000-0005-0000-0000-0000B1030000}"/>
    <cellStyle name="20% - Accent6 5 3 2" xfId="13401" xr:uid="{195BE39B-7658-4F21-BBE1-8F51DDB8C571}"/>
    <cellStyle name="20% - Accent6 5 4" xfId="9183" xr:uid="{F07F7E1E-8B70-4D40-BF22-221CD6522355}"/>
    <cellStyle name="20% - Accent6 6" xfId="1063" xr:uid="{00000000-0005-0000-0000-0000B2030000}"/>
    <cellStyle name="20% - Accent6 6 2" xfId="3294" xr:uid="{00000000-0005-0000-0000-0000B3030000}"/>
    <cellStyle name="20% - Accent6 6 2 2" xfId="7517" xr:uid="{00000000-0005-0000-0000-0000B4030000}"/>
    <cellStyle name="20% - Accent6 6 2 2 2" xfId="15959" xr:uid="{AA5D485D-F068-4095-866F-697471170A55}"/>
    <cellStyle name="20% - Accent6 6 2 3" xfId="11741" xr:uid="{76585059-BAE2-4A28-9827-34086CEBD596}"/>
    <cellStyle name="20% - Accent6 6 3" xfId="5372" xr:uid="{00000000-0005-0000-0000-0000B5030000}"/>
    <cellStyle name="20% - Accent6 6 3 2" xfId="13814" xr:uid="{4A0172F1-0406-40A8-8528-CC23FE66C756}"/>
    <cellStyle name="20% - Accent6 6 4" xfId="9596" xr:uid="{71450C67-3F3D-4FC1-BDD0-5DF4FBAABBBD}"/>
    <cellStyle name="20% - Accent6 7" xfId="1477" xr:uid="{00000000-0005-0000-0000-0000B6030000}"/>
    <cellStyle name="20% - Accent6 7 2" xfId="3707" xr:uid="{00000000-0005-0000-0000-0000B7030000}"/>
    <cellStyle name="20% - Accent6 7 2 2" xfId="7930" xr:uid="{00000000-0005-0000-0000-0000B8030000}"/>
    <cellStyle name="20% - Accent6 7 2 2 2" xfId="16372" xr:uid="{9DA41DD3-865E-4EC5-91D3-C54DC47F7C63}"/>
    <cellStyle name="20% - Accent6 7 2 3" xfId="12154" xr:uid="{26207D40-9E44-4867-98B2-0D279C607E20}"/>
    <cellStyle name="20% - Accent6 7 3" xfId="5785" xr:uid="{00000000-0005-0000-0000-0000B9030000}"/>
    <cellStyle name="20% - Accent6 7 3 2" xfId="14227" xr:uid="{8239AC05-0D56-47A2-B16E-B1D80FF1C538}"/>
    <cellStyle name="20% - Accent6 7 4" xfId="10009" xr:uid="{B8B91622-A7E4-460F-8F00-51D536736D24}"/>
    <cellStyle name="20% - Accent6 8" xfId="1891" xr:uid="{00000000-0005-0000-0000-0000BA030000}"/>
    <cellStyle name="20% - Accent6 8 2" xfId="4120" xr:uid="{00000000-0005-0000-0000-0000BB030000}"/>
    <cellStyle name="20% - Accent6 8 2 2" xfId="8343" xr:uid="{00000000-0005-0000-0000-0000BC030000}"/>
    <cellStyle name="20% - Accent6 8 2 2 2" xfId="16785" xr:uid="{5D98C2B9-16A0-4343-846E-06FFE3E5E232}"/>
    <cellStyle name="20% - Accent6 8 2 3" xfId="12567" xr:uid="{F7808F69-5424-409E-83C0-3B883D122A30}"/>
    <cellStyle name="20% - Accent6 8 3" xfId="6198" xr:uid="{00000000-0005-0000-0000-0000BD030000}"/>
    <cellStyle name="20% - Accent6 8 3 2" xfId="14640" xr:uid="{300CFEA7-779D-4899-AF43-CCFCE3589E4A}"/>
    <cellStyle name="20% - Accent6 8 4" xfId="10422" xr:uid="{9A4A1DD9-4E0D-4D09-A2F3-BE9EBC489441}"/>
    <cellStyle name="20% - Accent6 9" xfId="2304" xr:uid="{00000000-0005-0000-0000-0000BE030000}"/>
    <cellStyle name="20% - Accent6 9 2" xfId="6611" xr:uid="{00000000-0005-0000-0000-0000BF030000}"/>
    <cellStyle name="20% - Accent6 9 2 2" xfId="15053" xr:uid="{5224F2AC-0F64-4DE1-9355-DDD1CA45F2A4}"/>
    <cellStyle name="20% - Accent6 9 3" xfId="10835" xr:uid="{96DF63F3-C55C-4A33-ACA6-7CAD54741393}"/>
    <cellStyle name="40% - Accent1" xfId="49" builtinId="31" customBuiltin="1"/>
    <cellStyle name="40% - Accent1 10" xfId="4553" xr:uid="{00000000-0005-0000-0000-0000C1030000}"/>
    <cellStyle name="40% - Accent1 10 2" xfId="12995" xr:uid="{9203EE0C-D7FF-4122-8C44-2DEB91AF578B}"/>
    <cellStyle name="40% - Accent1 11" xfId="8777" xr:uid="{44D87129-25AE-4EE1-952B-F4F7CFC6AC5B}"/>
    <cellStyle name="40% - Accent1 2" xfId="50" xr:uid="{00000000-0005-0000-0000-0000C2030000}"/>
    <cellStyle name="40% - Accent1 2 10" xfId="8778" xr:uid="{8C1D7424-FBFA-4321-8112-8C560B6D86C6}"/>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2 2 2" xfId="15557" xr:uid="{F3122869-CB63-46E2-88B2-E9890395DB1B}"/>
    <cellStyle name="40% - Accent1 2 2 2 2 2 3" xfId="11339" xr:uid="{5B697C2A-D9ED-4AE4-B4CC-F73F9E252927}"/>
    <cellStyle name="40% - Accent1 2 2 2 2 3" xfId="4970" xr:uid="{00000000-0005-0000-0000-0000C8030000}"/>
    <cellStyle name="40% - Accent1 2 2 2 2 3 2" xfId="13412" xr:uid="{0ABFD81C-1E07-4A67-8A91-97905AA35264}"/>
    <cellStyle name="40% - Accent1 2 2 2 2 4" xfId="9194" xr:uid="{8A25449B-A017-4E80-9E14-D3C7543CF327}"/>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2 2 2" xfId="15970" xr:uid="{72D209A0-F23E-45EE-9FB0-476A991AF6B0}"/>
    <cellStyle name="40% - Accent1 2 2 2 3 2 3" xfId="11752" xr:uid="{9D7B3EF8-B9F0-4D9D-826D-E0154CD140BF}"/>
    <cellStyle name="40% - Accent1 2 2 2 3 3" xfId="5383" xr:uid="{00000000-0005-0000-0000-0000CC030000}"/>
    <cellStyle name="40% - Accent1 2 2 2 3 3 2" xfId="13825" xr:uid="{100D1F26-3714-4D9C-B158-90DB6AFACC5C}"/>
    <cellStyle name="40% - Accent1 2 2 2 3 4" xfId="9607" xr:uid="{8D6A61DD-7841-48F0-AD99-194899E9D4EE}"/>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2 2 2" xfId="16383" xr:uid="{C1B714D5-D352-4A18-AB9A-6EEB6C377BE7}"/>
    <cellStyle name="40% - Accent1 2 2 2 4 2 3" xfId="12165" xr:uid="{DA4E1DD7-2694-44C1-A4FB-B3FE9B255970}"/>
    <cellStyle name="40% - Accent1 2 2 2 4 3" xfId="5796" xr:uid="{00000000-0005-0000-0000-0000D0030000}"/>
    <cellStyle name="40% - Accent1 2 2 2 4 3 2" xfId="14238" xr:uid="{4EAD8991-7021-4C8A-9FA2-D058A7128890}"/>
    <cellStyle name="40% - Accent1 2 2 2 4 4" xfId="10020" xr:uid="{85FAB467-D7A6-44A9-AFAA-EA60EBD725D7}"/>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2 2 2" xfId="16796" xr:uid="{EFE65E4D-23BF-4D66-9C39-F7CB10EA03D8}"/>
    <cellStyle name="40% - Accent1 2 2 2 5 2 3" xfId="12578" xr:uid="{3E4F8F1A-10C6-46B7-B334-12D511F21614}"/>
    <cellStyle name="40% - Accent1 2 2 2 5 3" xfId="6209" xr:uid="{00000000-0005-0000-0000-0000D4030000}"/>
    <cellStyle name="40% - Accent1 2 2 2 5 3 2" xfId="14651" xr:uid="{97E77973-2DC5-441A-BFF4-D98B4EB82693}"/>
    <cellStyle name="40% - Accent1 2 2 2 5 4" xfId="10433" xr:uid="{718D65DC-72C9-492A-A7B2-11A203851991}"/>
    <cellStyle name="40% - Accent1 2 2 2 6" xfId="2315" xr:uid="{00000000-0005-0000-0000-0000D5030000}"/>
    <cellStyle name="40% - Accent1 2 2 2 6 2" xfId="6622" xr:uid="{00000000-0005-0000-0000-0000D6030000}"/>
    <cellStyle name="40% - Accent1 2 2 2 6 2 2" xfId="15064" xr:uid="{3AD07939-C685-4ADB-97FE-2A062FFC7025}"/>
    <cellStyle name="40% - Accent1 2 2 2 6 3" xfId="10846" xr:uid="{017B6150-8275-4CFA-8F92-6FA390EE872D}"/>
    <cellStyle name="40% - Accent1 2 2 2 7" xfId="4556" xr:uid="{00000000-0005-0000-0000-0000D7030000}"/>
    <cellStyle name="40% - Accent1 2 2 2 7 2" xfId="12998" xr:uid="{6D46DF2F-F5EB-452A-85D6-2469DB44509F}"/>
    <cellStyle name="40% - Accent1 2 2 2 8" xfId="8780" xr:uid="{88DA9EF4-265A-490F-9DE1-D6F925E6A9A3}"/>
    <cellStyle name="40% - Accent1 2 2 3" xfId="620" xr:uid="{00000000-0005-0000-0000-0000D8030000}"/>
    <cellStyle name="40% - Accent1 2 2 3 2" xfId="2891" xr:uid="{00000000-0005-0000-0000-0000D9030000}"/>
    <cellStyle name="40% - Accent1 2 2 3 2 2" xfId="7114" xr:uid="{00000000-0005-0000-0000-0000DA030000}"/>
    <cellStyle name="40% - Accent1 2 2 3 2 2 2" xfId="15556" xr:uid="{E4B99177-6103-4801-8F02-F6EC8C9E48F2}"/>
    <cellStyle name="40% - Accent1 2 2 3 2 3" xfId="11338" xr:uid="{B0721529-3E78-415E-9D6D-8EDF42A445B4}"/>
    <cellStyle name="40% - Accent1 2 2 3 3" xfId="4969" xr:uid="{00000000-0005-0000-0000-0000DB030000}"/>
    <cellStyle name="40% - Accent1 2 2 3 3 2" xfId="13411" xr:uid="{3B2E8D42-D8B0-4D93-A656-811DC56C6268}"/>
    <cellStyle name="40% - Accent1 2 2 3 4" xfId="9193" xr:uid="{9B1D86DC-4701-4A1B-B0C1-3F5588325142}"/>
    <cellStyle name="40% - Accent1 2 2 4" xfId="1073" xr:uid="{00000000-0005-0000-0000-0000DC030000}"/>
    <cellStyle name="40% - Accent1 2 2 4 2" xfId="3304" xr:uid="{00000000-0005-0000-0000-0000DD030000}"/>
    <cellStyle name="40% - Accent1 2 2 4 2 2" xfId="7527" xr:uid="{00000000-0005-0000-0000-0000DE030000}"/>
    <cellStyle name="40% - Accent1 2 2 4 2 2 2" xfId="15969" xr:uid="{6C5518A8-111D-4E1D-A572-180CD62E75A4}"/>
    <cellStyle name="40% - Accent1 2 2 4 2 3" xfId="11751" xr:uid="{5BC231A8-7FDD-4335-86B6-2BCCB4A29B78}"/>
    <cellStyle name="40% - Accent1 2 2 4 3" xfId="5382" xr:uid="{00000000-0005-0000-0000-0000DF030000}"/>
    <cellStyle name="40% - Accent1 2 2 4 3 2" xfId="13824" xr:uid="{16A282D5-2B98-4AD6-AEC8-7CA5B326A6A8}"/>
    <cellStyle name="40% - Accent1 2 2 4 4" xfId="9606" xr:uid="{DD9B66DE-2D7A-482C-80E4-97053FC7442C}"/>
    <cellStyle name="40% - Accent1 2 2 5" xfId="1487" xr:uid="{00000000-0005-0000-0000-0000E0030000}"/>
    <cellStyle name="40% - Accent1 2 2 5 2" xfId="3717" xr:uid="{00000000-0005-0000-0000-0000E1030000}"/>
    <cellStyle name="40% - Accent1 2 2 5 2 2" xfId="7940" xr:uid="{00000000-0005-0000-0000-0000E2030000}"/>
    <cellStyle name="40% - Accent1 2 2 5 2 2 2" xfId="16382" xr:uid="{660F9751-830E-4FB1-B5D1-3004891D2769}"/>
    <cellStyle name="40% - Accent1 2 2 5 2 3" xfId="12164" xr:uid="{E98EBEF6-F629-4B04-B8D4-1238CCC3E167}"/>
    <cellStyle name="40% - Accent1 2 2 5 3" xfId="5795" xr:uid="{00000000-0005-0000-0000-0000E3030000}"/>
    <cellStyle name="40% - Accent1 2 2 5 3 2" xfId="14237" xr:uid="{E5785A5A-8E2A-43BB-8BC2-DED07019CAED}"/>
    <cellStyle name="40% - Accent1 2 2 5 4" xfId="10019" xr:uid="{73502780-F5BB-45E8-B926-48D5DE7BD9F2}"/>
    <cellStyle name="40% - Accent1 2 2 6" xfId="1901" xr:uid="{00000000-0005-0000-0000-0000E4030000}"/>
    <cellStyle name="40% - Accent1 2 2 6 2" xfId="4130" xr:uid="{00000000-0005-0000-0000-0000E5030000}"/>
    <cellStyle name="40% - Accent1 2 2 6 2 2" xfId="8353" xr:uid="{00000000-0005-0000-0000-0000E6030000}"/>
    <cellStyle name="40% - Accent1 2 2 6 2 2 2" xfId="16795" xr:uid="{3B6F4973-0FD8-4693-B5DF-112C61FD4A75}"/>
    <cellStyle name="40% - Accent1 2 2 6 2 3" xfId="12577" xr:uid="{BA6C05D6-6BD1-4340-9E0E-C7A5F67EEE25}"/>
    <cellStyle name="40% - Accent1 2 2 6 3" xfId="6208" xr:uid="{00000000-0005-0000-0000-0000E7030000}"/>
    <cellStyle name="40% - Accent1 2 2 6 3 2" xfId="14650" xr:uid="{B236CC4C-BB16-4B63-B858-E07BD40B1386}"/>
    <cellStyle name="40% - Accent1 2 2 6 4" xfId="10432" xr:uid="{8E4B9314-0F0A-4230-8A67-28688E8FC847}"/>
    <cellStyle name="40% - Accent1 2 2 7" xfId="2314" xr:uid="{00000000-0005-0000-0000-0000E8030000}"/>
    <cellStyle name="40% - Accent1 2 2 7 2" xfId="6621" xr:uid="{00000000-0005-0000-0000-0000E9030000}"/>
    <cellStyle name="40% - Accent1 2 2 7 2 2" xfId="15063" xr:uid="{6D12598C-F9C8-4720-990A-A299CA2ED2A5}"/>
    <cellStyle name="40% - Accent1 2 2 7 3" xfId="10845" xr:uid="{D1B18B8B-8B57-45BD-BB1B-4ECEBA9AB21C}"/>
    <cellStyle name="40% - Accent1 2 2 8" xfId="4555" xr:uid="{00000000-0005-0000-0000-0000EA030000}"/>
    <cellStyle name="40% - Accent1 2 2 8 2" xfId="12997" xr:uid="{46371B11-2F47-451F-8B19-D39A63E06FE0}"/>
    <cellStyle name="40% - Accent1 2 2 9" xfId="8779" xr:uid="{C3CC3F5B-6E6B-4551-8831-8D2467BB603F}"/>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2 2 2" xfId="15558" xr:uid="{B8760C50-3EB9-4563-BE6E-3A1D10A4771D}"/>
    <cellStyle name="40% - Accent1 2 3 2 2 3" xfId="11340" xr:uid="{D1F56BBE-64D1-4EB9-A034-07DBAF3F07C2}"/>
    <cellStyle name="40% - Accent1 2 3 2 3" xfId="4971" xr:uid="{00000000-0005-0000-0000-0000EF030000}"/>
    <cellStyle name="40% - Accent1 2 3 2 3 2" xfId="13413" xr:uid="{45B0FBE5-F49F-48E8-8B52-BDC5DD75CC7C}"/>
    <cellStyle name="40% - Accent1 2 3 2 4" xfId="9195" xr:uid="{66EFA150-28D5-4EF6-A455-540F858D1A8A}"/>
    <cellStyle name="40% - Accent1 2 3 3" xfId="1075" xr:uid="{00000000-0005-0000-0000-0000F0030000}"/>
    <cellStyle name="40% - Accent1 2 3 3 2" xfId="3306" xr:uid="{00000000-0005-0000-0000-0000F1030000}"/>
    <cellStyle name="40% - Accent1 2 3 3 2 2" xfId="7529" xr:uid="{00000000-0005-0000-0000-0000F2030000}"/>
    <cellStyle name="40% - Accent1 2 3 3 2 2 2" xfId="15971" xr:uid="{44360F93-CBCF-410C-8163-A134B8EB27F9}"/>
    <cellStyle name="40% - Accent1 2 3 3 2 3" xfId="11753" xr:uid="{0F6BC23A-7B13-4132-81AA-BDCCF4FBA38E}"/>
    <cellStyle name="40% - Accent1 2 3 3 3" xfId="5384" xr:uid="{00000000-0005-0000-0000-0000F3030000}"/>
    <cellStyle name="40% - Accent1 2 3 3 3 2" xfId="13826" xr:uid="{4CAAB0EB-8BE3-4DCD-ADE2-70F5FFF0D1A6}"/>
    <cellStyle name="40% - Accent1 2 3 3 4" xfId="9608" xr:uid="{BC17456B-D1FD-46C2-B81C-C50CAB04794D}"/>
    <cellStyle name="40% - Accent1 2 3 4" xfId="1489" xr:uid="{00000000-0005-0000-0000-0000F4030000}"/>
    <cellStyle name="40% - Accent1 2 3 4 2" xfId="3719" xr:uid="{00000000-0005-0000-0000-0000F5030000}"/>
    <cellStyle name="40% - Accent1 2 3 4 2 2" xfId="7942" xr:uid="{00000000-0005-0000-0000-0000F6030000}"/>
    <cellStyle name="40% - Accent1 2 3 4 2 2 2" xfId="16384" xr:uid="{3FE1DC96-6F44-43C7-BC7C-4153B2E8080E}"/>
    <cellStyle name="40% - Accent1 2 3 4 2 3" xfId="12166" xr:uid="{BBACB3C9-D99F-494F-A2B4-CE28FA8C9585}"/>
    <cellStyle name="40% - Accent1 2 3 4 3" xfId="5797" xr:uid="{00000000-0005-0000-0000-0000F7030000}"/>
    <cellStyle name="40% - Accent1 2 3 4 3 2" xfId="14239" xr:uid="{E356AFC0-E095-4142-870D-73B78CECB2A1}"/>
    <cellStyle name="40% - Accent1 2 3 4 4" xfId="10021" xr:uid="{C1BE7811-F303-4FD1-A68B-A8079F8185ED}"/>
    <cellStyle name="40% - Accent1 2 3 5" xfId="1903" xr:uid="{00000000-0005-0000-0000-0000F8030000}"/>
    <cellStyle name="40% - Accent1 2 3 5 2" xfId="4132" xr:uid="{00000000-0005-0000-0000-0000F9030000}"/>
    <cellStyle name="40% - Accent1 2 3 5 2 2" xfId="8355" xr:uid="{00000000-0005-0000-0000-0000FA030000}"/>
    <cellStyle name="40% - Accent1 2 3 5 2 2 2" xfId="16797" xr:uid="{7AE63FF5-CACD-4C13-8912-60A521F2CED0}"/>
    <cellStyle name="40% - Accent1 2 3 5 2 3" xfId="12579" xr:uid="{04920909-AB06-4329-A539-F12A89818BBC}"/>
    <cellStyle name="40% - Accent1 2 3 5 3" xfId="6210" xr:uid="{00000000-0005-0000-0000-0000FB030000}"/>
    <cellStyle name="40% - Accent1 2 3 5 3 2" xfId="14652" xr:uid="{15658F22-70BE-428C-A0EF-E8A0A55BEE3C}"/>
    <cellStyle name="40% - Accent1 2 3 5 4" xfId="10434" xr:uid="{EFAEBFB2-FED2-49CC-B466-917413E32E84}"/>
    <cellStyle name="40% - Accent1 2 3 6" xfId="2316" xr:uid="{00000000-0005-0000-0000-0000FC030000}"/>
    <cellStyle name="40% - Accent1 2 3 6 2" xfId="6623" xr:uid="{00000000-0005-0000-0000-0000FD030000}"/>
    <cellStyle name="40% - Accent1 2 3 6 2 2" xfId="15065" xr:uid="{DAD39C49-2277-4633-87C0-C220F83C1B02}"/>
    <cellStyle name="40% - Accent1 2 3 6 3" xfId="10847" xr:uid="{F67B5460-539D-45DE-B34A-1B4547AE3137}"/>
    <cellStyle name="40% - Accent1 2 3 7" xfId="4557" xr:uid="{00000000-0005-0000-0000-0000FE030000}"/>
    <cellStyle name="40% - Accent1 2 3 7 2" xfId="12999" xr:uid="{A19C625F-1CA1-410A-832A-2A6AFCA2EE4C}"/>
    <cellStyle name="40% - Accent1 2 3 8" xfId="8781" xr:uid="{6C1E9045-BEC1-47A7-A899-7690D0F40177}"/>
    <cellStyle name="40% - Accent1 2 4" xfId="619" xr:uid="{00000000-0005-0000-0000-0000FF030000}"/>
    <cellStyle name="40% - Accent1 2 4 2" xfId="2890" xr:uid="{00000000-0005-0000-0000-000000040000}"/>
    <cellStyle name="40% - Accent1 2 4 2 2" xfId="7113" xr:uid="{00000000-0005-0000-0000-000001040000}"/>
    <cellStyle name="40% - Accent1 2 4 2 2 2" xfId="15555" xr:uid="{1294FCBD-A660-4AE3-A060-BFEE3765BCD1}"/>
    <cellStyle name="40% - Accent1 2 4 2 3" xfId="11337" xr:uid="{D22111C5-2E56-4F72-A5E2-EFBAD76EA4BD}"/>
    <cellStyle name="40% - Accent1 2 4 3" xfId="4968" xr:uid="{00000000-0005-0000-0000-000002040000}"/>
    <cellStyle name="40% - Accent1 2 4 3 2" xfId="13410" xr:uid="{7F8F4D72-D675-4763-ACAF-62B6281727A2}"/>
    <cellStyle name="40% - Accent1 2 4 4" xfId="9192" xr:uid="{C4FF2994-6607-428A-B4B0-7F7DA811500F}"/>
    <cellStyle name="40% - Accent1 2 5" xfId="1072" xr:uid="{00000000-0005-0000-0000-000003040000}"/>
    <cellStyle name="40% - Accent1 2 5 2" xfId="3303" xr:uid="{00000000-0005-0000-0000-000004040000}"/>
    <cellStyle name="40% - Accent1 2 5 2 2" xfId="7526" xr:uid="{00000000-0005-0000-0000-000005040000}"/>
    <cellStyle name="40% - Accent1 2 5 2 2 2" xfId="15968" xr:uid="{ECCB0800-5273-4E71-BD4F-B8CD862F26EF}"/>
    <cellStyle name="40% - Accent1 2 5 2 3" xfId="11750" xr:uid="{F269FF89-CBA5-4F1E-92B4-261FCC51850B}"/>
    <cellStyle name="40% - Accent1 2 5 3" xfId="5381" xr:uid="{00000000-0005-0000-0000-000006040000}"/>
    <cellStyle name="40% - Accent1 2 5 3 2" xfId="13823" xr:uid="{8284B512-AE49-4A88-9E71-75E6976FB22E}"/>
    <cellStyle name="40% - Accent1 2 5 4" xfId="9605" xr:uid="{5E10CE2A-BDA0-4BA9-974F-4952F4AEA75D}"/>
    <cellStyle name="40% - Accent1 2 6" xfId="1486" xr:uid="{00000000-0005-0000-0000-000007040000}"/>
    <cellStyle name="40% - Accent1 2 6 2" xfId="3716" xr:uid="{00000000-0005-0000-0000-000008040000}"/>
    <cellStyle name="40% - Accent1 2 6 2 2" xfId="7939" xr:uid="{00000000-0005-0000-0000-000009040000}"/>
    <cellStyle name="40% - Accent1 2 6 2 2 2" xfId="16381" xr:uid="{FC7889EF-C3E7-4F76-B35F-84175C1DCBC8}"/>
    <cellStyle name="40% - Accent1 2 6 2 3" xfId="12163" xr:uid="{3D57D0B5-1E9D-4079-8E18-A024F0D1C084}"/>
    <cellStyle name="40% - Accent1 2 6 3" xfId="5794" xr:uid="{00000000-0005-0000-0000-00000A040000}"/>
    <cellStyle name="40% - Accent1 2 6 3 2" xfId="14236" xr:uid="{9C0A9840-ACDF-4EC9-83FA-881A3AC5901A}"/>
    <cellStyle name="40% - Accent1 2 6 4" xfId="10018" xr:uid="{4412F548-6476-470E-BA24-5CB83A2F1CA9}"/>
    <cellStyle name="40% - Accent1 2 7" xfId="1900" xr:uid="{00000000-0005-0000-0000-00000B040000}"/>
    <cellStyle name="40% - Accent1 2 7 2" xfId="4129" xr:uid="{00000000-0005-0000-0000-00000C040000}"/>
    <cellStyle name="40% - Accent1 2 7 2 2" xfId="8352" xr:uid="{00000000-0005-0000-0000-00000D040000}"/>
    <cellStyle name="40% - Accent1 2 7 2 2 2" xfId="16794" xr:uid="{C1A8610F-D778-48C3-9FF8-68166AFF9DBC}"/>
    <cellStyle name="40% - Accent1 2 7 2 3" xfId="12576" xr:uid="{F6BAA96F-1B5A-4A51-909F-060FB41598F8}"/>
    <cellStyle name="40% - Accent1 2 7 3" xfId="6207" xr:uid="{00000000-0005-0000-0000-00000E040000}"/>
    <cellStyle name="40% - Accent1 2 7 3 2" xfId="14649" xr:uid="{7FEBC512-0653-4446-AEBD-D82AECAB935B}"/>
    <cellStyle name="40% - Accent1 2 7 4" xfId="10431" xr:uid="{44C0101C-4AFF-4456-9C35-EB9BA4C52FA3}"/>
    <cellStyle name="40% - Accent1 2 8" xfId="2313" xr:uid="{00000000-0005-0000-0000-00000F040000}"/>
    <cellStyle name="40% - Accent1 2 8 2" xfId="6620" xr:uid="{00000000-0005-0000-0000-000010040000}"/>
    <cellStyle name="40% - Accent1 2 8 2 2" xfId="15062" xr:uid="{AA41ACAF-2BF3-4564-A59C-238D59256FEC}"/>
    <cellStyle name="40% - Accent1 2 8 3" xfId="10844" xr:uid="{153CF471-1146-474C-B68F-FC0F8C2A0D1D}"/>
    <cellStyle name="40% - Accent1 2 9" xfId="4554" xr:uid="{00000000-0005-0000-0000-000011040000}"/>
    <cellStyle name="40% - Accent1 2 9 2" xfId="12996" xr:uid="{F01EDDDB-1E2F-4FE9-A4C2-65D4D9E72282}"/>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2 2 2" xfId="15560" xr:uid="{1C8DD847-C4D5-47BE-A966-7501607D7989}"/>
    <cellStyle name="40% - Accent1 3 2 2 2 3" xfId="11342" xr:uid="{1A8311BD-563C-4BCA-9F4B-FF4AF76EB239}"/>
    <cellStyle name="40% - Accent1 3 2 2 3" xfId="4973" xr:uid="{00000000-0005-0000-0000-000017040000}"/>
    <cellStyle name="40% - Accent1 3 2 2 3 2" xfId="13415" xr:uid="{BD36F874-1729-48B7-8265-7954B164E11F}"/>
    <cellStyle name="40% - Accent1 3 2 2 4" xfId="9197" xr:uid="{D41FD494-DDA2-43BF-98CA-6EA1E50F5226}"/>
    <cellStyle name="40% - Accent1 3 2 3" xfId="1077" xr:uid="{00000000-0005-0000-0000-000018040000}"/>
    <cellStyle name="40% - Accent1 3 2 3 2" xfId="3308" xr:uid="{00000000-0005-0000-0000-000019040000}"/>
    <cellStyle name="40% - Accent1 3 2 3 2 2" xfId="7531" xr:uid="{00000000-0005-0000-0000-00001A040000}"/>
    <cellStyle name="40% - Accent1 3 2 3 2 2 2" xfId="15973" xr:uid="{8CE07FA6-3C28-4170-A3A0-7DC015C4D875}"/>
    <cellStyle name="40% - Accent1 3 2 3 2 3" xfId="11755" xr:uid="{3319D6C2-F2FF-4CC4-A442-486E37591A7C}"/>
    <cellStyle name="40% - Accent1 3 2 3 3" xfId="5386" xr:uid="{00000000-0005-0000-0000-00001B040000}"/>
    <cellStyle name="40% - Accent1 3 2 3 3 2" xfId="13828" xr:uid="{BEE8E9A3-6CFD-4B03-ADCE-6BC93BCC12A7}"/>
    <cellStyle name="40% - Accent1 3 2 3 4" xfId="9610" xr:uid="{5DFBE85B-BAC8-4C8B-BD25-D52E50095EE2}"/>
    <cellStyle name="40% - Accent1 3 2 4" xfId="1491" xr:uid="{00000000-0005-0000-0000-00001C040000}"/>
    <cellStyle name="40% - Accent1 3 2 4 2" xfId="3721" xr:uid="{00000000-0005-0000-0000-00001D040000}"/>
    <cellStyle name="40% - Accent1 3 2 4 2 2" xfId="7944" xr:uid="{00000000-0005-0000-0000-00001E040000}"/>
    <cellStyle name="40% - Accent1 3 2 4 2 2 2" xfId="16386" xr:uid="{B9FDC4FB-3171-4236-8E5D-F89CEEEF96A2}"/>
    <cellStyle name="40% - Accent1 3 2 4 2 3" xfId="12168" xr:uid="{EA697ABF-A8CC-4E5D-A195-98C7CE9E7164}"/>
    <cellStyle name="40% - Accent1 3 2 4 3" xfId="5799" xr:uid="{00000000-0005-0000-0000-00001F040000}"/>
    <cellStyle name="40% - Accent1 3 2 4 3 2" xfId="14241" xr:uid="{79868BAB-1996-4653-90D0-8FCABD090666}"/>
    <cellStyle name="40% - Accent1 3 2 4 4" xfId="10023" xr:uid="{7E0DE8E1-47B2-4C96-B14B-86AC79125286}"/>
    <cellStyle name="40% - Accent1 3 2 5" xfId="1905" xr:uid="{00000000-0005-0000-0000-000020040000}"/>
    <cellStyle name="40% - Accent1 3 2 5 2" xfId="4134" xr:uid="{00000000-0005-0000-0000-000021040000}"/>
    <cellStyle name="40% - Accent1 3 2 5 2 2" xfId="8357" xr:uid="{00000000-0005-0000-0000-000022040000}"/>
    <cellStyle name="40% - Accent1 3 2 5 2 2 2" xfId="16799" xr:uid="{C22A453E-E40D-4BDD-8F07-2520416E01B2}"/>
    <cellStyle name="40% - Accent1 3 2 5 2 3" xfId="12581" xr:uid="{5954139C-AED3-4DD6-95F8-DDA63ABE95B2}"/>
    <cellStyle name="40% - Accent1 3 2 5 3" xfId="6212" xr:uid="{00000000-0005-0000-0000-000023040000}"/>
    <cellStyle name="40% - Accent1 3 2 5 3 2" xfId="14654" xr:uid="{AF65D476-B8C1-4EF5-AFF2-330AB812CCBF}"/>
    <cellStyle name="40% - Accent1 3 2 5 4" xfId="10436" xr:uid="{682F1BBA-FD2E-4C4C-99AA-75A4A02B6F39}"/>
    <cellStyle name="40% - Accent1 3 2 6" xfId="2318" xr:uid="{00000000-0005-0000-0000-000024040000}"/>
    <cellStyle name="40% - Accent1 3 2 6 2" xfId="6625" xr:uid="{00000000-0005-0000-0000-000025040000}"/>
    <cellStyle name="40% - Accent1 3 2 6 2 2" xfId="15067" xr:uid="{5B4CBE5C-9C9E-4925-90AC-8C8FF200C9D7}"/>
    <cellStyle name="40% - Accent1 3 2 6 3" xfId="10849" xr:uid="{D03C7DF5-F6EC-439B-B872-F27309B87239}"/>
    <cellStyle name="40% - Accent1 3 2 7" xfId="4559" xr:uid="{00000000-0005-0000-0000-000026040000}"/>
    <cellStyle name="40% - Accent1 3 2 7 2" xfId="13001" xr:uid="{0E78A6F9-95FB-4B39-9E71-29627A5B3105}"/>
    <cellStyle name="40% - Accent1 3 2 8" xfId="8783" xr:uid="{280C3EE3-7695-4802-AFCC-ABBA2A53C18B}"/>
    <cellStyle name="40% - Accent1 3 3" xfId="623" xr:uid="{00000000-0005-0000-0000-000027040000}"/>
    <cellStyle name="40% - Accent1 3 3 2" xfId="2894" xr:uid="{00000000-0005-0000-0000-000028040000}"/>
    <cellStyle name="40% - Accent1 3 3 2 2" xfId="7117" xr:uid="{00000000-0005-0000-0000-000029040000}"/>
    <cellStyle name="40% - Accent1 3 3 2 2 2" xfId="15559" xr:uid="{08B16A10-6630-43BA-B26C-F3F6F989452D}"/>
    <cellStyle name="40% - Accent1 3 3 2 3" xfId="11341" xr:uid="{7B009F8A-E993-4491-B6F5-306776A92D9C}"/>
    <cellStyle name="40% - Accent1 3 3 3" xfId="4972" xr:uid="{00000000-0005-0000-0000-00002A040000}"/>
    <cellStyle name="40% - Accent1 3 3 3 2" xfId="13414" xr:uid="{5115C747-FB75-4426-B0CB-3B2F34BD95A9}"/>
    <cellStyle name="40% - Accent1 3 3 4" xfId="9196" xr:uid="{C6ED1635-A959-4438-9EED-B074A28C5462}"/>
    <cellStyle name="40% - Accent1 3 4" xfId="1076" xr:uid="{00000000-0005-0000-0000-00002B040000}"/>
    <cellStyle name="40% - Accent1 3 4 2" xfId="3307" xr:uid="{00000000-0005-0000-0000-00002C040000}"/>
    <cellStyle name="40% - Accent1 3 4 2 2" xfId="7530" xr:uid="{00000000-0005-0000-0000-00002D040000}"/>
    <cellStyle name="40% - Accent1 3 4 2 2 2" xfId="15972" xr:uid="{F40F175A-E6D0-4BC1-A0AF-FC5B60A826AA}"/>
    <cellStyle name="40% - Accent1 3 4 2 3" xfId="11754" xr:uid="{321A4FC0-2782-4498-82CC-42DB19E90CD0}"/>
    <cellStyle name="40% - Accent1 3 4 3" xfId="5385" xr:uid="{00000000-0005-0000-0000-00002E040000}"/>
    <cellStyle name="40% - Accent1 3 4 3 2" xfId="13827" xr:uid="{E15B9196-E111-4CD9-AF55-58200839A06F}"/>
    <cellStyle name="40% - Accent1 3 4 4" xfId="9609" xr:uid="{7F9DACBB-A4C1-48F4-8FFF-91C311BEC97F}"/>
    <cellStyle name="40% - Accent1 3 5" xfId="1490" xr:uid="{00000000-0005-0000-0000-00002F040000}"/>
    <cellStyle name="40% - Accent1 3 5 2" xfId="3720" xr:uid="{00000000-0005-0000-0000-000030040000}"/>
    <cellStyle name="40% - Accent1 3 5 2 2" xfId="7943" xr:uid="{00000000-0005-0000-0000-000031040000}"/>
    <cellStyle name="40% - Accent1 3 5 2 2 2" xfId="16385" xr:uid="{6FDE6B7F-5F8B-4CE5-BC1E-1783AF40B6BA}"/>
    <cellStyle name="40% - Accent1 3 5 2 3" xfId="12167" xr:uid="{1E5F9684-CFE7-4679-A975-3B837D4970B9}"/>
    <cellStyle name="40% - Accent1 3 5 3" xfId="5798" xr:uid="{00000000-0005-0000-0000-000032040000}"/>
    <cellStyle name="40% - Accent1 3 5 3 2" xfId="14240" xr:uid="{8293ABCB-CFDE-4402-A67F-8B4CD73CB2EA}"/>
    <cellStyle name="40% - Accent1 3 5 4" xfId="10022" xr:uid="{1B22BE32-16E7-4433-BB08-631E34EBFBE0}"/>
    <cellStyle name="40% - Accent1 3 6" xfId="1904" xr:uid="{00000000-0005-0000-0000-000033040000}"/>
    <cellStyle name="40% - Accent1 3 6 2" xfId="4133" xr:uid="{00000000-0005-0000-0000-000034040000}"/>
    <cellStyle name="40% - Accent1 3 6 2 2" xfId="8356" xr:uid="{00000000-0005-0000-0000-000035040000}"/>
    <cellStyle name="40% - Accent1 3 6 2 2 2" xfId="16798" xr:uid="{DDE0792B-18D3-4367-A573-D268B3D7B50B}"/>
    <cellStyle name="40% - Accent1 3 6 2 3" xfId="12580" xr:uid="{32E9D8D7-A347-48C2-8806-D864254E689A}"/>
    <cellStyle name="40% - Accent1 3 6 3" xfId="6211" xr:uid="{00000000-0005-0000-0000-000036040000}"/>
    <cellStyle name="40% - Accent1 3 6 3 2" xfId="14653" xr:uid="{A74E3BAF-EB93-42CC-85BD-4AAA2912B7B8}"/>
    <cellStyle name="40% - Accent1 3 6 4" xfId="10435" xr:uid="{69EC575B-522B-42FE-9AE6-B6FC82C77CE0}"/>
    <cellStyle name="40% - Accent1 3 7" xfId="2317" xr:uid="{00000000-0005-0000-0000-000037040000}"/>
    <cellStyle name="40% - Accent1 3 7 2" xfId="6624" xr:uid="{00000000-0005-0000-0000-000038040000}"/>
    <cellStyle name="40% - Accent1 3 7 2 2" xfId="15066" xr:uid="{12EBEB9C-34EA-42D1-B91D-FB99125548FD}"/>
    <cellStyle name="40% - Accent1 3 7 3" xfId="10848" xr:uid="{6DE3DE6D-365E-4504-B126-4C3B74951FCB}"/>
    <cellStyle name="40% - Accent1 3 8" xfId="4558" xr:uid="{00000000-0005-0000-0000-000039040000}"/>
    <cellStyle name="40% - Accent1 3 8 2" xfId="13000" xr:uid="{2A6D4BCD-B4EC-4D8C-AFF3-58DB10BF4121}"/>
    <cellStyle name="40% - Accent1 3 9" xfId="8782" xr:uid="{2F113467-1DD2-423C-822A-D159723F9FAE}"/>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2 2 2" xfId="15561" xr:uid="{CB248E1E-3B14-4F36-8943-FB760BC881C8}"/>
    <cellStyle name="40% - Accent1 4 2 2 3" xfId="11343" xr:uid="{C0265BDE-4698-4D47-BD26-08F62C72A04D}"/>
    <cellStyle name="40% - Accent1 4 2 3" xfId="4974" xr:uid="{00000000-0005-0000-0000-00003E040000}"/>
    <cellStyle name="40% - Accent1 4 2 3 2" xfId="13416" xr:uid="{9F3400CF-4D73-4BF5-8682-27C667ED8FF2}"/>
    <cellStyle name="40% - Accent1 4 2 4" xfId="9198" xr:uid="{16D77E8D-EF01-4678-A2BF-54169DFCF6C7}"/>
    <cellStyle name="40% - Accent1 4 3" xfId="1078" xr:uid="{00000000-0005-0000-0000-00003F040000}"/>
    <cellStyle name="40% - Accent1 4 3 2" xfId="3309" xr:uid="{00000000-0005-0000-0000-000040040000}"/>
    <cellStyle name="40% - Accent1 4 3 2 2" xfId="7532" xr:uid="{00000000-0005-0000-0000-000041040000}"/>
    <cellStyle name="40% - Accent1 4 3 2 2 2" xfId="15974" xr:uid="{6F9138BD-354B-4A9B-AAF3-DC7EA10AE17F}"/>
    <cellStyle name="40% - Accent1 4 3 2 3" xfId="11756" xr:uid="{2116D67E-B4E9-40BE-B861-307A671E84BF}"/>
    <cellStyle name="40% - Accent1 4 3 3" xfId="5387" xr:uid="{00000000-0005-0000-0000-000042040000}"/>
    <cellStyle name="40% - Accent1 4 3 3 2" xfId="13829" xr:uid="{73FF1A8B-97A4-47FA-807F-9F819D3D470E}"/>
    <cellStyle name="40% - Accent1 4 3 4" xfId="9611" xr:uid="{B900CAB2-FB56-49A3-91B7-6A1CAC17E6BD}"/>
    <cellStyle name="40% - Accent1 4 4" xfId="1492" xr:uid="{00000000-0005-0000-0000-000043040000}"/>
    <cellStyle name="40% - Accent1 4 4 2" xfId="3722" xr:uid="{00000000-0005-0000-0000-000044040000}"/>
    <cellStyle name="40% - Accent1 4 4 2 2" xfId="7945" xr:uid="{00000000-0005-0000-0000-000045040000}"/>
    <cellStyle name="40% - Accent1 4 4 2 2 2" xfId="16387" xr:uid="{36689B19-0FF6-4653-A9F0-7921CB3CFF2C}"/>
    <cellStyle name="40% - Accent1 4 4 2 3" xfId="12169" xr:uid="{CF0C470F-60DF-4244-8540-959F66DC449D}"/>
    <cellStyle name="40% - Accent1 4 4 3" xfId="5800" xr:uid="{00000000-0005-0000-0000-000046040000}"/>
    <cellStyle name="40% - Accent1 4 4 3 2" xfId="14242" xr:uid="{B7A79F47-44B8-4625-98D2-5348067FA5F4}"/>
    <cellStyle name="40% - Accent1 4 4 4" xfId="10024" xr:uid="{ABC01B77-95E0-4B8F-B26A-67AF9960F0A5}"/>
    <cellStyle name="40% - Accent1 4 5" xfId="1906" xr:uid="{00000000-0005-0000-0000-000047040000}"/>
    <cellStyle name="40% - Accent1 4 5 2" xfId="4135" xr:uid="{00000000-0005-0000-0000-000048040000}"/>
    <cellStyle name="40% - Accent1 4 5 2 2" xfId="8358" xr:uid="{00000000-0005-0000-0000-000049040000}"/>
    <cellStyle name="40% - Accent1 4 5 2 2 2" xfId="16800" xr:uid="{BCE0A8D7-0310-4C49-8C52-6769BB547C27}"/>
    <cellStyle name="40% - Accent1 4 5 2 3" xfId="12582" xr:uid="{51E20DEB-678D-4CA9-969F-EF504939BC93}"/>
    <cellStyle name="40% - Accent1 4 5 3" xfId="6213" xr:uid="{00000000-0005-0000-0000-00004A040000}"/>
    <cellStyle name="40% - Accent1 4 5 3 2" xfId="14655" xr:uid="{6747EF15-6E3E-4925-8D07-90313B78A8B7}"/>
    <cellStyle name="40% - Accent1 4 5 4" xfId="10437" xr:uid="{1CC1DDF6-9994-455C-902A-1FF7E966692E}"/>
    <cellStyle name="40% - Accent1 4 6" xfId="2319" xr:uid="{00000000-0005-0000-0000-00004B040000}"/>
    <cellStyle name="40% - Accent1 4 6 2" xfId="6626" xr:uid="{00000000-0005-0000-0000-00004C040000}"/>
    <cellStyle name="40% - Accent1 4 6 2 2" xfId="15068" xr:uid="{F07D5B30-F144-4617-BEBB-82A11A658C6C}"/>
    <cellStyle name="40% - Accent1 4 6 3" xfId="10850" xr:uid="{927C86A5-F476-40EA-967A-0BDD802DE1CE}"/>
    <cellStyle name="40% - Accent1 4 7" xfId="4560" xr:uid="{00000000-0005-0000-0000-00004D040000}"/>
    <cellStyle name="40% - Accent1 4 7 2" xfId="13002" xr:uid="{461DDBB6-10E8-4189-8B28-A0DAFC2D8C01}"/>
    <cellStyle name="40% - Accent1 4 8" xfId="8784" xr:uid="{FE26F4CE-28DD-4C40-A833-FD089CA63C0B}"/>
    <cellStyle name="40% - Accent1 5" xfId="618" xr:uid="{00000000-0005-0000-0000-00004E040000}"/>
    <cellStyle name="40% - Accent1 5 2" xfId="2889" xr:uid="{00000000-0005-0000-0000-00004F040000}"/>
    <cellStyle name="40% - Accent1 5 2 2" xfId="7112" xr:uid="{00000000-0005-0000-0000-000050040000}"/>
    <cellStyle name="40% - Accent1 5 2 2 2" xfId="15554" xr:uid="{AB29E858-2F2F-49E6-A5DA-FE7085E61D81}"/>
    <cellStyle name="40% - Accent1 5 2 3" xfId="11336" xr:uid="{A8C595D8-8E67-446A-B24C-1B1EFF1BA98F}"/>
    <cellStyle name="40% - Accent1 5 3" xfId="4967" xr:uid="{00000000-0005-0000-0000-000051040000}"/>
    <cellStyle name="40% - Accent1 5 3 2" xfId="13409" xr:uid="{B0810E50-8A03-42A2-9DFA-C77F5538D30D}"/>
    <cellStyle name="40% - Accent1 5 4" xfId="9191" xr:uid="{0B86C3E1-C4D3-4166-84F1-9DF9AFBF4EB3}"/>
    <cellStyle name="40% - Accent1 6" xfId="1071" xr:uid="{00000000-0005-0000-0000-000052040000}"/>
    <cellStyle name="40% - Accent1 6 2" xfId="3302" xr:uid="{00000000-0005-0000-0000-000053040000}"/>
    <cellStyle name="40% - Accent1 6 2 2" xfId="7525" xr:uid="{00000000-0005-0000-0000-000054040000}"/>
    <cellStyle name="40% - Accent1 6 2 2 2" xfId="15967" xr:uid="{B1CC96C6-1930-497F-8C2F-1736A39758CA}"/>
    <cellStyle name="40% - Accent1 6 2 3" xfId="11749" xr:uid="{8C8BCD32-60A4-4C43-9CF0-32524E86DBEE}"/>
    <cellStyle name="40% - Accent1 6 3" xfId="5380" xr:uid="{00000000-0005-0000-0000-000055040000}"/>
    <cellStyle name="40% - Accent1 6 3 2" xfId="13822" xr:uid="{CF71EC39-C96D-4A3F-B7F5-21EA851E8EBC}"/>
    <cellStyle name="40% - Accent1 6 4" xfId="9604" xr:uid="{61D39A33-F24B-4793-9297-62C85D45ACD4}"/>
    <cellStyle name="40% - Accent1 7" xfId="1485" xr:uid="{00000000-0005-0000-0000-000056040000}"/>
    <cellStyle name="40% - Accent1 7 2" xfId="3715" xr:uid="{00000000-0005-0000-0000-000057040000}"/>
    <cellStyle name="40% - Accent1 7 2 2" xfId="7938" xr:uid="{00000000-0005-0000-0000-000058040000}"/>
    <cellStyle name="40% - Accent1 7 2 2 2" xfId="16380" xr:uid="{D878F45B-3350-4A0A-A76D-91B382710C24}"/>
    <cellStyle name="40% - Accent1 7 2 3" xfId="12162" xr:uid="{29782E1D-20C4-4516-ACC1-8A89C532516B}"/>
    <cellStyle name="40% - Accent1 7 3" xfId="5793" xr:uid="{00000000-0005-0000-0000-000059040000}"/>
    <cellStyle name="40% - Accent1 7 3 2" xfId="14235" xr:uid="{61A7300E-0F0C-4860-A19B-B1BD9CD1B840}"/>
    <cellStyle name="40% - Accent1 7 4" xfId="10017" xr:uid="{D2E73117-57BB-42F8-BAB7-25A7EE4AD337}"/>
    <cellStyle name="40% - Accent1 8" xfId="1899" xr:uid="{00000000-0005-0000-0000-00005A040000}"/>
    <cellStyle name="40% - Accent1 8 2" xfId="4128" xr:uid="{00000000-0005-0000-0000-00005B040000}"/>
    <cellStyle name="40% - Accent1 8 2 2" xfId="8351" xr:uid="{00000000-0005-0000-0000-00005C040000}"/>
    <cellStyle name="40% - Accent1 8 2 2 2" xfId="16793" xr:uid="{438E1EFE-B435-46C4-B4F2-F6C3550EE6E2}"/>
    <cellStyle name="40% - Accent1 8 2 3" xfId="12575" xr:uid="{EFFAE75D-53AC-4C76-922A-83CFD3C61CA9}"/>
    <cellStyle name="40% - Accent1 8 3" xfId="6206" xr:uid="{00000000-0005-0000-0000-00005D040000}"/>
    <cellStyle name="40% - Accent1 8 3 2" xfId="14648" xr:uid="{FD3610CD-C4DA-4154-A7C9-E3609D27F105}"/>
    <cellStyle name="40% - Accent1 8 4" xfId="10430" xr:uid="{06FB76E2-DB41-4FB2-922D-987540196D6B}"/>
    <cellStyle name="40% - Accent1 9" xfId="2312" xr:uid="{00000000-0005-0000-0000-00005E040000}"/>
    <cellStyle name="40% - Accent1 9 2" xfId="6619" xr:uid="{00000000-0005-0000-0000-00005F040000}"/>
    <cellStyle name="40% - Accent1 9 2 2" xfId="15061" xr:uid="{4E88C071-D7DE-444D-B4CF-CFF692A8A67E}"/>
    <cellStyle name="40% - Accent1 9 3" xfId="10843" xr:uid="{A23558B9-4D2E-4D69-B628-4EE504B8676B}"/>
    <cellStyle name="40% - Accent2" xfId="57" builtinId="35" customBuiltin="1"/>
    <cellStyle name="40% - Accent2 10" xfId="4561" xr:uid="{00000000-0005-0000-0000-000061040000}"/>
    <cellStyle name="40% - Accent2 10 2" xfId="13003" xr:uid="{A26AFAA9-0850-4BB0-9F98-757E28406AB7}"/>
    <cellStyle name="40% - Accent2 11" xfId="8785" xr:uid="{478D4418-48E2-47C7-9589-7442231FF168}"/>
    <cellStyle name="40% - Accent2 2" xfId="58" xr:uid="{00000000-0005-0000-0000-000062040000}"/>
    <cellStyle name="40% - Accent2 2 10" xfId="8786" xr:uid="{B6460CBC-5BB8-4852-B1FE-4E85E1D164A4}"/>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2 2 2" xfId="15565" xr:uid="{457E76E4-97E0-465E-AA00-5A80C61B3558}"/>
    <cellStyle name="40% - Accent2 2 2 2 2 2 3" xfId="11347" xr:uid="{767FE738-0F30-4BE6-B26E-42D71D5A10AC}"/>
    <cellStyle name="40% - Accent2 2 2 2 2 3" xfId="4978" xr:uid="{00000000-0005-0000-0000-000068040000}"/>
    <cellStyle name="40% - Accent2 2 2 2 2 3 2" xfId="13420" xr:uid="{0E761E84-ECFF-4682-875F-156AA6EDFA9E}"/>
    <cellStyle name="40% - Accent2 2 2 2 2 4" xfId="9202" xr:uid="{9BBD2EFA-A46C-4A09-8F29-DC05745923A9}"/>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2 2 2" xfId="15978" xr:uid="{97A1288F-06AB-4881-A429-4D836773C614}"/>
    <cellStyle name="40% - Accent2 2 2 2 3 2 3" xfId="11760" xr:uid="{A05ADBE4-D923-4379-B915-AE5C8393D49C}"/>
    <cellStyle name="40% - Accent2 2 2 2 3 3" xfId="5391" xr:uid="{00000000-0005-0000-0000-00006C040000}"/>
    <cellStyle name="40% - Accent2 2 2 2 3 3 2" xfId="13833" xr:uid="{04716994-9C17-4DB6-8894-BA7B42BDD7B9}"/>
    <cellStyle name="40% - Accent2 2 2 2 3 4" xfId="9615" xr:uid="{4106DBDC-7E8E-470D-BC30-E9FC0E3C0D09}"/>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2 2 2" xfId="16391" xr:uid="{0E6F5400-DD28-4A30-A636-2757A0083747}"/>
    <cellStyle name="40% - Accent2 2 2 2 4 2 3" xfId="12173" xr:uid="{FC311C8F-E882-43BF-9419-9658A130D608}"/>
    <cellStyle name="40% - Accent2 2 2 2 4 3" xfId="5804" xr:uid="{00000000-0005-0000-0000-000070040000}"/>
    <cellStyle name="40% - Accent2 2 2 2 4 3 2" xfId="14246" xr:uid="{1878ADAF-0D30-4020-84B9-E27E3D531176}"/>
    <cellStyle name="40% - Accent2 2 2 2 4 4" xfId="10028" xr:uid="{5141385E-91F6-478E-B759-3BD03EBD0A18}"/>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2 2 2" xfId="16804" xr:uid="{EEF27D2A-5BEC-4F01-AFC8-A358D7370A47}"/>
    <cellStyle name="40% - Accent2 2 2 2 5 2 3" xfId="12586" xr:uid="{446F99EB-6ADF-4A46-9199-D40B362707A2}"/>
    <cellStyle name="40% - Accent2 2 2 2 5 3" xfId="6217" xr:uid="{00000000-0005-0000-0000-000074040000}"/>
    <cellStyle name="40% - Accent2 2 2 2 5 3 2" xfId="14659" xr:uid="{C8E3C6B8-6A25-4777-B07B-B6965BD36165}"/>
    <cellStyle name="40% - Accent2 2 2 2 5 4" xfId="10441" xr:uid="{93BEF8CF-DBEE-41D3-A4A8-65F854853FCE}"/>
    <cellStyle name="40% - Accent2 2 2 2 6" xfId="2323" xr:uid="{00000000-0005-0000-0000-000075040000}"/>
    <cellStyle name="40% - Accent2 2 2 2 6 2" xfId="6630" xr:uid="{00000000-0005-0000-0000-000076040000}"/>
    <cellStyle name="40% - Accent2 2 2 2 6 2 2" xfId="15072" xr:uid="{02F94227-510D-42FC-81EC-4AD6825AF9F3}"/>
    <cellStyle name="40% - Accent2 2 2 2 6 3" xfId="10854" xr:uid="{51919064-8614-49AA-B64F-90FB6A9BC6EA}"/>
    <cellStyle name="40% - Accent2 2 2 2 7" xfId="4564" xr:uid="{00000000-0005-0000-0000-000077040000}"/>
    <cellStyle name="40% - Accent2 2 2 2 7 2" xfId="13006" xr:uid="{DEA1F902-7C4D-4AC5-B97E-1378A3263720}"/>
    <cellStyle name="40% - Accent2 2 2 2 8" xfId="8788" xr:uid="{746B9AE4-59B5-4666-B021-224C66F1855E}"/>
    <cellStyle name="40% - Accent2 2 2 3" xfId="628" xr:uid="{00000000-0005-0000-0000-000078040000}"/>
    <cellStyle name="40% - Accent2 2 2 3 2" xfId="2899" xr:uid="{00000000-0005-0000-0000-000079040000}"/>
    <cellStyle name="40% - Accent2 2 2 3 2 2" xfId="7122" xr:uid="{00000000-0005-0000-0000-00007A040000}"/>
    <cellStyle name="40% - Accent2 2 2 3 2 2 2" xfId="15564" xr:uid="{AA52F4BE-59A4-4FC9-B699-A6EE8632BBE2}"/>
    <cellStyle name="40% - Accent2 2 2 3 2 3" xfId="11346" xr:uid="{D1B15A32-64E5-4759-B91A-A3513CC41A97}"/>
    <cellStyle name="40% - Accent2 2 2 3 3" xfId="4977" xr:uid="{00000000-0005-0000-0000-00007B040000}"/>
    <cellStyle name="40% - Accent2 2 2 3 3 2" xfId="13419" xr:uid="{3A18BC13-BA02-47E6-9E29-0EEEA0BA5F2B}"/>
    <cellStyle name="40% - Accent2 2 2 3 4" xfId="9201" xr:uid="{C3AF232B-3447-4AA8-936B-6FDB11F913BE}"/>
    <cellStyle name="40% - Accent2 2 2 4" xfId="1081" xr:uid="{00000000-0005-0000-0000-00007C040000}"/>
    <cellStyle name="40% - Accent2 2 2 4 2" xfId="3312" xr:uid="{00000000-0005-0000-0000-00007D040000}"/>
    <cellStyle name="40% - Accent2 2 2 4 2 2" xfId="7535" xr:uid="{00000000-0005-0000-0000-00007E040000}"/>
    <cellStyle name="40% - Accent2 2 2 4 2 2 2" xfId="15977" xr:uid="{7370F1D5-66B1-44E0-BCB7-635ED638DE4E}"/>
    <cellStyle name="40% - Accent2 2 2 4 2 3" xfId="11759" xr:uid="{A17EB8DE-242D-4F31-9E4E-793358620A3F}"/>
    <cellStyle name="40% - Accent2 2 2 4 3" xfId="5390" xr:uid="{00000000-0005-0000-0000-00007F040000}"/>
    <cellStyle name="40% - Accent2 2 2 4 3 2" xfId="13832" xr:uid="{4118AD7C-8966-40E8-AA95-2E8B2CE95164}"/>
    <cellStyle name="40% - Accent2 2 2 4 4" xfId="9614" xr:uid="{38579AA8-F4A1-426E-B465-60A69AAB9FF7}"/>
    <cellStyle name="40% - Accent2 2 2 5" xfId="1495" xr:uid="{00000000-0005-0000-0000-000080040000}"/>
    <cellStyle name="40% - Accent2 2 2 5 2" xfId="3725" xr:uid="{00000000-0005-0000-0000-000081040000}"/>
    <cellStyle name="40% - Accent2 2 2 5 2 2" xfId="7948" xr:uid="{00000000-0005-0000-0000-000082040000}"/>
    <cellStyle name="40% - Accent2 2 2 5 2 2 2" xfId="16390" xr:uid="{9DCEC151-8FE5-41FB-A32B-8C42ADA2746E}"/>
    <cellStyle name="40% - Accent2 2 2 5 2 3" xfId="12172" xr:uid="{571F098D-F1B7-4D58-AE03-47463F2AE3AB}"/>
    <cellStyle name="40% - Accent2 2 2 5 3" xfId="5803" xr:uid="{00000000-0005-0000-0000-000083040000}"/>
    <cellStyle name="40% - Accent2 2 2 5 3 2" xfId="14245" xr:uid="{15904690-80CD-4E5B-901E-ABBF0994EC60}"/>
    <cellStyle name="40% - Accent2 2 2 5 4" xfId="10027" xr:uid="{2311AE9C-0FDF-438D-9AF8-386FE8E8EACD}"/>
    <cellStyle name="40% - Accent2 2 2 6" xfId="1909" xr:uid="{00000000-0005-0000-0000-000084040000}"/>
    <cellStyle name="40% - Accent2 2 2 6 2" xfId="4138" xr:uid="{00000000-0005-0000-0000-000085040000}"/>
    <cellStyle name="40% - Accent2 2 2 6 2 2" xfId="8361" xr:uid="{00000000-0005-0000-0000-000086040000}"/>
    <cellStyle name="40% - Accent2 2 2 6 2 2 2" xfId="16803" xr:uid="{019B31CE-8AEA-488C-8F2D-3441C2B2295B}"/>
    <cellStyle name="40% - Accent2 2 2 6 2 3" xfId="12585" xr:uid="{7C7C7A20-6BD6-48A0-995E-9B086A569D38}"/>
    <cellStyle name="40% - Accent2 2 2 6 3" xfId="6216" xr:uid="{00000000-0005-0000-0000-000087040000}"/>
    <cellStyle name="40% - Accent2 2 2 6 3 2" xfId="14658" xr:uid="{97383599-2F71-4B18-9C02-F0DD9A501453}"/>
    <cellStyle name="40% - Accent2 2 2 6 4" xfId="10440" xr:uid="{465DC5F5-ACD3-48B6-B17B-41C1A4F690DF}"/>
    <cellStyle name="40% - Accent2 2 2 7" xfId="2322" xr:uid="{00000000-0005-0000-0000-000088040000}"/>
    <cellStyle name="40% - Accent2 2 2 7 2" xfId="6629" xr:uid="{00000000-0005-0000-0000-000089040000}"/>
    <cellStyle name="40% - Accent2 2 2 7 2 2" xfId="15071" xr:uid="{24240399-6856-4524-9749-B08F73501AEF}"/>
    <cellStyle name="40% - Accent2 2 2 7 3" xfId="10853" xr:uid="{00A6E470-610D-44BE-A11F-89AF789F0468}"/>
    <cellStyle name="40% - Accent2 2 2 8" xfId="4563" xr:uid="{00000000-0005-0000-0000-00008A040000}"/>
    <cellStyle name="40% - Accent2 2 2 8 2" xfId="13005" xr:uid="{EC553377-4525-455E-969C-3C956D1FE273}"/>
    <cellStyle name="40% - Accent2 2 2 9" xfId="8787" xr:uid="{53B0111C-3EE3-4A98-A74C-57D5A58636A4}"/>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2 2 2" xfId="15566" xr:uid="{48332C7A-B56E-40A0-8348-F2915EBDA3F8}"/>
    <cellStyle name="40% - Accent2 2 3 2 2 3" xfId="11348" xr:uid="{E8EA0D39-BA41-4D7B-A3BB-AA5027B956E3}"/>
    <cellStyle name="40% - Accent2 2 3 2 3" xfId="4979" xr:uid="{00000000-0005-0000-0000-00008F040000}"/>
    <cellStyle name="40% - Accent2 2 3 2 3 2" xfId="13421" xr:uid="{D9A6093F-3CFD-47BD-B8DC-BA0B60F36EBB}"/>
    <cellStyle name="40% - Accent2 2 3 2 4" xfId="9203" xr:uid="{5977CBCB-154C-489C-A123-A1743E95A9F2}"/>
    <cellStyle name="40% - Accent2 2 3 3" xfId="1083" xr:uid="{00000000-0005-0000-0000-000090040000}"/>
    <cellStyle name="40% - Accent2 2 3 3 2" xfId="3314" xr:uid="{00000000-0005-0000-0000-000091040000}"/>
    <cellStyle name="40% - Accent2 2 3 3 2 2" xfId="7537" xr:uid="{00000000-0005-0000-0000-000092040000}"/>
    <cellStyle name="40% - Accent2 2 3 3 2 2 2" xfId="15979" xr:uid="{551585A4-00EA-4203-AE1C-E0ABC9846EF2}"/>
    <cellStyle name="40% - Accent2 2 3 3 2 3" xfId="11761" xr:uid="{B32694D6-6269-4834-9881-F1ABB0CF1C6B}"/>
    <cellStyle name="40% - Accent2 2 3 3 3" xfId="5392" xr:uid="{00000000-0005-0000-0000-000093040000}"/>
    <cellStyle name="40% - Accent2 2 3 3 3 2" xfId="13834" xr:uid="{A7668343-F1E9-4877-976E-1DA7A1CA149C}"/>
    <cellStyle name="40% - Accent2 2 3 3 4" xfId="9616" xr:uid="{5B6496A1-06FC-4166-A4FE-78EDB540D955}"/>
    <cellStyle name="40% - Accent2 2 3 4" xfId="1497" xr:uid="{00000000-0005-0000-0000-000094040000}"/>
    <cellStyle name="40% - Accent2 2 3 4 2" xfId="3727" xr:uid="{00000000-0005-0000-0000-000095040000}"/>
    <cellStyle name="40% - Accent2 2 3 4 2 2" xfId="7950" xr:uid="{00000000-0005-0000-0000-000096040000}"/>
    <cellStyle name="40% - Accent2 2 3 4 2 2 2" xfId="16392" xr:uid="{EEF6E70A-B0CA-4F52-B430-D7E750785726}"/>
    <cellStyle name="40% - Accent2 2 3 4 2 3" xfId="12174" xr:uid="{CA4C987A-D445-4587-B04F-8977147702B5}"/>
    <cellStyle name="40% - Accent2 2 3 4 3" xfId="5805" xr:uid="{00000000-0005-0000-0000-000097040000}"/>
    <cellStyle name="40% - Accent2 2 3 4 3 2" xfId="14247" xr:uid="{1202030C-ECDB-4AF1-99A9-78E960CCA4EB}"/>
    <cellStyle name="40% - Accent2 2 3 4 4" xfId="10029" xr:uid="{A2BF4898-EFE0-42BC-B481-0A87C415217A}"/>
    <cellStyle name="40% - Accent2 2 3 5" xfId="1911" xr:uid="{00000000-0005-0000-0000-000098040000}"/>
    <cellStyle name="40% - Accent2 2 3 5 2" xfId="4140" xr:uid="{00000000-0005-0000-0000-000099040000}"/>
    <cellStyle name="40% - Accent2 2 3 5 2 2" xfId="8363" xr:uid="{00000000-0005-0000-0000-00009A040000}"/>
    <cellStyle name="40% - Accent2 2 3 5 2 2 2" xfId="16805" xr:uid="{40D4090D-07F9-4C41-A0CB-114342FD43F5}"/>
    <cellStyle name="40% - Accent2 2 3 5 2 3" xfId="12587" xr:uid="{F174847B-6BAE-4797-8B2B-EA2B1B6C4C34}"/>
    <cellStyle name="40% - Accent2 2 3 5 3" xfId="6218" xr:uid="{00000000-0005-0000-0000-00009B040000}"/>
    <cellStyle name="40% - Accent2 2 3 5 3 2" xfId="14660" xr:uid="{42F9347F-9A26-4973-A9FC-FE8A07EC80BE}"/>
    <cellStyle name="40% - Accent2 2 3 5 4" xfId="10442" xr:uid="{98CA10E5-50B1-4F82-AE6E-7055B597DEDC}"/>
    <cellStyle name="40% - Accent2 2 3 6" xfId="2324" xr:uid="{00000000-0005-0000-0000-00009C040000}"/>
    <cellStyle name="40% - Accent2 2 3 6 2" xfId="6631" xr:uid="{00000000-0005-0000-0000-00009D040000}"/>
    <cellStyle name="40% - Accent2 2 3 6 2 2" xfId="15073" xr:uid="{418A498C-5C75-4649-A397-BF62FCE4FEEF}"/>
    <cellStyle name="40% - Accent2 2 3 6 3" xfId="10855" xr:uid="{F7C965B9-EDC9-47DB-A841-F844B6BA7A94}"/>
    <cellStyle name="40% - Accent2 2 3 7" xfId="4565" xr:uid="{00000000-0005-0000-0000-00009E040000}"/>
    <cellStyle name="40% - Accent2 2 3 7 2" xfId="13007" xr:uid="{AD220E84-F55D-4098-8E06-71765434CF7B}"/>
    <cellStyle name="40% - Accent2 2 3 8" xfId="8789" xr:uid="{DE6CE53A-ABE8-47C3-8A86-6F5AD0AB48F0}"/>
    <cellStyle name="40% - Accent2 2 4" xfId="627" xr:uid="{00000000-0005-0000-0000-00009F040000}"/>
    <cellStyle name="40% - Accent2 2 4 2" xfId="2898" xr:uid="{00000000-0005-0000-0000-0000A0040000}"/>
    <cellStyle name="40% - Accent2 2 4 2 2" xfId="7121" xr:uid="{00000000-0005-0000-0000-0000A1040000}"/>
    <cellStyle name="40% - Accent2 2 4 2 2 2" xfId="15563" xr:uid="{1555DE51-87A0-439D-9000-5FE1846D1FAC}"/>
    <cellStyle name="40% - Accent2 2 4 2 3" xfId="11345" xr:uid="{55248672-8901-4470-A99C-7A84CE8EDCE4}"/>
    <cellStyle name="40% - Accent2 2 4 3" xfId="4976" xr:uid="{00000000-0005-0000-0000-0000A2040000}"/>
    <cellStyle name="40% - Accent2 2 4 3 2" xfId="13418" xr:uid="{AB185704-4AA5-411F-A9CF-220F80929FE5}"/>
    <cellStyle name="40% - Accent2 2 4 4" xfId="9200" xr:uid="{04603412-FDFB-4584-97A3-86BEEAD8E125}"/>
    <cellStyle name="40% - Accent2 2 5" xfId="1080" xr:uid="{00000000-0005-0000-0000-0000A3040000}"/>
    <cellStyle name="40% - Accent2 2 5 2" xfId="3311" xr:uid="{00000000-0005-0000-0000-0000A4040000}"/>
    <cellStyle name="40% - Accent2 2 5 2 2" xfId="7534" xr:uid="{00000000-0005-0000-0000-0000A5040000}"/>
    <cellStyle name="40% - Accent2 2 5 2 2 2" xfId="15976" xr:uid="{5FB9EE59-8AD4-4705-95F1-113E8F1CB4E9}"/>
    <cellStyle name="40% - Accent2 2 5 2 3" xfId="11758" xr:uid="{906F47AD-2230-46A3-9D2E-8BD1EED15C81}"/>
    <cellStyle name="40% - Accent2 2 5 3" xfId="5389" xr:uid="{00000000-0005-0000-0000-0000A6040000}"/>
    <cellStyle name="40% - Accent2 2 5 3 2" xfId="13831" xr:uid="{1A922ADB-3841-41D1-B529-9C7D0162443E}"/>
    <cellStyle name="40% - Accent2 2 5 4" xfId="9613" xr:uid="{7FEE686A-3DB3-4B68-9B59-F3937F2ECEE8}"/>
    <cellStyle name="40% - Accent2 2 6" xfId="1494" xr:uid="{00000000-0005-0000-0000-0000A7040000}"/>
    <cellStyle name="40% - Accent2 2 6 2" xfId="3724" xr:uid="{00000000-0005-0000-0000-0000A8040000}"/>
    <cellStyle name="40% - Accent2 2 6 2 2" xfId="7947" xr:uid="{00000000-0005-0000-0000-0000A9040000}"/>
    <cellStyle name="40% - Accent2 2 6 2 2 2" xfId="16389" xr:uid="{5DFBE1D0-2248-4390-8EB9-598DEFFAE6BD}"/>
    <cellStyle name="40% - Accent2 2 6 2 3" xfId="12171" xr:uid="{2174725B-AC69-4ABB-B4F1-D035FE32DD3F}"/>
    <cellStyle name="40% - Accent2 2 6 3" xfId="5802" xr:uid="{00000000-0005-0000-0000-0000AA040000}"/>
    <cellStyle name="40% - Accent2 2 6 3 2" xfId="14244" xr:uid="{D3DA598E-FF63-424D-B479-AE557A28470A}"/>
    <cellStyle name="40% - Accent2 2 6 4" xfId="10026" xr:uid="{019548C1-E08E-4792-B930-4D8BC6BC88AA}"/>
    <cellStyle name="40% - Accent2 2 7" xfId="1908" xr:uid="{00000000-0005-0000-0000-0000AB040000}"/>
    <cellStyle name="40% - Accent2 2 7 2" xfId="4137" xr:uid="{00000000-0005-0000-0000-0000AC040000}"/>
    <cellStyle name="40% - Accent2 2 7 2 2" xfId="8360" xr:uid="{00000000-0005-0000-0000-0000AD040000}"/>
    <cellStyle name="40% - Accent2 2 7 2 2 2" xfId="16802" xr:uid="{175D1152-5A18-411F-BE3F-E0A440D9BE86}"/>
    <cellStyle name="40% - Accent2 2 7 2 3" xfId="12584" xr:uid="{B07CBFFB-AA8F-4E8B-B646-A09B22BC7463}"/>
    <cellStyle name="40% - Accent2 2 7 3" xfId="6215" xr:uid="{00000000-0005-0000-0000-0000AE040000}"/>
    <cellStyle name="40% - Accent2 2 7 3 2" xfId="14657" xr:uid="{0005B893-84C8-45B5-ADD4-F6B7BA190082}"/>
    <cellStyle name="40% - Accent2 2 7 4" xfId="10439" xr:uid="{7BF4DB88-67FD-40EC-A486-761D2087CD6F}"/>
    <cellStyle name="40% - Accent2 2 8" xfId="2321" xr:uid="{00000000-0005-0000-0000-0000AF040000}"/>
    <cellStyle name="40% - Accent2 2 8 2" xfId="6628" xr:uid="{00000000-0005-0000-0000-0000B0040000}"/>
    <cellStyle name="40% - Accent2 2 8 2 2" xfId="15070" xr:uid="{62D7384C-F438-4448-BA8A-8758B5FD93CD}"/>
    <cellStyle name="40% - Accent2 2 8 3" xfId="10852" xr:uid="{5A290E08-F54B-4620-8F74-ECC3D7D4EAB5}"/>
    <cellStyle name="40% - Accent2 2 9" xfId="4562" xr:uid="{00000000-0005-0000-0000-0000B1040000}"/>
    <cellStyle name="40% - Accent2 2 9 2" xfId="13004" xr:uid="{FF3B5103-C2CF-4688-940A-EE10554B2F92}"/>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2 2 2" xfId="15568" xr:uid="{76762743-F222-474A-8E79-001E1E751DB9}"/>
    <cellStyle name="40% - Accent2 3 2 2 2 3" xfId="11350" xr:uid="{3B618ABC-50D9-4CB0-BC95-7C9B112F283F}"/>
    <cellStyle name="40% - Accent2 3 2 2 3" xfId="4981" xr:uid="{00000000-0005-0000-0000-0000B7040000}"/>
    <cellStyle name="40% - Accent2 3 2 2 3 2" xfId="13423" xr:uid="{5EBCE00C-8013-4A56-921B-AC5D98D42451}"/>
    <cellStyle name="40% - Accent2 3 2 2 4" xfId="9205" xr:uid="{0F0DA38A-6ADB-473F-81DA-BF3FE2E3A53C}"/>
    <cellStyle name="40% - Accent2 3 2 3" xfId="1085" xr:uid="{00000000-0005-0000-0000-0000B8040000}"/>
    <cellStyle name="40% - Accent2 3 2 3 2" xfId="3316" xr:uid="{00000000-0005-0000-0000-0000B9040000}"/>
    <cellStyle name="40% - Accent2 3 2 3 2 2" xfId="7539" xr:uid="{00000000-0005-0000-0000-0000BA040000}"/>
    <cellStyle name="40% - Accent2 3 2 3 2 2 2" xfId="15981" xr:uid="{24B0F319-2767-42BF-AD2A-DA7273A0501A}"/>
    <cellStyle name="40% - Accent2 3 2 3 2 3" xfId="11763" xr:uid="{68C50974-747C-460B-BB3A-C7FF84BC1484}"/>
    <cellStyle name="40% - Accent2 3 2 3 3" xfId="5394" xr:uid="{00000000-0005-0000-0000-0000BB040000}"/>
    <cellStyle name="40% - Accent2 3 2 3 3 2" xfId="13836" xr:uid="{32C0AAA8-D1C0-4D21-B8DB-C9D609CE289F}"/>
    <cellStyle name="40% - Accent2 3 2 3 4" xfId="9618" xr:uid="{A89DDB56-C5FD-4BD3-A08E-EF1A00F28C2F}"/>
    <cellStyle name="40% - Accent2 3 2 4" xfId="1499" xr:uid="{00000000-0005-0000-0000-0000BC040000}"/>
    <cellStyle name="40% - Accent2 3 2 4 2" xfId="3729" xr:uid="{00000000-0005-0000-0000-0000BD040000}"/>
    <cellStyle name="40% - Accent2 3 2 4 2 2" xfId="7952" xr:uid="{00000000-0005-0000-0000-0000BE040000}"/>
    <cellStyle name="40% - Accent2 3 2 4 2 2 2" xfId="16394" xr:uid="{008D7972-AEA4-47F6-A571-5A058AB6F9D8}"/>
    <cellStyle name="40% - Accent2 3 2 4 2 3" xfId="12176" xr:uid="{F68DBB6A-86CF-4DB3-BD31-A30CF56C8148}"/>
    <cellStyle name="40% - Accent2 3 2 4 3" xfId="5807" xr:uid="{00000000-0005-0000-0000-0000BF040000}"/>
    <cellStyle name="40% - Accent2 3 2 4 3 2" xfId="14249" xr:uid="{74D76F72-E5AE-43AE-9523-D039882C99A9}"/>
    <cellStyle name="40% - Accent2 3 2 4 4" xfId="10031" xr:uid="{7F4EE44B-3463-4F19-B94C-03B72329688D}"/>
    <cellStyle name="40% - Accent2 3 2 5" xfId="1913" xr:uid="{00000000-0005-0000-0000-0000C0040000}"/>
    <cellStyle name="40% - Accent2 3 2 5 2" xfId="4142" xr:uid="{00000000-0005-0000-0000-0000C1040000}"/>
    <cellStyle name="40% - Accent2 3 2 5 2 2" xfId="8365" xr:uid="{00000000-0005-0000-0000-0000C2040000}"/>
    <cellStyle name="40% - Accent2 3 2 5 2 2 2" xfId="16807" xr:uid="{AF1354B6-993A-4699-96A0-64F32F3DDF05}"/>
    <cellStyle name="40% - Accent2 3 2 5 2 3" xfId="12589" xr:uid="{93F76583-530A-49E9-B6C2-04E17682E038}"/>
    <cellStyle name="40% - Accent2 3 2 5 3" xfId="6220" xr:uid="{00000000-0005-0000-0000-0000C3040000}"/>
    <cellStyle name="40% - Accent2 3 2 5 3 2" xfId="14662" xr:uid="{30B82784-F7B9-4A45-8A0D-CDD87FC66514}"/>
    <cellStyle name="40% - Accent2 3 2 5 4" xfId="10444" xr:uid="{F430AC36-00B0-4E35-AE5E-DAD0D87AB284}"/>
    <cellStyle name="40% - Accent2 3 2 6" xfId="2326" xr:uid="{00000000-0005-0000-0000-0000C4040000}"/>
    <cellStyle name="40% - Accent2 3 2 6 2" xfId="6633" xr:uid="{00000000-0005-0000-0000-0000C5040000}"/>
    <cellStyle name="40% - Accent2 3 2 6 2 2" xfId="15075" xr:uid="{817B483D-99C7-47FD-B892-E49CAFBF47F0}"/>
    <cellStyle name="40% - Accent2 3 2 6 3" xfId="10857" xr:uid="{31620CFD-72EE-4ECD-AB05-E55465D13033}"/>
    <cellStyle name="40% - Accent2 3 2 7" xfId="4567" xr:uid="{00000000-0005-0000-0000-0000C6040000}"/>
    <cellStyle name="40% - Accent2 3 2 7 2" xfId="13009" xr:uid="{E4B3D69A-6A67-4767-A85B-C6B6CBE47F80}"/>
    <cellStyle name="40% - Accent2 3 2 8" xfId="8791" xr:uid="{9FF08987-45D7-40C2-AAB7-7CC12FD1879A}"/>
    <cellStyle name="40% - Accent2 3 3" xfId="631" xr:uid="{00000000-0005-0000-0000-0000C7040000}"/>
    <cellStyle name="40% - Accent2 3 3 2" xfId="2902" xr:uid="{00000000-0005-0000-0000-0000C8040000}"/>
    <cellStyle name="40% - Accent2 3 3 2 2" xfId="7125" xr:uid="{00000000-0005-0000-0000-0000C9040000}"/>
    <cellStyle name="40% - Accent2 3 3 2 2 2" xfId="15567" xr:uid="{0C22B708-43C3-4713-8CB8-7EDB1856B0F1}"/>
    <cellStyle name="40% - Accent2 3 3 2 3" xfId="11349" xr:uid="{44BC137F-3972-4E83-B9A2-9C343291D3A7}"/>
    <cellStyle name="40% - Accent2 3 3 3" xfId="4980" xr:uid="{00000000-0005-0000-0000-0000CA040000}"/>
    <cellStyle name="40% - Accent2 3 3 3 2" xfId="13422" xr:uid="{9D1256F1-12D4-4D78-BFBC-B1BF59AA7722}"/>
    <cellStyle name="40% - Accent2 3 3 4" xfId="9204" xr:uid="{430BA683-9C61-4750-9CE1-9EF751AAEBDD}"/>
    <cellStyle name="40% - Accent2 3 4" xfId="1084" xr:uid="{00000000-0005-0000-0000-0000CB040000}"/>
    <cellStyle name="40% - Accent2 3 4 2" xfId="3315" xr:uid="{00000000-0005-0000-0000-0000CC040000}"/>
    <cellStyle name="40% - Accent2 3 4 2 2" xfId="7538" xr:uid="{00000000-0005-0000-0000-0000CD040000}"/>
    <cellStyle name="40% - Accent2 3 4 2 2 2" xfId="15980" xr:uid="{58989F05-9A52-403E-ADCA-D796B4A812C3}"/>
    <cellStyle name="40% - Accent2 3 4 2 3" xfId="11762" xr:uid="{1DA690D9-5D36-4027-B32A-F7822F6591F3}"/>
    <cellStyle name="40% - Accent2 3 4 3" xfId="5393" xr:uid="{00000000-0005-0000-0000-0000CE040000}"/>
    <cellStyle name="40% - Accent2 3 4 3 2" xfId="13835" xr:uid="{8D2E72F8-F2B1-4EB2-A3E0-9D3987517B91}"/>
    <cellStyle name="40% - Accent2 3 4 4" xfId="9617" xr:uid="{E5CC52AD-366D-4CC2-8FC6-54B612C482EE}"/>
    <cellStyle name="40% - Accent2 3 5" xfId="1498" xr:uid="{00000000-0005-0000-0000-0000CF040000}"/>
    <cellStyle name="40% - Accent2 3 5 2" xfId="3728" xr:uid="{00000000-0005-0000-0000-0000D0040000}"/>
    <cellStyle name="40% - Accent2 3 5 2 2" xfId="7951" xr:uid="{00000000-0005-0000-0000-0000D1040000}"/>
    <cellStyle name="40% - Accent2 3 5 2 2 2" xfId="16393" xr:uid="{7AD0D706-AE58-4C85-86F1-E0FA876F5962}"/>
    <cellStyle name="40% - Accent2 3 5 2 3" xfId="12175" xr:uid="{28D78CAE-59E4-49D6-8611-5CB3E1A68D98}"/>
    <cellStyle name="40% - Accent2 3 5 3" xfId="5806" xr:uid="{00000000-0005-0000-0000-0000D2040000}"/>
    <cellStyle name="40% - Accent2 3 5 3 2" xfId="14248" xr:uid="{285E369C-A152-43ED-BF49-41C48DC5A57E}"/>
    <cellStyle name="40% - Accent2 3 5 4" xfId="10030" xr:uid="{7A1A1168-4A98-4CD1-A933-29D4FD1F6C26}"/>
    <cellStyle name="40% - Accent2 3 6" xfId="1912" xr:uid="{00000000-0005-0000-0000-0000D3040000}"/>
    <cellStyle name="40% - Accent2 3 6 2" xfId="4141" xr:uid="{00000000-0005-0000-0000-0000D4040000}"/>
    <cellStyle name="40% - Accent2 3 6 2 2" xfId="8364" xr:uid="{00000000-0005-0000-0000-0000D5040000}"/>
    <cellStyle name="40% - Accent2 3 6 2 2 2" xfId="16806" xr:uid="{B398E757-1739-4915-864C-E759E8BD1C3B}"/>
    <cellStyle name="40% - Accent2 3 6 2 3" xfId="12588" xr:uid="{7EB774F3-EAA9-4D11-A7BA-ECC13DA51D68}"/>
    <cellStyle name="40% - Accent2 3 6 3" xfId="6219" xr:uid="{00000000-0005-0000-0000-0000D6040000}"/>
    <cellStyle name="40% - Accent2 3 6 3 2" xfId="14661" xr:uid="{F69BB4B4-7532-46D8-A913-247AB2D9ED1E}"/>
    <cellStyle name="40% - Accent2 3 6 4" xfId="10443" xr:uid="{8F3B002C-629E-45B8-A4B8-A0BD386DD757}"/>
    <cellStyle name="40% - Accent2 3 7" xfId="2325" xr:uid="{00000000-0005-0000-0000-0000D7040000}"/>
    <cellStyle name="40% - Accent2 3 7 2" xfId="6632" xr:uid="{00000000-0005-0000-0000-0000D8040000}"/>
    <cellStyle name="40% - Accent2 3 7 2 2" xfId="15074" xr:uid="{8A0401F3-D32B-448E-A709-FBEE8124B1B6}"/>
    <cellStyle name="40% - Accent2 3 7 3" xfId="10856" xr:uid="{E5341133-4D06-4E24-A99E-DA7CE84AC0B3}"/>
    <cellStyle name="40% - Accent2 3 8" xfId="4566" xr:uid="{00000000-0005-0000-0000-0000D9040000}"/>
    <cellStyle name="40% - Accent2 3 8 2" xfId="13008" xr:uid="{33FEAB75-ABCD-4E6B-B792-C05C1FF8CDD0}"/>
    <cellStyle name="40% - Accent2 3 9" xfId="8790" xr:uid="{35344118-DAAE-49D9-ADDF-70250C709049}"/>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2 2 2" xfId="15569" xr:uid="{634887FD-EB57-4FCC-B693-694F1AD9EBB0}"/>
    <cellStyle name="40% - Accent2 4 2 2 3" xfId="11351" xr:uid="{5BA72AF6-F63E-43F9-BB21-A26BEFAADE6A}"/>
    <cellStyle name="40% - Accent2 4 2 3" xfId="4982" xr:uid="{00000000-0005-0000-0000-0000DE040000}"/>
    <cellStyle name="40% - Accent2 4 2 3 2" xfId="13424" xr:uid="{A2215B67-3289-4403-9CFE-1BF11FDFEE3D}"/>
    <cellStyle name="40% - Accent2 4 2 4" xfId="9206" xr:uid="{AF79E639-D4BF-4284-8EB7-A2549516031C}"/>
    <cellStyle name="40% - Accent2 4 3" xfId="1086" xr:uid="{00000000-0005-0000-0000-0000DF040000}"/>
    <cellStyle name="40% - Accent2 4 3 2" xfId="3317" xr:uid="{00000000-0005-0000-0000-0000E0040000}"/>
    <cellStyle name="40% - Accent2 4 3 2 2" xfId="7540" xr:uid="{00000000-0005-0000-0000-0000E1040000}"/>
    <cellStyle name="40% - Accent2 4 3 2 2 2" xfId="15982" xr:uid="{835944B8-2CDC-4058-959B-69D1CE07CBF5}"/>
    <cellStyle name="40% - Accent2 4 3 2 3" xfId="11764" xr:uid="{C2A9970E-72B5-4591-9FF6-0715DD3469A3}"/>
    <cellStyle name="40% - Accent2 4 3 3" xfId="5395" xr:uid="{00000000-0005-0000-0000-0000E2040000}"/>
    <cellStyle name="40% - Accent2 4 3 3 2" xfId="13837" xr:uid="{BB92B6A5-AFF8-4EE4-B2DD-F9A779DD6312}"/>
    <cellStyle name="40% - Accent2 4 3 4" xfId="9619" xr:uid="{D1C2D6A5-BFC1-4D44-87DE-3E96A5E6FED4}"/>
    <cellStyle name="40% - Accent2 4 4" xfId="1500" xr:uid="{00000000-0005-0000-0000-0000E3040000}"/>
    <cellStyle name="40% - Accent2 4 4 2" xfId="3730" xr:uid="{00000000-0005-0000-0000-0000E4040000}"/>
    <cellStyle name="40% - Accent2 4 4 2 2" xfId="7953" xr:uid="{00000000-0005-0000-0000-0000E5040000}"/>
    <cellStyle name="40% - Accent2 4 4 2 2 2" xfId="16395" xr:uid="{78E93409-FBAA-4333-A83D-E0A5C646AB42}"/>
    <cellStyle name="40% - Accent2 4 4 2 3" xfId="12177" xr:uid="{5D8BD730-4564-44AF-B4F5-78B46B0D968A}"/>
    <cellStyle name="40% - Accent2 4 4 3" xfId="5808" xr:uid="{00000000-0005-0000-0000-0000E6040000}"/>
    <cellStyle name="40% - Accent2 4 4 3 2" xfId="14250" xr:uid="{7C303CC5-0D7C-4813-8B91-E35262E6CF68}"/>
    <cellStyle name="40% - Accent2 4 4 4" xfId="10032" xr:uid="{44628C00-8482-47C3-B1C6-8629F2A721E3}"/>
    <cellStyle name="40% - Accent2 4 5" xfId="1914" xr:uid="{00000000-0005-0000-0000-0000E7040000}"/>
    <cellStyle name="40% - Accent2 4 5 2" xfId="4143" xr:uid="{00000000-0005-0000-0000-0000E8040000}"/>
    <cellStyle name="40% - Accent2 4 5 2 2" xfId="8366" xr:uid="{00000000-0005-0000-0000-0000E9040000}"/>
    <cellStyle name="40% - Accent2 4 5 2 2 2" xfId="16808" xr:uid="{120E3691-4EFA-4377-87A7-71AE94165220}"/>
    <cellStyle name="40% - Accent2 4 5 2 3" xfId="12590" xr:uid="{6696657F-4322-43F9-8652-0BE530B1E728}"/>
    <cellStyle name="40% - Accent2 4 5 3" xfId="6221" xr:uid="{00000000-0005-0000-0000-0000EA040000}"/>
    <cellStyle name="40% - Accent2 4 5 3 2" xfId="14663" xr:uid="{10CED500-8C77-4AC3-9F07-3226CE982501}"/>
    <cellStyle name="40% - Accent2 4 5 4" xfId="10445" xr:uid="{319A9E86-A1DD-4FFE-A314-6948A9334693}"/>
    <cellStyle name="40% - Accent2 4 6" xfId="2327" xr:uid="{00000000-0005-0000-0000-0000EB040000}"/>
    <cellStyle name="40% - Accent2 4 6 2" xfId="6634" xr:uid="{00000000-0005-0000-0000-0000EC040000}"/>
    <cellStyle name="40% - Accent2 4 6 2 2" xfId="15076" xr:uid="{226D4955-BEFC-4B11-A345-67982966948F}"/>
    <cellStyle name="40% - Accent2 4 6 3" xfId="10858" xr:uid="{94B730A6-8C9E-4219-82A5-821B30427278}"/>
    <cellStyle name="40% - Accent2 4 7" xfId="4568" xr:uid="{00000000-0005-0000-0000-0000ED040000}"/>
    <cellStyle name="40% - Accent2 4 7 2" xfId="13010" xr:uid="{AF72FD8A-1539-4219-AB70-65B992081CC4}"/>
    <cellStyle name="40% - Accent2 4 8" xfId="8792" xr:uid="{17C614FB-DC3E-404A-AE24-F0A35D5E2AB0}"/>
    <cellStyle name="40% - Accent2 5" xfId="626" xr:uid="{00000000-0005-0000-0000-0000EE040000}"/>
    <cellStyle name="40% - Accent2 5 2" xfId="2897" xr:uid="{00000000-0005-0000-0000-0000EF040000}"/>
    <cellStyle name="40% - Accent2 5 2 2" xfId="7120" xr:uid="{00000000-0005-0000-0000-0000F0040000}"/>
    <cellStyle name="40% - Accent2 5 2 2 2" xfId="15562" xr:uid="{70522384-6BC2-4018-BD93-5BB9E21388BA}"/>
    <cellStyle name="40% - Accent2 5 2 3" xfId="11344" xr:uid="{CE77B6EC-95E7-4C03-99D4-05B133259813}"/>
    <cellStyle name="40% - Accent2 5 3" xfId="4975" xr:uid="{00000000-0005-0000-0000-0000F1040000}"/>
    <cellStyle name="40% - Accent2 5 3 2" xfId="13417" xr:uid="{0ACC531F-87D1-43CE-94E8-464FFE80D1F8}"/>
    <cellStyle name="40% - Accent2 5 4" xfId="9199" xr:uid="{84D9BA48-4F9F-4FEA-8872-8476C9E589DD}"/>
    <cellStyle name="40% - Accent2 6" xfId="1079" xr:uid="{00000000-0005-0000-0000-0000F2040000}"/>
    <cellStyle name="40% - Accent2 6 2" xfId="3310" xr:uid="{00000000-0005-0000-0000-0000F3040000}"/>
    <cellStyle name="40% - Accent2 6 2 2" xfId="7533" xr:uid="{00000000-0005-0000-0000-0000F4040000}"/>
    <cellStyle name="40% - Accent2 6 2 2 2" xfId="15975" xr:uid="{D39BEE31-3089-422F-B065-D0D8F30E0CAD}"/>
    <cellStyle name="40% - Accent2 6 2 3" xfId="11757" xr:uid="{38D11DA8-9640-4919-97BB-B443FE2E10AE}"/>
    <cellStyle name="40% - Accent2 6 3" xfId="5388" xr:uid="{00000000-0005-0000-0000-0000F5040000}"/>
    <cellStyle name="40% - Accent2 6 3 2" xfId="13830" xr:uid="{EBF08373-C5F8-40F9-BEA8-FDF5402349C6}"/>
    <cellStyle name="40% - Accent2 6 4" xfId="9612" xr:uid="{84B16FF7-1D69-4723-99EB-F5EE28942B49}"/>
    <cellStyle name="40% - Accent2 7" xfId="1493" xr:uid="{00000000-0005-0000-0000-0000F6040000}"/>
    <cellStyle name="40% - Accent2 7 2" xfId="3723" xr:uid="{00000000-0005-0000-0000-0000F7040000}"/>
    <cellStyle name="40% - Accent2 7 2 2" xfId="7946" xr:uid="{00000000-0005-0000-0000-0000F8040000}"/>
    <cellStyle name="40% - Accent2 7 2 2 2" xfId="16388" xr:uid="{5A3B350F-58A7-4ABC-B8FB-EE9972C59FF0}"/>
    <cellStyle name="40% - Accent2 7 2 3" xfId="12170" xr:uid="{EF8343A6-CE1C-49AC-9596-2BEA852DDDE8}"/>
    <cellStyle name="40% - Accent2 7 3" xfId="5801" xr:uid="{00000000-0005-0000-0000-0000F9040000}"/>
    <cellStyle name="40% - Accent2 7 3 2" xfId="14243" xr:uid="{D799E832-6D38-4DAF-90F3-C971BDE31400}"/>
    <cellStyle name="40% - Accent2 7 4" xfId="10025" xr:uid="{5F168807-ECFC-400B-A5DD-FD2409446A3C}"/>
    <cellStyle name="40% - Accent2 8" xfId="1907" xr:uid="{00000000-0005-0000-0000-0000FA040000}"/>
    <cellStyle name="40% - Accent2 8 2" xfId="4136" xr:uid="{00000000-0005-0000-0000-0000FB040000}"/>
    <cellStyle name="40% - Accent2 8 2 2" xfId="8359" xr:uid="{00000000-0005-0000-0000-0000FC040000}"/>
    <cellStyle name="40% - Accent2 8 2 2 2" xfId="16801" xr:uid="{66AA0F62-0637-4A47-B122-DAF8BB8C7BF6}"/>
    <cellStyle name="40% - Accent2 8 2 3" xfId="12583" xr:uid="{ABCE4067-0C8C-4A23-8322-2F75751866F5}"/>
    <cellStyle name="40% - Accent2 8 3" xfId="6214" xr:uid="{00000000-0005-0000-0000-0000FD040000}"/>
    <cellStyle name="40% - Accent2 8 3 2" xfId="14656" xr:uid="{702C44EB-E907-4B37-9F8F-CCAFB202C625}"/>
    <cellStyle name="40% - Accent2 8 4" xfId="10438" xr:uid="{D6BABE0A-5A64-4F25-8C1B-6800E1F9F410}"/>
    <cellStyle name="40% - Accent2 9" xfId="2320" xr:uid="{00000000-0005-0000-0000-0000FE040000}"/>
    <cellStyle name="40% - Accent2 9 2" xfId="6627" xr:uid="{00000000-0005-0000-0000-0000FF040000}"/>
    <cellStyle name="40% - Accent2 9 2 2" xfId="15069" xr:uid="{AE9878D4-5BDD-43A4-8005-39DE7E2F7B88}"/>
    <cellStyle name="40% - Accent2 9 3" xfId="10851" xr:uid="{73FB7887-47DB-4EE1-808C-E129167A1F70}"/>
    <cellStyle name="40% - Accent3" xfId="65" builtinId="39" customBuiltin="1"/>
    <cellStyle name="40% - Accent3 10" xfId="4569" xr:uid="{00000000-0005-0000-0000-000001050000}"/>
    <cellStyle name="40% - Accent3 10 2" xfId="13011" xr:uid="{7AAF9BFE-27E8-48F2-9FCF-DCFC8FA2F1E8}"/>
    <cellStyle name="40% - Accent3 11" xfId="8793" xr:uid="{E97A188D-26C0-4C6B-83B5-F2555D60DFBB}"/>
    <cellStyle name="40% - Accent3 2" xfId="66" xr:uid="{00000000-0005-0000-0000-000002050000}"/>
    <cellStyle name="40% - Accent3 2 10" xfId="8794" xr:uid="{AE4C98BF-B793-4A24-9E4E-90655E2037DA}"/>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2 2 2" xfId="15573" xr:uid="{A8AC8801-8D09-4F4E-B670-CA3DE335675A}"/>
    <cellStyle name="40% - Accent3 2 2 2 2 2 3" xfId="11355" xr:uid="{12678F5A-6380-4DA3-A22A-08F4FC8571F7}"/>
    <cellStyle name="40% - Accent3 2 2 2 2 3" xfId="4986" xr:uid="{00000000-0005-0000-0000-000008050000}"/>
    <cellStyle name="40% - Accent3 2 2 2 2 3 2" xfId="13428" xr:uid="{49D8739A-48A7-4D7C-B4DA-762527D783B0}"/>
    <cellStyle name="40% - Accent3 2 2 2 2 4" xfId="9210" xr:uid="{38AB75AB-16EC-479A-92CE-58BEAFFD2BFF}"/>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2 2 2" xfId="15986" xr:uid="{C58A8DF8-1691-4F02-A248-E27F9C31C899}"/>
    <cellStyle name="40% - Accent3 2 2 2 3 2 3" xfId="11768" xr:uid="{1F6F589C-059A-43BA-9C1E-EB5D38FB7AD0}"/>
    <cellStyle name="40% - Accent3 2 2 2 3 3" xfId="5399" xr:uid="{00000000-0005-0000-0000-00000C050000}"/>
    <cellStyle name="40% - Accent3 2 2 2 3 3 2" xfId="13841" xr:uid="{06FC1D76-1DA7-41F6-B425-AAA70FAFEA01}"/>
    <cellStyle name="40% - Accent3 2 2 2 3 4" xfId="9623" xr:uid="{7BE98069-CCE1-4F18-80B5-A8B450B1D303}"/>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2 2 2" xfId="16399" xr:uid="{78FEAA30-861B-4B4C-BCE1-D6C1586615B0}"/>
    <cellStyle name="40% - Accent3 2 2 2 4 2 3" xfId="12181" xr:uid="{73D70A55-976B-4C78-8465-CA6F770CA39A}"/>
    <cellStyle name="40% - Accent3 2 2 2 4 3" xfId="5812" xr:uid="{00000000-0005-0000-0000-000010050000}"/>
    <cellStyle name="40% - Accent3 2 2 2 4 3 2" xfId="14254" xr:uid="{CDD5B4F6-89DE-4790-B2F3-8D27EAE5641C}"/>
    <cellStyle name="40% - Accent3 2 2 2 4 4" xfId="10036" xr:uid="{71F0264A-FD4B-4D04-86B2-B52D32C90594}"/>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2 2 2" xfId="16812" xr:uid="{19E772CC-2341-488E-B91D-3C3878FF5298}"/>
    <cellStyle name="40% - Accent3 2 2 2 5 2 3" xfId="12594" xr:uid="{A4632DF6-07A9-4115-B344-EFED20F26602}"/>
    <cellStyle name="40% - Accent3 2 2 2 5 3" xfId="6225" xr:uid="{00000000-0005-0000-0000-000014050000}"/>
    <cellStyle name="40% - Accent3 2 2 2 5 3 2" xfId="14667" xr:uid="{1B52DDAA-7CAA-4BC5-B294-C166F6429981}"/>
    <cellStyle name="40% - Accent3 2 2 2 5 4" xfId="10449" xr:uid="{BB006D67-CC65-451D-B8E8-C9AE885BBFEF}"/>
    <cellStyle name="40% - Accent3 2 2 2 6" xfId="2331" xr:uid="{00000000-0005-0000-0000-000015050000}"/>
    <cellStyle name="40% - Accent3 2 2 2 6 2" xfId="6638" xr:uid="{00000000-0005-0000-0000-000016050000}"/>
    <cellStyle name="40% - Accent3 2 2 2 6 2 2" xfId="15080" xr:uid="{E3E5A565-81EC-403C-B754-35C9509DA5D3}"/>
    <cellStyle name="40% - Accent3 2 2 2 6 3" xfId="10862" xr:uid="{90DE6F38-9AE8-4B89-9D03-E5C9E8C88008}"/>
    <cellStyle name="40% - Accent3 2 2 2 7" xfId="4572" xr:uid="{00000000-0005-0000-0000-000017050000}"/>
    <cellStyle name="40% - Accent3 2 2 2 7 2" xfId="13014" xr:uid="{E2ADFDCF-D414-4AD2-AAFA-9988438260FD}"/>
    <cellStyle name="40% - Accent3 2 2 2 8" xfId="8796" xr:uid="{3CED3415-561F-4C7F-9918-B253F50EB02D}"/>
    <cellStyle name="40% - Accent3 2 2 3" xfId="636" xr:uid="{00000000-0005-0000-0000-000018050000}"/>
    <cellStyle name="40% - Accent3 2 2 3 2" xfId="2907" xr:uid="{00000000-0005-0000-0000-000019050000}"/>
    <cellStyle name="40% - Accent3 2 2 3 2 2" xfId="7130" xr:uid="{00000000-0005-0000-0000-00001A050000}"/>
    <cellStyle name="40% - Accent3 2 2 3 2 2 2" xfId="15572" xr:uid="{F097600C-E86D-45E2-B7A8-2BEA2B4A1266}"/>
    <cellStyle name="40% - Accent3 2 2 3 2 3" xfId="11354" xr:uid="{CBF7BD7A-3A46-470A-AFD5-A11D235D5719}"/>
    <cellStyle name="40% - Accent3 2 2 3 3" xfId="4985" xr:uid="{00000000-0005-0000-0000-00001B050000}"/>
    <cellStyle name="40% - Accent3 2 2 3 3 2" xfId="13427" xr:uid="{35C2C6E2-0D1D-4624-BA73-11A09697DDE0}"/>
    <cellStyle name="40% - Accent3 2 2 3 4" xfId="9209" xr:uid="{09A95599-9BB3-442C-B4A5-9F352926B5C3}"/>
    <cellStyle name="40% - Accent3 2 2 4" xfId="1089" xr:uid="{00000000-0005-0000-0000-00001C050000}"/>
    <cellStyle name="40% - Accent3 2 2 4 2" xfId="3320" xr:uid="{00000000-0005-0000-0000-00001D050000}"/>
    <cellStyle name="40% - Accent3 2 2 4 2 2" xfId="7543" xr:uid="{00000000-0005-0000-0000-00001E050000}"/>
    <cellStyle name="40% - Accent3 2 2 4 2 2 2" xfId="15985" xr:uid="{6894F0E1-502A-4245-9CB3-FC3BCD22D3F0}"/>
    <cellStyle name="40% - Accent3 2 2 4 2 3" xfId="11767" xr:uid="{D94D2825-5BBC-4BB3-BCE3-7EB973FC40B5}"/>
    <cellStyle name="40% - Accent3 2 2 4 3" xfId="5398" xr:uid="{00000000-0005-0000-0000-00001F050000}"/>
    <cellStyle name="40% - Accent3 2 2 4 3 2" xfId="13840" xr:uid="{8A42C1BD-94CB-4917-9945-271B265F7A97}"/>
    <cellStyle name="40% - Accent3 2 2 4 4" xfId="9622" xr:uid="{9960AF96-AE39-4A9D-BEFA-F4D11BEE91B1}"/>
    <cellStyle name="40% - Accent3 2 2 5" xfId="1503" xr:uid="{00000000-0005-0000-0000-000020050000}"/>
    <cellStyle name="40% - Accent3 2 2 5 2" xfId="3733" xr:uid="{00000000-0005-0000-0000-000021050000}"/>
    <cellStyle name="40% - Accent3 2 2 5 2 2" xfId="7956" xr:uid="{00000000-0005-0000-0000-000022050000}"/>
    <cellStyle name="40% - Accent3 2 2 5 2 2 2" xfId="16398" xr:uid="{50D6CBC2-447A-44F4-B0EA-0A611CFBDB05}"/>
    <cellStyle name="40% - Accent3 2 2 5 2 3" xfId="12180" xr:uid="{B328844F-6A04-464E-819E-610CC9D66D6A}"/>
    <cellStyle name="40% - Accent3 2 2 5 3" xfId="5811" xr:uid="{00000000-0005-0000-0000-000023050000}"/>
    <cellStyle name="40% - Accent3 2 2 5 3 2" xfId="14253" xr:uid="{AFAAF489-C452-4DB2-8B0A-2BD3DDA286B0}"/>
    <cellStyle name="40% - Accent3 2 2 5 4" xfId="10035" xr:uid="{69A9C0F1-705E-4A73-90BF-DDBB04D69B11}"/>
    <cellStyle name="40% - Accent3 2 2 6" xfId="1917" xr:uid="{00000000-0005-0000-0000-000024050000}"/>
    <cellStyle name="40% - Accent3 2 2 6 2" xfId="4146" xr:uid="{00000000-0005-0000-0000-000025050000}"/>
    <cellStyle name="40% - Accent3 2 2 6 2 2" xfId="8369" xr:uid="{00000000-0005-0000-0000-000026050000}"/>
    <cellStyle name="40% - Accent3 2 2 6 2 2 2" xfId="16811" xr:uid="{987F6FF1-6848-4947-8BBB-B84FA206C507}"/>
    <cellStyle name="40% - Accent3 2 2 6 2 3" xfId="12593" xr:uid="{F2728577-A02A-41E1-9C71-071726EB0E64}"/>
    <cellStyle name="40% - Accent3 2 2 6 3" xfId="6224" xr:uid="{00000000-0005-0000-0000-000027050000}"/>
    <cellStyle name="40% - Accent3 2 2 6 3 2" xfId="14666" xr:uid="{0AD97A73-45D6-4B7D-B2DD-2125A3CD1472}"/>
    <cellStyle name="40% - Accent3 2 2 6 4" xfId="10448" xr:uid="{71638D40-FDFA-4ACA-A420-A1965FD4793E}"/>
    <cellStyle name="40% - Accent3 2 2 7" xfId="2330" xr:uid="{00000000-0005-0000-0000-000028050000}"/>
    <cellStyle name="40% - Accent3 2 2 7 2" xfId="6637" xr:uid="{00000000-0005-0000-0000-000029050000}"/>
    <cellStyle name="40% - Accent3 2 2 7 2 2" xfId="15079" xr:uid="{13A70D6B-2F12-46DD-861B-C2642895B9C2}"/>
    <cellStyle name="40% - Accent3 2 2 7 3" xfId="10861" xr:uid="{ABEEE974-8B08-4D25-8527-EB5E6AB05026}"/>
    <cellStyle name="40% - Accent3 2 2 8" xfId="4571" xr:uid="{00000000-0005-0000-0000-00002A050000}"/>
    <cellStyle name="40% - Accent3 2 2 8 2" xfId="13013" xr:uid="{D9538D67-CDCC-41A0-95AB-09690CE85104}"/>
    <cellStyle name="40% - Accent3 2 2 9" xfId="8795" xr:uid="{A560D0AC-4AE8-49C0-92CF-AF1E21443BF3}"/>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2 2 2" xfId="15574" xr:uid="{763D6410-41F9-4BB8-9E0C-0977E710CF8F}"/>
    <cellStyle name="40% - Accent3 2 3 2 2 3" xfId="11356" xr:uid="{2BEA1F8A-0D9E-4481-BAB3-2A108A61145B}"/>
    <cellStyle name="40% - Accent3 2 3 2 3" xfId="4987" xr:uid="{00000000-0005-0000-0000-00002F050000}"/>
    <cellStyle name="40% - Accent3 2 3 2 3 2" xfId="13429" xr:uid="{6D231085-4BCE-4589-BD13-A790ACD81472}"/>
    <cellStyle name="40% - Accent3 2 3 2 4" xfId="9211" xr:uid="{CEB46649-2244-4092-A501-56B90DE8F4ED}"/>
    <cellStyle name="40% - Accent3 2 3 3" xfId="1091" xr:uid="{00000000-0005-0000-0000-000030050000}"/>
    <cellStyle name="40% - Accent3 2 3 3 2" xfId="3322" xr:uid="{00000000-0005-0000-0000-000031050000}"/>
    <cellStyle name="40% - Accent3 2 3 3 2 2" xfId="7545" xr:uid="{00000000-0005-0000-0000-000032050000}"/>
    <cellStyle name="40% - Accent3 2 3 3 2 2 2" xfId="15987" xr:uid="{C52C206A-02DC-4CA5-B138-4C3FD1303CE1}"/>
    <cellStyle name="40% - Accent3 2 3 3 2 3" xfId="11769" xr:uid="{5F89F5BC-5ED4-4B81-911F-82273465B251}"/>
    <cellStyle name="40% - Accent3 2 3 3 3" xfId="5400" xr:uid="{00000000-0005-0000-0000-000033050000}"/>
    <cellStyle name="40% - Accent3 2 3 3 3 2" xfId="13842" xr:uid="{3479AD49-E482-4B0D-9ECA-5CE0BD9CF953}"/>
    <cellStyle name="40% - Accent3 2 3 3 4" xfId="9624" xr:uid="{C93FB1AB-10BD-4B58-8646-F9CD406B902A}"/>
    <cellStyle name="40% - Accent3 2 3 4" xfId="1505" xr:uid="{00000000-0005-0000-0000-000034050000}"/>
    <cellStyle name="40% - Accent3 2 3 4 2" xfId="3735" xr:uid="{00000000-0005-0000-0000-000035050000}"/>
    <cellStyle name="40% - Accent3 2 3 4 2 2" xfId="7958" xr:uid="{00000000-0005-0000-0000-000036050000}"/>
    <cellStyle name="40% - Accent3 2 3 4 2 2 2" xfId="16400" xr:uid="{BD215263-73ED-4AC9-B044-A8DD54D1AEED}"/>
    <cellStyle name="40% - Accent3 2 3 4 2 3" xfId="12182" xr:uid="{D03B3264-EBD4-4B2B-913D-A243C15BDF13}"/>
    <cellStyle name="40% - Accent3 2 3 4 3" xfId="5813" xr:uid="{00000000-0005-0000-0000-000037050000}"/>
    <cellStyle name="40% - Accent3 2 3 4 3 2" xfId="14255" xr:uid="{CC9CB01E-913A-4451-9021-47E71363B5C5}"/>
    <cellStyle name="40% - Accent3 2 3 4 4" xfId="10037" xr:uid="{66340AAB-EE98-4BF0-9EE3-99A0660E6663}"/>
    <cellStyle name="40% - Accent3 2 3 5" xfId="1919" xr:uid="{00000000-0005-0000-0000-000038050000}"/>
    <cellStyle name="40% - Accent3 2 3 5 2" xfId="4148" xr:uid="{00000000-0005-0000-0000-000039050000}"/>
    <cellStyle name="40% - Accent3 2 3 5 2 2" xfId="8371" xr:uid="{00000000-0005-0000-0000-00003A050000}"/>
    <cellStyle name="40% - Accent3 2 3 5 2 2 2" xfId="16813" xr:uid="{DEF8128E-F250-4502-9462-84966CD1F075}"/>
    <cellStyle name="40% - Accent3 2 3 5 2 3" xfId="12595" xr:uid="{310393E3-36D6-419C-B409-41F5202AABBD}"/>
    <cellStyle name="40% - Accent3 2 3 5 3" xfId="6226" xr:uid="{00000000-0005-0000-0000-00003B050000}"/>
    <cellStyle name="40% - Accent3 2 3 5 3 2" xfId="14668" xr:uid="{3F3AB278-9D76-4840-9D32-9B776677A0EE}"/>
    <cellStyle name="40% - Accent3 2 3 5 4" xfId="10450" xr:uid="{3FB0A434-C33C-4D5E-930E-3EEE9A388C5F}"/>
    <cellStyle name="40% - Accent3 2 3 6" xfId="2332" xr:uid="{00000000-0005-0000-0000-00003C050000}"/>
    <cellStyle name="40% - Accent3 2 3 6 2" xfId="6639" xr:uid="{00000000-0005-0000-0000-00003D050000}"/>
    <cellStyle name="40% - Accent3 2 3 6 2 2" xfId="15081" xr:uid="{DD6B2F7E-1D84-4B9F-91D3-5F76D8D6A8A0}"/>
    <cellStyle name="40% - Accent3 2 3 6 3" xfId="10863" xr:uid="{4F11E4F6-7089-4135-B1A1-14022FE11FB3}"/>
    <cellStyle name="40% - Accent3 2 3 7" xfId="4573" xr:uid="{00000000-0005-0000-0000-00003E050000}"/>
    <cellStyle name="40% - Accent3 2 3 7 2" xfId="13015" xr:uid="{384DF1D3-9E76-4426-AA8F-9DA77B686182}"/>
    <cellStyle name="40% - Accent3 2 3 8" xfId="8797" xr:uid="{B013BE8A-173C-4542-8944-BFB53A92234F}"/>
    <cellStyle name="40% - Accent3 2 4" xfId="635" xr:uid="{00000000-0005-0000-0000-00003F050000}"/>
    <cellStyle name="40% - Accent3 2 4 2" xfId="2906" xr:uid="{00000000-0005-0000-0000-000040050000}"/>
    <cellStyle name="40% - Accent3 2 4 2 2" xfId="7129" xr:uid="{00000000-0005-0000-0000-000041050000}"/>
    <cellStyle name="40% - Accent3 2 4 2 2 2" xfId="15571" xr:uid="{82058681-9171-4E0E-8E29-01AA637DF752}"/>
    <cellStyle name="40% - Accent3 2 4 2 3" xfId="11353" xr:uid="{DBF1D5C8-503E-4025-A9A9-1A7B5F1EFDE5}"/>
    <cellStyle name="40% - Accent3 2 4 3" xfId="4984" xr:uid="{00000000-0005-0000-0000-000042050000}"/>
    <cellStyle name="40% - Accent3 2 4 3 2" xfId="13426" xr:uid="{D92490A6-8862-4F60-BBE5-77ECA052CF82}"/>
    <cellStyle name="40% - Accent3 2 4 4" xfId="9208" xr:uid="{DDCA3290-AEC4-4056-9BBF-175E5B3CAC6C}"/>
    <cellStyle name="40% - Accent3 2 5" xfId="1088" xr:uid="{00000000-0005-0000-0000-000043050000}"/>
    <cellStyle name="40% - Accent3 2 5 2" xfId="3319" xr:uid="{00000000-0005-0000-0000-000044050000}"/>
    <cellStyle name="40% - Accent3 2 5 2 2" xfId="7542" xr:uid="{00000000-0005-0000-0000-000045050000}"/>
    <cellStyle name="40% - Accent3 2 5 2 2 2" xfId="15984" xr:uid="{07E8C39C-47A1-4C26-8CFC-2E2F348DF5A0}"/>
    <cellStyle name="40% - Accent3 2 5 2 3" xfId="11766" xr:uid="{55C8562A-C7D3-4FBE-84E4-0085359F34F7}"/>
    <cellStyle name="40% - Accent3 2 5 3" xfId="5397" xr:uid="{00000000-0005-0000-0000-000046050000}"/>
    <cellStyle name="40% - Accent3 2 5 3 2" xfId="13839" xr:uid="{DE7D8761-5F9C-4BA1-AADC-4BF368F739AB}"/>
    <cellStyle name="40% - Accent3 2 5 4" xfId="9621" xr:uid="{931AF289-0B37-452A-9887-7A21C84C6117}"/>
    <cellStyle name="40% - Accent3 2 6" xfId="1502" xr:uid="{00000000-0005-0000-0000-000047050000}"/>
    <cellStyle name="40% - Accent3 2 6 2" xfId="3732" xr:uid="{00000000-0005-0000-0000-000048050000}"/>
    <cellStyle name="40% - Accent3 2 6 2 2" xfId="7955" xr:uid="{00000000-0005-0000-0000-000049050000}"/>
    <cellStyle name="40% - Accent3 2 6 2 2 2" xfId="16397" xr:uid="{EFFDCEF4-937B-4E03-BE50-CB8B3A2D3FF4}"/>
    <cellStyle name="40% - Accent3 2 6 2 3" xfId="12179" xr:uid="{6F96F232-0C47-4EC0-8C6E-E564F34E87DC}"/>
    <cellStyle name="40% - Accent3 2 6 3" xfId="5810" xr:uid="{00000000-0005-0000-0000-00004A050000}"/>
    <cellStyle name="40% - Accent3 2 6 3 2" xfId="14252" xr:uid="{B5AD7333-55DF-46B4-B79D-CD1803505EF3}"/>
    <cellStyle name="40% - Accent3 2 6 4" xfId="10034" xr:uid="{718117ED-75DD-4688-A508-0B3F9A8ABC41}"/>
    <cellStyle name="40% - Accent3 2 7" xfId="1916" xr:uid="{00000000-0005-0000-0000-00004B050000}"/>
    <cellStyle name="40% - Accent3 2 7 2" xfId="4145" xr:uid="{00000000-0005-0000-0000-00004C050000}"/>
    <cellStyle name="40% - Accent3 2 7 2 2" xfId="8368" xr:uid="{00000000-0005-0000-0000-00004D050000}"/>
    <cellStyle name="40% - Accent3 2 7 2 2 2" xfId="16810" xr:uid="{F9FB47B1-3E36-4B5B-A22F-368D0E157158}"/>
    <cellStyle name="40% - Accent3 2 7 2 3" xfId="12592" xr:uid="{F0B288A3-09B5-44D6-9D4E-A0AF1DE0339D}"/>
    <cellStyle name="40% - Accent3 2 7 3" xfId="6223" xr:uid="{00000000-0005-0000-0000-00004E050000}"/>
    <cellStyle name="40% - Accent3 2 7 3 2" xfId="14665" xr:uid="{244D464D-DB81-4CD6-8886-76AE9DD4E721}"/>
    <cellStyle name="40% - Accent3 2 7 4" xfId="10447" xr:uid="{1674052C-DB4F-457D-9780-81F2571FA0AE}"/>
    <cellStyle name="40% - Accent3 2 8" xfId="2329" xr:uid="{00000000-0005-0000-0000-00004F050000}"/>
    <cellStyle name="40% - Accent3 2 8 2" xfId="6636" xr:uid="{00000000-0005-0000-0000-000050050000}"/>
    <cellStyle name="40% - Accent3 2 8 2 2" xfId="15078" xr:uid="{CC7BEBCA-C338-4682-885C-CBC980B195DF}"/>
    <cellStyle name="40% - Accent3 2 8 3" xfId="10860" xr:uid="{95EECE2E-0144-4314-B55E-687D47FA20F9}"/>
    <cellStyle name="40% - Accent3 2 9" xfId="4570" xr:uid="{00000000-0005-0000-0000-000051050000}"/>
    <cellStyle name="40% - Accent3 2 9 2" xfId="13012" xr:uid="{E435563D-4FA8-48F7-A142-ACC58AF359B6}"/>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2 2 2" xfId="15576" xr:uid="{FC8CCE03-160C-4331-8E8C-4706BB1806A8}"/>
    <cellStyle name="40% - Accent3 3 2 2 2 3" xfId="11358" xr:uid="{FE5AED21-12B0-4424-A1A6-1CE254DFF369}"/>
    <cellStyle name="40% - Accent3 3 2 2 3" xfId="4989" xr:uid="{00000000-0005-0000-0000-000057050000}"/>
    <cellStyle name="40% - Accent3 3 2 2 3 2" xfId="13431" xr:uid="{CEEAB368-BECF-4A43-946B-6B8E7B25AD7A}"/>
    <cellStyle name="40% - Accent3 3 2 2 4" xfId="9213" xr:uid="{8B83F04C-7B83-423F-9981-AD3384F9958A}"/>
    <cellStyle name="40% - Accent3 3 2 3" xfId="1093" xr:uid="{00000000-0005-0000-0000-000058050000}"/>
    <cellStyle name="40% - Accent3 3 2 3 2" xfId="3324" xr:uid="{00000000-0005-0000-0000-000059050000}"/>
    <cellStyle name="40% - Accent3 3 2 3 2 2" xfId="7547" xr:uid="{00000000-0005-0000-0000-00005A050000}"/>
    <cellStyle name="40% - Accent3 3 2 3 2 2 2" xfId="15989" xr:uid="{E436E110-AC6F-4949-9BA9-CC56E04BC903}"/>
    <cellStyle name="40% - Accent3 3 2 3 2 3" xfId="11771" xr:uid="{37DF1AF8-DEC8-49C2-9937-0A359B33FBCF}"/>
    <cellStyle name="40% - Accent3 3 2 3 3" xfId="5402" xr:uid="{00000000-0005-0000-0000-00005B050000}"/>
    <cellStyle name="40% - Accent3 3 2 3 3 2" xfId="13844" xr:uid="{69C75568-D6BB-4EE8-A347-39DFF717AF0C}"/>
    <cellStyle name="40% - Accent3 3 2 3 4" xfId="9626" xr:uid="{2ED3110B-64B1-43F1-8FC0-3CA1C4748F4A}"/>
    <cellStyle name="40% - Accent3 3 2 4" xfId="1507" xr:uid="{00000000-0005-0000-0000-00005C050000}"/>
    <cellStyle name="40% - Accent3 3 2 4 2" xfId="3737" xr:uid="{00000000-0005-0000-0000-00005D050000}"/>
    <cellStyle name="40% - Accent3 3 2 4 2 2" xfId="7960" xr:uid="{00000000-0005-0000-0000-00005E050000}"/>
    <cellStyle name="40% - Accent3 3 2 4 2 2 2" xfId="16402" xr:uid="{CC7A59E7-E8D6-4712-A4BF-EA36EF99E2D3}"/>
    <cellStyle name="40% - Accent3 3 2 4 2 3" xfId="12184" xr:uid="{29A97A6E-5C53-40DD-8DB0-77A1DE1E6D39}"/>
    <cellStyle name="40% - Accent3 3 2 4 3" xfId="5815" xr:uid="{00000000-0005-0000-0000-00005F050000}"/>
    <cellStyle name="40% - Accent3 3 2 4 3 2" xfId="14257" xr:uid="{022A6E8E-E5A6-4841-8D8A-0B6EA450C1A2}"/>
    <cellStyle name="40% - Accent3 3 2 4 4" xfId="10039" xr:uid="{DFD60140-D1A8-491C-92D5-0A3173A19DDB}"/>
    <cellStyle name="40% - Accent3 3 2 5" xfId="1921" xr:uid="{00000000-0005-0000-0000-000060050000}"/>
    <cellStyle name="40% - Accent3 3 2 5 2" xfId="4150" xr:uid="{00000000-0005-0000-0000-000061050000}"/>
    <cellStyle name="40% - Accent3 3 2 5 2 2" xfId="8373" xr:uid="{00000000-0005-0000-0000-000062050000}"/>
    <cellStyle name="40% - Accent3 3 2 5 2 2 2" xfId="16815" xr:uid="{B3C5C8BF-7B51-4BCA-BB50-FBD9D224112F}"/>
    <cellStyle name="40% - Accent3 3 2 5 2 3" xfId="12597" xr:uid="{F384D3D4-E642-4B38-A006-796655E92166}"/>
    <cellStyle name="40% - Accent3 3 2 5 3" xfId="6228" xr:uid="{00000000-0005-0000-0000-000063050000}"/>
    <cellStyle name="40% - Accent3 3 2 5 3 2" xfId="14670" xr:uid="{96DA2913-FB30-4550-B165-584122B81D02}"/>
    <cellStyle name="40% - Accent3 3 2 5 4" xfId="10452" xr:uid="{FA571B5C-53A7-4B85-9A64-53E5C2271245}"/>
    <cellStyle name="40% - Accent3 3 2 6" xfId="2334" xr:uid="{00000000-0005-0000-0000-000064050000}"/>
    <cellStyle name="40% - Accent3 3 2 6 2" xfId="6641" xr:uid="{00000000-0005-0000-0000-000065050000}"/>
    <cellStyle name="40% - Accent3 3 2 6 2 2" xfId="15083" xr:uid="{DC034D73-EC75-4DFA-9DDD-1E26CAD6C27D}"/>
    <cellStyle name="40% - Accent3 3 2 6 3" xfId="10865" xr:uid="{27D3DE96-DE43-4729-90B6-5239C291A00E}"/>
    <cellStyle name="40% - Accent3 3 2 7" xfId="4575" xr:uid="{00000000-0005-0000-0000-000066050000}"/>
    <cellStyle name="40% - Accent3 3 2 7 2" xfId="13017" xr:uid="{6560952D-D5B5-40C0-9E0F-6F7BF745AABF}"/>
    <cellStyle name="40% - Accent3 3 2 8" xfId="8799" xr:uid="{BB4BADFB-42B6-4A80-AF90-10CCBFF323C9}"/>
    <cellStyle name="40% - Accent3 3 3" xfId="639" xr:uid="{00000000-0005-0000-0000-000067050000}"/>
    <cellStyle name="40% - Accent3 3 3 2" xfId="2910" xr:uid="{00000000-0005-0000-0000-000068050000}"/>
    <cellStyle name="40% - Accent3 3 3 2 2" xfId="7133" xr:uid="{00000000-0005-0000-0000-000069050000}"/>
    <cellStyle name="40% - Accent3 3 3 2 2 2" xfId="15575" xr:uid="{08138E15-C037-4EC8-A848-E4D79F964D4F}"/>
    <cellStyle name="40% - Accent3 3 3 2 3" xfId="11357" xr:uid="{0E86D192-8098-4B13-9478-FC9B42B0A11A}"/>
    <cellStyle name="40% - Accent3 3 3 3" xfId="4988" xr:uid="{00000000-0005-0000-0000-00006A050000}"/>
    <cellStyle name="40% - Accent3 3 3 3 2" xfId="13430" xr:uid="{CDE5903F-AA7E-45D8-A5E2-B2DD246B9046}"/>
    <cellStyle name="40% - Accent3 3 3 4" xfId="9212" xr:uid="{33532C58-CD62-4639-9E6C-7423694A4572}"/>
    <cellStyle name="40% - Accent3 3 4" xfId="1092" xr:uid="{00000000-0005-0000-0000-00006B050000}"/>
    <cellStyle name="40% - Accent3 3 4 2" xfId="3323" xr:uid="{00000000-0005-0000-0000-00006C050000}"/>
    <cellStyle name="40% - Accent3 3 4 2 2" xfId="7546" xr:uid="{00000000-0005-0000-0000-00006D050000}"/>
    <cellStyle name="40% - Accent3 3 4 2 2 2" xfId="15988" xr:uid="{30141564-2CE3-4AE7-9644-BF5695C3F721}"/>
    <cellStyle name="40% - Accent3 3 4 2 3" xfId="11770" xr:uid="{69FA1B6C-6B49-47EC-9B8E-8451C4C3D110}"/>
    <cellStyle name="40% - Accent3 3 4 3" xfId="5401" xr:uid="{00000000-0005-0000-0000-00006E050000}"/>
    <cellStyle name="40% - Accent3 3 4 3 2" xfId="13843" xr:uid="{32B948F9-EECF-45CC-9074-91B12BC404B9}"/>
    <cellStyle name="40% - Accent3 3 4 4" xfId="9625" xr:uid="{2E6318B3-4E43-4A84-8717-014C4ACD8815}"/>
    <cellStyle name="40% - Accent3 3 5" xfId="1506" xr:uid="{00000000-0005-0000-0000-00006F050000}"/>
    <cellStyle name="40% - Accent3 3 5 2" xfId="3736" xr:uid="{00000000-0005-0000-0000-000070050000}"/>
    <cellStyle name="40% - Accent3 3 5 2 2" xfId="7959" xr:uid="{00000000-0005-0000-0000-000071050000}"/>
    <cellStyle name="40% - Accent3 3 5 2 2 2" xfId="16401" xr:uid="{8DFCD85A-84C2-4DCE-B6C8-C5397ED6E8BD}"/>
    <cellStyle name="40% - Accent3 3 5 2 3" xfId="12183" xr:uid="{F793424E-5DF6-4460-B251-A42A91855437}"/>
    <cellStyle name="40% - Accent3 3 5 3" xfId="5814" xr:uid="{00000000-0005-0000-0000-000072050000}"/>
    <cellStyle name="40% - Accent3 3 5 3 2" xfId="14256" xr:uid="{22716DF3-5FBF-4B77-92CE-BB2A8612C98C}"/>
    <cellStyle name="40% - Accent3 3 5 4" xfId="10038" xr:uid="{43281EB3-84BB-4A34-ADF8-0868FA7E021A}"/>
    <cellStyle name="40% - Accent3 3 6" xfId="1920" xr:uid="{00000000-0005-0000-0000-000073050000}"/>
    <cellStyle name="40% - Accent3 3 6 2" xfId="4149" xr:uid="{00000000-0005-0000-0000-000074050000}"/>
    <cellStyle name="40% - Accent3 3 6 2 2" xfId="8372" xr:uid="{00000000-0005-0000-0000-000075050000}"/>
    <cellStyle name="40% - Accent3 3 6 2 2 2" xfId="16814" xr:uid="{AE5323E3-E03F-4AA6-B0D8-10EA8FC20084}"/>
    <cellStyle name="40% - Accent3 3 6 2 3" xfId="12596" xr:uid="{217C213A-BAAF-4FE0-8F90-FECD380BC124}"/>
    <cellStyle name="40% - Accent3 3 6 3" xfId="6227" xr:uid="{00000000-0005-0000-0000-000076050000}"/>
    <cellStyle name="40% - Accent3 3 6 3 2" xfId="14669" xr:uid="{205484D3-0D56-40EC-9E81-5C2AD8896E65}"/>
    <cellStyle name="40% - Accent3 3 6 4" xfId="10451" xr:uid="{59101B6D-CBFD-44AD-9760-58FBAC6B896F}"/>
    <cellStyle name="40% - Accent3 3 7" xfId="2333" xr:uid="{00000000-0005-0000-0000-000077050000}"/>
    <cellStyle name="40% - Accent3 3 7 2" xfId="6640" xr:uid="{00000000-0005-0000-0000-000078050000}"/>
    <cellStyle name="40% - Accent3 3 7 2 2" xfId="15082" xr:uid="{E9408F7E-AC15-4B3B-85D2-F50FD876DA97}"/>
    <cellStyle name="40% - Accent3 3 7 3" xfId="10864" xr:uid="{3D8718DC-8832-49D7-BDD6-7174BF27E056}"/>
    <cellStyle name="40% - Accent3 3 8" xfId="4574" xr:uid="{00000000-0005-0000-0000-000079050000}"/>
    <cellStyle name="40% - Accent3 3 8 2" xfId="13016" xr:uid="{F4D422B2-9F81-416F-B795-90FBC25ED309}"/>
    <cellStyle name="40% - Accent3 3 9" xfId="8798" xr:uid="{FED3DCF8-596E-437C-AF83-57300321B468}"/>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2 2 2" xfId="15577" xr:uid="{05F89288-A023-41E8-852B-36B0C2ED33E1}"/>
    <cellStyle name="40% - Accent3 4 2 2 3" xfId="11359" xr:uid="{952E800C-8CBF-4825-B2CE-BB0210AD1A7E}"/>
    <cellStyle name="40% - Accent3 4 2 3" xfId="4990" xr:uid="{00000000-0005-0000-0000-00007E050000}"/>
    <cellStyle name="40% - Accent3 4 2 3 2" xfId="13432" xr:uid="{4A177695-8837-4AD4-A5FC-7EAF21801A53}"/>
    <cellStyle name="40% - Accent3 4 2 4" xfId="9214" xr:uid="{2B8F4B30-C333-4260-B016-4FE21C654B4C}"/>
    <cellStyle name="40% - Accent3 4 3" xfId="1094" xr:uid="{00000000-0005-0000-0000-00007F050000}"/>
    <cellStyle name="40% - Accent3 4 3 2" xfId="3325" xr:uid="{00000000-0005-0000-0000-000080050000}"/>
    <cellStyle name="40% - Accent3 4 3 2 2" xfId="7548" xr:uid="{00000000-0005-0000-0000-000081050000}"/>
    <cellStyle name="40% - Accent3 4 3 2 2 2" xfId="15990" xr:uid="{9FBB10DA-95D1-478D-89A8-444AE94F6C0C}"/>
    <cellStyle name="40% - Accent3 4 3 2 3" xfId="11772" xr:uid="{8A445448-9CB8-442A-86A8-6A0C7E54CD75}"/>
    <cellStyle name="40% - Accent3 4 3 3" xfId="5403" xr:uid="{00000000-0005-0000-0000-000082050000}"/>
    <cellStyle name="40% - Accent3 4 3 3 2" xfId="13845" xr:uid="{9FC56980-8AFE-4FE0-8F4A-E1B874949A4D}"/>
    <cellStyle name="40% - Accent3 4 3 4" xfId="9627" xr:uid="{F791A039-891E-4949-AC38-FEF9F523EA06}"/>
    <cellStyle name="40% - Accent3 4 4" xfId="1508" xr:uid="{00000000-0005-0000-0000-000083050000}"/>
    <cellStyle name="40% - Accent3 4 4 2" xfId="3738" xr:uid="{00000000-0005-0000-0000-000084050000}"/>
    <cellStyle name="40% - Accent3 4 4 2 2" xfId="7961" xr:uid="{00000000-0005-0000-0000-000085050000}"/>
    <cellStyle name="40% - Accent3 4 4 2 2 2" xfId="16403" xr:uid="{26173392-E149-40C1-8999-9B32C473B2A1}"/>
    <cellStyle name="40% - Accent3 4 4 2 3" xfId="12185" xr:uid="{AE93FD90-9F2A-480B-84F3-F9D324ECFCEE}"/>
    <cellStyle name="40% - Accent3 4 4 3" xfId="5816" xr:uid="{00000000-0005-0000-0000-000086050000}"/>
    <cellStyle name="40% - Accent3 4 4 3 2" xfId="14258" xr:uid="{A3DE5B5B-E63E-4606-B0CC-FA0930DAE828}"/>
    <cellStyle name="40% - Accent3 4 4 4" xfId="10040" xr:uid="{063633D8-5C5A-44C7-B27A-8C02A5958DB6}"/>
    <cellStyle name="40% - Accent3 4 5" xfId="1922" xr:uid="{00000000-0005-0000-0000-000087050000}"/>
    <cellStyle name="40% - Accent3 4 5 2" xfId="4151" xr:uid="{00000000-0005-0000-0000-000088050000}"/>
    <cellStyle name="40% - Accent3 4 5 2 2" xfId="8374" xr:uid="{00000000-0005-0000-0000-000089050000}"/>
    <cellStyle name="40% - Accent3 4 5 2 2 2" xfId="16816" xr:uid="{28F452A4-201B-4639-AAD9-D417854728ED}"/>
    <cellStyle name="40% - Accent3 4 5 2 3" xfId="12598" xr:uid="{960C68D3-F91F-47E6-8F95-8E4A32ABCAEE}"/>
    <cellStyle name="40% - Accent3 4 5 3" xfId="6229" xr:uid="{00000000-0005-0000-0000-00008A050000}"/>
    <cellStyle name="40% - Accent3 4 5 3 2" xfId="14671" xr:uid="{D583D276-F8CF-4D11-98F4-21DFA42FD5ED}"/>
    <cellStyle name="40% - Accent3 4 5 4" xfId="10453" xr:uid="{7BF45712-B113-4E3C-8717-00907A4557FC}"/>
    <cellStyle name="40% - Accent3 4 6" xfId="2335" xr:uid="{00000000-0005-0000-0000-00008B050000}"/>
    <cellStyle name="40% - Accent3 4 6 2" xfId="6642" xr:uid="{00000000-0005-0000-0000-00008C050000}"/>
    <cellStyle name="40% - Accent3 4 6 2 2" xfId="15084" xr:uid="{B711C358-0640-466F-B4AE-C974D2679A04}"/>
    <cellStyle name="40% - Accent3 4 6 3" xfId="10866" xr:uid="{9B1294CB-A37B-4C7C-82C5-14D05F3DBE87}"/>
    <cellStyle name="40% - Accent3 4 7" xfId="4576" xr:uid="{00000000-0005-0000-0000-00008D050000}"/>
    <cellStyle name="40% - Accent3 4 7 2" xfId="13018" xr:uid="{EE8C08F8-A45B-4B00-919C-AC23451AAC38}"/>
    <cellStyle name="40% - Accent3 4 8" xfId="8800" xr:uid="{E6221CF4-2B97-41DF-9C92-FF418B5DE3A8}"/>
    <cellStyle name="40% - Accent3 5" xfId="634" xr:uid="{00000000-0005-0000-0000-00008E050000}"/>
    <cellStyle name="40% - Accent3 5 2" xfId="2905" xr:uid="{00000000-0005-0000-0000-00008F050000}"/>
    <cellStyle name="40% - Accent3 5 2 2" xfId="7128" xr:uid="{00000000-0005-0000-0000-000090050000}"/>
    <cellStyle name="40% - Accent3 5 2 2 2" xfId="15570" xr:uid="{D1CF54F9-849C-4722-82AD-E99A3299F362}"/>
    <cellStyle name="40% - Accent3 5 2 3" xfId="11352" xr:uid="{CADD7038-8D64-4BDC-B9DE-4D06532B7685}"/>
    <cellStyle name="40% - Accent3 5 3" xfId="4983" xr:uid="{00000000-0005-0000-0000-000091050000}"/>
    <cellStyle name="40% - Accent3 5 3 2" xfId="13425" xr:uid="{3ECBE5C0-DAC4-4077-B841-5ACB35EA54DF}"/>
    <cellStyle name="40% - Accent3 5 4" xfId="9207" xr:uid="{E25738E1-E5A5-4801-ADCC-2A51F765E335}"/>
    <cellStyle name="40% - Accent3 6" xfId="1087" xr:uid="{00000000-0005-0000-0000-000092050000}"/>
    <cellStyle name="40% - Accent3 6 2" xfId="3318" xr:uid="{00000000-0005-0000-0000-000093050000}"/>
    <cellStyle name="40% - Accent3 6 2 2" xfId="7541" xr:uid="{00000000-0005-0000-0000-000094050000}"/>
    <cellStyle name="40% - Accent3 6 2 2 2" xfId="15983" xr:uid="{9D45FDAF-5C64-4926-A125-153BD56355EB}"/>
    <cellStyle name="40% - Accent3 6 2 3" xfId="11765" xr:uid="{F30FE3F7-37FB-4BE3-9944-2DBF1FFF8088}"/>
    <cellStyle name="40% - Accent3 6 3" xfId="5396" xr:uid="{00000000-0005-0000-0000-000095050000}"/>
    <cellStyle name="40% - Accent3 6 3 2" xfId="13838" xr:uid="{D54A4E7A-D104-4771-AEEB-6042ACE8EE46}"/>
    <cellStyle name="40% - Accent3 6 4" xfId="9620" xr:uid="{EB3ED542-5179-4C5E-B789-3ED6E002ADDC}"/>
    <cellStyle name="40% - Accent3 7" xfId="1501" xr:uid="{00000000-0005-0000-0000-000096050000}"/>
    <cellStyle name="40% - Accent3 7 2" xfId="3731" xr:uid="{00000000-0005-0000-0000-000097050000}"/>
    <cellStyle name="40% - Accent3 7 2 2" xfId="7954" xr:uid="{00000000-0005-0000-0000-000098050000}"/>
    <cellStyle name="40% - Accent3 7 2 2 2" xfId="16396" xr:uid="{C970D1E4-C4B5-42EF-AB20-4BDE2AF79069}"/>
    <cellStyle name="40% - Accent3 7 2 3" xfId="12178" xr:uid="{C81C25EF-9A16-4FAB-A96D-C35AF1A46B3E}"/>
    <cellStyle name="40% - Accent3 7 3" xfId="5809" xr:uid="{00000000-0005-0000-0000-000099050000}"/>
    <cellStyle name="40% - Accent3 7 3 2" xfId="14251" xr:uid="{7046E844-CF86-4182-BEE9-5FE096AD1E8B}"/>
    <cellStyle name="40% - Accent3 7 4" xfId="10033" xr:uid="{DB77A235-A68E-4BC6-BFC6-DD78DAF9AD51}"/>
    <cellStyle name="40% - Accent3 8" xfId="1915" xr:uid="{00000000-0005-0000-0000-00009A050000}"/>
    <cellStyle name="40% - Accent3 8 2" xfId="4144" xr:uid="{00000000-0005-0000-0000-00009B050000}"/>
    <cellStyle name="40% - Accent3 8 2 2" xfId="8367" xr:uid="{00000000-0005-0000-0000-00009C050000}"/>
    <cellStyle name="40% - Accent3 8 2 2 2" xfId="16809" xr:uid="{247025D2-BD05-4D41-AC96-F536BDCCCFD0}"/>
    <cellStyle name="40% - Accent3 8 2 3" xfId="12591" xr:uid="{5CA70959-6E0F-4449-BED6-2CDD4D0F8B50}"/>
    <cellStyle name="40% - Accent3 8 3" xfId="6222" xr:uid="{00000000-0005-0000-0000-00009D050000}"/>
    <cellStyle name="40% - Accent3 8 3 2" xfId="14664" xr:uid="{37DC917B-4A09-4BCB-9F5A-59DF7E02FBDE}"/>
    <cellStyle name="40% - Accent3 8 4" xfId="10446" xr:uid="{A0948C7B-D9A7-411E-8F48-6EF464D86F88}"/>
    <cellStyle name="40% - Accent3 9" xfId="2328" xr:uid="{00000000-0005-0000-0000-00009E050000}"/>
    <cellStyle name="40% - Accent3 9 2" xfId="6635" xr:uid="{00000000-0005-0000-0000-00009F050000}"/>
    <cellStyle name="40% - Accent3 9 2 2" xfId="15077" xr:uid="{4E97A790-80DD-4508-AF6E-9B8CEF7EF008}"/>
    <cellStyle name="40% - Accent3 9 3" xfId="10859" xr:uid="{1CC332D0-EDC3-4246-908F-E350E5547E74}"/>
    <cellStyle name="40% - Accent4" xfId="73" builtinId="43" customBuiltin="1"/>
    <cellStyle name="40% - Accent4 10" xfId="4577" xr:uid="{00000000-0005-0000-0000-0000A1050000}"/>
    <cellStyle name="40% - Accent4 10 2" xfId="13019" xr:uid="{726E4D73-2CAF-422F-A137-DD77066F80C0}"/>
    <cellStyle name="40% - Accent4 11" xfId="8801" xr:uid="{FB1C7F8D-6DEC-41E8-A405-4AF0AFB58081}"/>
    <cellStyle name="40% - Accent4 2" xfId="74" xr:uid="{00000000-0005-0000-0000-0000A2050000}"/>
    <cellStyle name="40% - Accent4 2 10" xfId="8802" xr:uid="{AEE97715-97D4-4E39-9860-94F5A94AD7A4}"/>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2 2 2" xfId="15581" xr:uid="{8A8AD259-8EA2-4DA4-B089-E8D3D0668044}"/>
    <cellStyle name="40% - Accent4 2 2 2 2 2 3" xfId="11363" xr:uid="{3E9116A7-553E-44CC-923C-C9A7F01C6BA4}"/>
    <cellStyle name="40% - Accent4 2 2 2 2 3" xfId="4994" xr:uid="{00000000-0005-0000-0000-0000A8050000}"/>
    <cellStyle name="40% - Accent4 2 2 2 2 3 2" xfId="13436" xr:uid="{98E9007E-6870-4E2A-967D-80EECD216FF8}"/>
    <cellStyle name="40% - Accent4 2 2 2 2 4" xfId="9218" xr:uid="{E2DF3EE8-3221-49F3-9B1F-8B60BAEF3128}"/>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2 2 2" xfId="15994" xr:uid="{E6FC3826-1D73-4733-B29A-EB3F0833DB2A}"/>
    <cellStyle name="40% - Accent4 2 2 2 3 2 3" xfId="11776" xr:uid="{E405A33B-2C20-4C9E-8DFA-5F4FACAA55DE}"/>
    <cellStyle name="40% - Accent4 2 2 2 3 3" xfId="5407" xr:uid="{00000000-0005-0000-0000-0000AC050000}"/>
    <cellStyle name="40% - Accent4 2 2 2 3 3 2" xfId="13849" xr:uid="{9022A941-0219-4295-85F2-E745863F7D2E}"/>
    <cellStyle name="40% - Accent4 2 2 2 3 4" xfId="9631" xr:uid="{952F5416-A608-4D2D-8657-3AA6AF4B8392}"/>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2 2 2" xfId="16407" xr:uid="{63101864-85B5-4208-8799-CDB08E54C0C9}"/>
    <cellStyle name="40% - Accent4 2 2 2 4 2 3" xfId="12189" xr:uid="{F0915A38-6177-4360-9CD1-F46AC1BD4836}"/>
    <cellStyle name="40% - Accent4 2 2 2 4 3" xfId="5820" xr:uid="{00000000-0005-0000-0000-0000B0050000}"/>
    <cellStyle name="40% - Accent4 2 2 2 4 3 2" xfId="14262" xr:uid="{C81A7BC5-2179-4F21-806E-824D0452DFDB}"/>
    <cellStyle name="40% - Accent4 2 2 2 4 4" xfId="10044" xr:uid="{4BEFAEE2-9A04-4A80-BEF8-09C7139D08FE}"/>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2 2 2" xfId="16820" xr:uid="{B227BF17-290C-466F-B3E6-D3653E64425A}"/>
    <cellStyle name="40% - Accent4 2 2 2 5 2 3" xfId="12602" xr:uid="{52E4FDC1-19FD-4A93-B5DB-409C400086FE}"/>
    <cellStyle name="40% - Accent4 2 2 2 5 3" xfId="6233" xr:uid="{00000000-0005-0000-0000-0000B4050000}"/>
    <cellStyle name="40% - Accent4 2 2 2 5 3 2" xfId="14675" xr:uid="{890CD3F4-EFD4-421E-918B-FFF1461FAE82}"/>
    <cellStyle name="40% - Accent4 2 2 2 5 4" xfId="10457" xr:uid="{35B8B91E-93B8-4FF1-B86D-2DABA0A072F8}"/>
    <cellStyle name="40% - Accent4 2 2 2 6" xfId="2339" xr:uid="{00000000-0005-0000-0000-0000B5050000}"/>
    <cellStyle name="40% - Accent4 2 2 2 6 2" xfId="6646" xr:uid="{00000000-0005-0000-0000-0000B6050000}"/>
    <cellStyle name="40% - Accent4 2 2 2 6 2 2" xfId="15088" xr:uid="{1D68EC28-D0B9-4994-A5D4-83DF2EA2B4F2}"/>
    <cellStyle name="40% - Accent4 2 2 2 6 3" xfId="10870" xr:uid="{82B27026-3D9F-46E8-A5A3-21F7F4041562}"/>
    <cellStyle name="40% - Accent4 2 2 2 7" xfId="4580" xr:uid="{00000000-0005-0000-0000-0000B7050000}"/>
    <cellStyle name="40% - Accent4 2 2 2 7 2" xfId="13022" xr:uid="{97340A03-AA79-4CC1-A5CF-630B42DA2BD0}"/>
    <cellStyle name="40% - Accent4 2 2 2 8" xfId="8804" xr:uid="{51232C21-94E5-461A-8B69-52CC3657E3C2}"/>
    <cellStyle name="40% - Accent4 2 2 3" xfId="644" xr:uid="{00000000-0005-0000-0000-0000B8050000}"/>
    <cellStyle name="40% - Accent4 2 2 3 2" xfId="2915" xr:uid="{00000000-0005-0000-0000-0000B9050000}"/>
    <cellStyle name="40% - Accent4 2 2 3 2 2" xfId="7138" xr:uid="{00000000-0005-0000-0000-0000BA050000}"/>
    <cellStyle name="40% - Accent4 2 2 3 2 2 2" xfId="15580" xr:uid="{61F9BAD6-C1A5-4A49-BA82-014C40603B4A}"/>
    <cellStyle name="40% - Accent4 2 2 3 2 3" xfId="11362" xr:uid="{55DDF9E6-E7A0-4C35-B707-8AEA509FD9A3}"/>
    <cellStyle name="40% - Accent4 2 2 3 3" xfId="4993" xr:uid="{00000000-0005-0000-0000-0000BB050000}"/>
    <cellStyle name="40% - Accent4 2 2 3 3 2" xfId="13435" xr:uid="{5A0620C6-31F4-4D6B-9EA0-CA47265C0FBD}"/>
    <cellStyle name="40% - Accent4 2 2 3 4" xfId="9217" xr:uid="{E5D1FE78-C8BE-4859-923F-D794C59EFEDA}"/>
    <cellStyle name="40% - Accent4 2 2 4" xfId="1097" xr:uid="{00000000-0005-0000-0000-0000BC050000}"/>
    <cellStyle name="40% - Accent4 2 2 4 2" xfId="3328" xr:uid="{00000000-0005-0000-0000-0000BD050000}"/>
    <cellStyle name="40% - Accent4 2 2 4 2 2" xfId="7551" xr:uid="{00000000-0005-0000-0000-0000BE050000}"/>
    <cellStyle name="40% - Accent4 2 2 4 2 2 2" xfId="15993" xr:uid="{814CF8A0-B5FA-489E-A21E-45D36D7EF432}"/>
    <cellStyle name="40% - Accent4 2 2 4 2 3" xfId="11775" xr:uid="{E226613F-134D-40B6-B991-1F31ADF8E91E}"/>
    <cellStyle name="40% - Accent4 2 2 4 3" xfId="5406" xr:uid="{00000000-0005-0000-0000-0000BF050000}"/>
    <cellStyle name="40% - Accent4 2 2 4 3 2" xfId="13848" xr:uid="{BFE3358C-23F5-4D12-860F-DA162BC997D6}"/>
    <cellStyle name="40% - Accent4 2 2 4 4" xfId="9630" xr:uid="{D089DF16-9DE0-4EBE-B6D8-696C97E80526}"/>
    <cellStyle name="40% - Accent4 2 2 5" xfId="1511" xr:uid="{00000000-0005-0000-0000-0000C0050000}"/>
    <cellStyle name="40% - Accent4 2 2 5 2" xfId="3741" xr:uid="{00000000-0005-0000-0000-0000C1050000}"/>
    <cellStyle name="40% - Accent4 2 2 5 2 2" xfId="7964" xr:uid="{00000000-0005-0000-0000-0000C2050000}"/>
    <cellStyle name="40% - Accent4 2 2 5 2 2 2" xfId="16406" xr:uid="{D9487731-DAC5-4176-986F-CDF1974743C7}"/>
    <cellStyle name="40% - Accent4 2 2 5 2 3" xfId="12188" xr:uid="{AFF12799-8277-4062-8A4A-DE35D94D4A3C}"/>
    <cellStyle name="40% - Accent4 2 2 5 3" xfId="5819" xr:uid="{00000000-0005-0000-0000-0000C3050000}"/>
    <cellStyle name="40% - Accent4 2 2 5 3 2" xfId="14261" xr:uid="{17FF2F77-8A71-4626-9506-51814BD387E9}"/>
    <cellStyle name="40% - Accent4 2 2 5 4" xfId="10043" xr:uid="{05CB61B3-5489-4C84-B209-07CCC4ED8F13}"/>
    <cellStyle name="40% - Accent4 2 2 6" xfId="1925" xr:uid="{00000000-0005-0000-0000-0000C4050000}"/>
    <cellStyle name="40% - Accent4 2 2 6 2" xfId="4154" xr:uid="{00000000-0005-0000-0000-0000C5050000}"/>
    <cellStyle name="40% - Accent4 2 2 6 2 2" xfId="8377" xr:uid="{00000000-0005-0000-0000-0000C6050000}"/>
    <cellStyle name="40% - Accent4 2 2 6 2 2 2" xfId="16819" xr:uid="{B7586C8D-7276-4080-BB68-76D95711AD54}"/>
    <cellStyle name="40% - Accent4 2 2 6 2 3" xfId="12601" xr:uid="{AF8A0E17-1531-44C7-A5AF-2AF32F26AC2F}"/>
    <cellStyle name="40% - Accent4 2 2 6 3" xfId="6232" xr:uid="{00000000-0005-0000-0000-0000C7050000}"/>
    <cellStyle name="40% - Accent4 2 2 6 3 2" xfId="14674" xr:uid="{4ABEE015-C2E7-4B31-A72B-333514CAE36D}"/>
    <cellStyle name="40% - Accent4 2 2 6 4" xfId="10456" xr:uid="{71E29747-6C41-42AC-8526-F424AE677E9B}"/>
    <cellStyle name="40% - Accent4 2 2 7" xfId="2338" xr:uid="{00000000-0005-0000-0000-0000C8050000}"/>
    <cellStyle name="40% - Accent4 2 2 7 2" xfId="6645" xr:uid="{00000000-0005-0000-0000-0000C9050000}"/>
    <cellStyle name="40% - Accent4 2 2 7 2 2" xfId="15087" xr:uid="{F916E6DB-E006-4881-A5E8-62F63020F117}"/>
    <cellStyle name="40% - Accent4 2 2 7 3" xfId="10869" xr:uid="{CED44071-F028-443A-A496-C6C3673B3C87}"/>
    <cellStyle name="40% - Accent4 2 2 8" xfId="4579" xr:uid="{00000000-0005-0000-0000-0000CA050000}"/>
    <cellStyle name="40% - Accent4 2 2 8 2" xfId="13021" xr:uid="{8BBBE786-ECCF-4732-A314-D9626D8C9900}"/>
    <cellStyle name="40% - Accent4 2 2 9" xfId="8803" xr:uid="{1EF1216F-1A67-46E5-9660-5DEFF2601C7D}"/>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2 2 2" xfId="15582" xr:uid="{EF5EFCA5-66BA-45C0-9FD4-1EF65B73E2E6}"/>
    <cellStyle name="40% - Accent4 2 3 2 2 3" xfId="11364" xr:uid="{79A7BC61-AFE7-49CA-8B52-240CFF62D84E}"/>
    <cellStyle name="40% - Accent4 2 3 2 3" xfId="4995" xr:uid="{00000000-0005-0000-0000-0000CF050000}"/>
    <cellStyle name="40% - Accent4 2 3 2 3 2" xfId="13437" xr:uid="{D2A406D0-27A8-4181-8BA5-07E66DCC536F}"/>
    <cellStyle name="40% - Accent4 2 3 2 4" xfId="9219" xr:uid="{2B344324-F8C4-4F08-9B56-4BCDC1AD7858}"/>
    <cellStyle name="40% - Accent4 2 3 3" xfId="1099" xr:uid="{00000000-0005-0000-0000-0000D0050000}"/>
    <cellStyle name="40% - Accent4 2 3 3 2" xfId="3330" xr:uid="{00000000-0005-0000-0000-0000D1050000}"/>
    <cellStyle name="40% - Accent4 2 3 3 2 2" xfId="7553" xr:uid="{00000000-0005-0000-0000-0000D2050000}"/>
    <cellStyle name="40% - Accent4 2 3 3 2 2 2" xfId="15995" xr:uid="{99428D34-5EDF-4EA5-BC49-91D035EA6FF0}"/>
    <cellStyle name="40% - Accent4 2 3 3 2 3" xfId="11777" xr:uid="{64F824B5-548D-46C7-A7A4-EBFD46B1BE5D}"/>
    <cellStyle name="40% - Accent4 2 3 3 3" xfId="5408" xr:uid="{00000000-0005-0000-0000-0000D3050000}"/>
    <cellStyle name="40% - Accent4 2 3 3 3 2" xfId="13850" xr:uid="{78004DE2-2BE3-4471-BC2C-2ED8D2C955B3}"/>
    <cellStyle name="40% - Accent4 2 3 3 4" xfId="9632" xr:uid="{4A19171E-3623-400D-AF95-9BB56BEB4FF9}"/>
    <cellStyle name="40% - Accent4 2 3 4" xfId="1513" xr:uid="{00000000-0005-0000-0000-0000D4050000}"/>
    <cellStyle name="40% - Accent4 2 3 4 2" xfId="3743" xr:uid="{00000000-0005-0000-0000-0000D5050000}"/>
    <cellStyle name="40% - Accent4 2 3 4 2 2" xfId="7966" xr:uid="{00000000-0005-0000-0000-0000D6050000}"/>
    <cellStyle name="40% - Accent4 2 3 4 2 2 2" xfId="16408" xr:uid="{0C06167C-6CC9-404D-A9B2-67041B69EBC6}"/>
    <cellStyle name="40% - Accent4 2 3 4 2 3" xfId="12190" xr:uid="{BFB01ED7-A5C3-459A-8B20-E084D042F973}"/>
    <cellStyle name="40% - Accent4 2 3 4 3" xfId="5821" xr:uid="{00000000-0005-0000-0000-0000D7050000}"/>
    <cellStyle name="40% - Accent4 2 3 4 3 2" xfId="14263" xr:uid="{9F8B884F-2123-46F2-9D30-3A68551102C6}"/>
    <cellStyle name="40% - Accent4 2 3 4 4" xfId="10045" xr:uid="{5F4A10F9-71EE-474C-9988-BC4ECE08429F}"/>
    <cellStyle name="40% - Accent4 2 3 5" xfId="1927" xr:uid="{00000000-0005-0000-0000-0000D8050000}"/>
    <cellStyle name="40% - Accent4 2 3 5 2" xfId="4156" xr:uid="{00000000-0005-0000-0000-0000D9050000}"/>
    <cellStyle name="40% - Accent4 2 3 5 2 2" xfId="8379" xr:uid="{00000000-0005-0000-0000-0000DA050000}"/>
    <cellStyle name="40% - Accent4 2 3 5 2 2 2" xfId="16821" xr:uid="{29DB7643-39A0-4867-B29E-00DDE848E004}"/>
    <cellStyle name="40% - Accent4 2 3 5 2 3" xfId="12603" xr:uid="{80C00E1C-6CB2-40F7-AAF3-74BD1174B3AF}"/>
    <cellStyle name="40% - Accent4 2 3 5 3" xfId="6234" xr:uid="{00000000-0005-0000-0000-0000DB050000}"/>
    <cellStyle name="40% - Accent4 2 3 5 3 2" xfId="14676" xr:uid="{E5F5A620-BAEA-42F3-9D3B-3776F54D7E00}"/>
    <cellStyle name="40% - Accent4 2 3 5 4" xfId="10458" xr:uid="{8EEEC463-4BA1-4A2D-9FA0-B713FFB1EE10}"/>
    <cellStyle name="40% - Accent4 2 3 6" xfId="2340" xr:uid="{00000000-0005-0000-0000-0000DC050000}"/>
    <cellStyle name="40% - Accent4 2 3 6 2" xfId="6647" xr:uid="{00000000-0005-0000-0000-0000DD050000}"/>
    <cellStyle name="40% - Accent4 2 3 6 2 2" xfId="15089" xr:uid="{CD8C16CF-B603-47A9-88C7-9ED11843F401}"/>
    <cellStyle name="40% - Accent4 2 3 6 3" xfId="10871" xr:uid="{8EFA62FA-261E-46DA-B9CD-C04175867063}"/>
    <cellStyle name="40% - Accent4 2 3 7" xfId="4581" xr:uid="{00000000-0005-0000-0000-0000DE050000}"/>
    <cellStyle name="40% - Accent4 2 3 7 2" xfId="13023" xr:uid="{EF4D0EC1-6164-49A9-A2C0-BEA054D8A395}"/>
    <cellStyle name="40% - Accent4 2 3 8" xfId="8805" xr:uid="{66C2928F-33B8-4EC2-9E93-B1314B919830}"/>
    <cellStyle name="40% - Accent4 2 4" xfId="643" xr:uid="{00000000-0005-0000-0000-0000DF050000}"/>
    <cellStyle name="40% - Accent4 2 4 2" xfId="2914" xr:uid="{00000000-0005-0000-0000-0000E0050000}"/>
    <cellStyle name="40% - Accent4 2 4 2 2" xfId="7137" xr:uid="{00000000-0005-0000-0000-0000E1050000}"/>
    <cellStyle name="40% - Accent4 2 4 2 2 2" xfId="15579" xr:uid="{2C8F8A2D-A09D-43E6-915A-4D441EC674C6}"/>
    <cellStyle name="40% - Accent4 2 4 2 3" xfId="11361" xr:uid="{ACF762D9-1C5C-415E-879B-DF55174FCB06}"/>
    <cellStyle name="40% - Accent4 2 4 3" xfId="4992" xr:uid="{00000000-0005-0000-0000-0000E2050000}"/>
    <cellStyle name="40% - Accent4 2 4 3 2" xfId="13434" xr:uid="{8E356760-3C50-4A04-BCAC-943B56A2EA3F}"/>
    <cellStyle name="40% - Accent4 2 4 4" xfId="9216" xr:uid="{C067787E-D0E5-4E4A-B77D-768139367B36}"/>
    <cellStyle name="40% - Accent4 2 5" xfId="1096" xr:uid="{00000000-0005-0000-0000-0000E3050000}"/>
    <cellStyle name="40% - Accent4 2 5 2" xfId="3327" xr:uid="{00000000-0005-0000-0000-0000E4050000}"/>
    <cellStyle name="40% - Accent4 2 5 2 2" xfId="7550" xr:uid="{00000000-0005-0000-0000-0000E5050000}"/>
    <cellStyle name="40% - Accent4 2 5 2 2 2" xfId="15992" xr:uid="{3FD8F9B8-E53C-46DF-AF5F-E24406349AAC}"/>
    <cellStyle name="40% - Accent4 2 5 2 3" xfId="11774" xr:uid="{8AAF317E-AEB5-4BD9-BD2D-168737BCB363}"/>
    <cellStyle name="40% - Accent4 2 5 3" xfId="5405" xr:uid="{00000000-0005-0000-0000-0000E6050000}"/>
    <cellStyle name="40% - Accent4 2 5 3 2" xfId="13847" xr:uid="{0D42030F-DB83-4A5B-AE86-61C589AF4CD7}"/>
    <cellStyle name="40% - Accent4 2 5 4" xfId="9629" xr:uid="{8CCC38BA-6873-4EC5-94E7-2756B44946AA}"/>
    <cellStyle name="40% - Accent4 2 6" xfId="1510" xr:uid="{00000000-0005-0000-0000-0000E7050000}"/>
    <cellStyle name="40% - Accent4 2 6 2" xfId="3740" xr:uid="{00000000-0005-0000-0000-0000E8050000}"/>
    <cellStyle name="40% - Accent4 2 6 2 2" xfId="7963" xr:uid="{00000000-0005-0000-0000-0000E9050000}"/>
    <cellStyle name="40% - Accent4 2 6 2 2 2" xfId="16405" xr:uid="{171CBBE1-FB7D-4E91-897A-296059D2AB23}"/>
    <cellStyle name="40% - Accent4 2 6 2 3" xfId="12187" xr:uid="{0CFD1347-0B9B-4BF5-81F1-30736B4AD0D8}"/>
    <cellStyle name="40% - Accent4 2 6 3" xfId="5818" xr:uid="{00000000-0005-0000-0000-0000EA050000}"/>
    <cellStyle name="40% - Accent4 2 6 3 2" xfId="14260" xr:uid="{7AE9215B-9E04-4BD7-9921-836054E46D18}"/>
    <cellStyle name="40% - Accent4 2 6 4" xfId="10042" xr:uid="{5E80EC4A-3DB8-4597-946B-3653BC488B94}"/>
    <cellStyle name="40% - Accent4 2 7" xfId="1924" xr:uid="{00000000-0005-0000-0000-0000EB050000}"/>
    <cellStyle name="40% - Accent4 2 7 2" xfId="4153" xr:uid="{00000000-0005-0000-0000-0000EC050000}"/>
    <cellStyle name="40% - Accent4 2 7 2 2" xfId="8376" xr:uid="{00000000-0005-0000-0000-0000ED050000}"/>
    <cellStyle name="40% - Accent4 2 7 2 2 2" xfId="16818" xr:uid="{6BED8BF2-C55D-41F2-B793-3C668CBC72AD}"/>
    <cellStyle name="40% - Accent4 2 7 2 3" xfId="12600" xr:uid="{18228189-4FD4-4394-9357-15AC99B60705}"/>
    <cellStyle name="40% - Accent4 2 7 3" xfId="6231" xr:uid="{00000000-0005-0000-0000-0000EE050000}"/>
    <cellStyle name="40% - Accent4 2 7 3 2" xfId="14673" xr:uid="{C51E0286-4B60-4064-8608-2492160BF91A}"/>
    <cellStyle name="40% - Accent4 2 7 4" xfId="10455" xr:uid="{E5BABB20-4BA9-498D-92B2-236F95CB8EFF}"/>
    <cellStyle name="40% - Accent4 2 8" xfId="2337" xr:uid="{00000000-0005-0000-0000-0000EF050000}"/>
    <cellStyle name="40% - Accent4 2 8 2" xfId="6644" xr:uid="{00000000-0005-0000-0000-0000F0050000}"/>
    <cellStyle name="40% - Accent4 2 8 2 2" xfId="15086" xr:uid="{0CF95746-3078-40B3-8D70-3ADB165FF4E9}"/>
    <cellStyle name="40% - Accent4 2 8 3" xfId="10868" xr:uid="{20D58A29-94BA-454A-B4CB-F54D6DDF8F4A}"/>
    <cellStyle name="40% - Accent4 2 9" xfId="4578" xr:uid="{00000000-0005-0000-0000-0000F1050000}"/>
    <cellStyle name="40% - Accent4 2 9 2" xfId="13020" xr:uid="{7D075C1C-A06F-4479-862D-8B0AE753AF25}"/>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2 2 2" xfId="15584" xr:uid="{789F9CA1-5F1F-4CBD-9DFA-5C503598A35B}"/>
    <cellStyle name="40% - Accent4 3 2 2 2 3" xfId="11366" xr:uid="{4DD85843-5F39-40AA-9416-4F7CE62FDF44}"/>
    <cellStyle name="40% - Accent4 3 2 2 3" xfId="4997" xr:uid="{00000000-0005-0000-0000-0000F7050000}"/>
    <cellStyle name="40% - Accent4 3 2 2 3 2" xfId="13439" xr:uid="{450141E3-FAA4-4E95-B528-3FFF704994EF}"/>
    <cellStyle name="40% - Accent4 3 2 2 4" xfId="9221" xr:uid="{C918A331-E792-41E6-8DB6-CB2A38ECDF4E}"/>
    <cellStyle name="40% - Accent4 3 2 3" xfId="1101" xr:uid="{00000000-0005-0000-0000-0000F8050000}"/>
    <cellStyle name="40% - Accent4 3 2 3 2" xfId="3332" xr:uid="{00000000-0005-0000-0000-0000F9050000}"/>
    <cellStyle name="40% - Accent4 3 2 3 2 2" xfId="7555" xr:uid="{00000000-0005-0000-0000-0000FA050000}"/>
    <cellStyle name="40% - Accent4 3 2 3 2 2 2" xfId="15997" xr:uid="{8860B067-8423-4C71-9E80-8BA0D19D8975}"/>
    <cellStyle name="40% - Accent4 3 2 3 2 3" xfId="11779" xr:uid="{519DC02A-FA2A-4B29-A06D-F02C565ADE02}"/>
    <cellStyle name="40% - Accent4 3 2 3 3" xfId="5410" xr:uid="{00000000-0005-0000-0000-0000FB050000}"/>
    <cellStyle name="40% - Accent4 3 2 3 3 2" xfId="13852" xr:uid="{0D06BB36-20C1-4C6C-A35D-C36003649C4E}"/>
    <cellStyle name="40% - Accent4 3 2 3 4" xfId="9634" xr:uid="{6FE35621-E1AF-4BD5-B7DF-1113F4739AC2}"/>
    <cellStyle name="40% - Accent4 3 2 4" xfId="1515" xr:uid="{00000000-0005-0000-0000-0000FC050000}"/>
    <cellStyle name="40% - Accent4 3 2 4 2" xfId="3745" xr:uid="{00000000-0005-0000-0000-0000FD050000}"/>
    <cellStyle name="40% - Accent4 3 2 4 2 2" xfId="7968" xr:uid="{00000000-0005-0000-0000-0000FE050000}"/>
    <cellStyle name="40% - Accent4 3 2 4 2 2 2" xfId="16410" xr:uid="{9702AEF8-C52F-4DCD-A2E5-2C42D6BFE58F}"/>
    <cellStyle name="40% - Accent4 3 2 4 2 3" xfId="12192" xr:uid="{D5F4C1A3-F6EF-45EF-BF7C-1F70DBEA76C6}"/>
    <cellStyle name="40% - Accent4 3 2 4 3" xfId="5823" xr:uid="{00000000-0005-0000-0000-0000FF050000}"/>
    <cellStyle name="40% - Accent4 3 2 4 3 2" xfId="14265" xr:uid="{4FD1FE35-ED6B-4F45-AD58-B069A9635058}"/>
    <cellStyle name="40% - Accent4 3 2 4 4" xfId="10047" xr:uid="{51ED9D4F-61C1-4804-8BEA-19859381078E}"/>
    <cellStyle name="40% - Accent4 3 2 5" xfId="1929" xr:uid="{00000000-0005-0000-0000-000000060000}"/>
    <cellStyle name="40% - Accent4 3 2 5 2" xfId="4158" xr:uid="{00000000-0005-0000-0000-000001060000}"/>
    <cellStyle name="40% - Accent4 3 2 5 2 2" xfId="8381" xr:uid="{00000000-0005-0000-0000-000002060000}"/>
    <cellStyle name="40% - Accent4 3 2 5 2 2 2" xfId="16823" xr:uid="{56E5F860-4184-4D64-A5E5-EE4DDCA884BC}"/>
    <cellStyle name="40% - Accent4 3 2 5 2 3" xfId="12605" xr:uid="{2C9D3F57-2A7F-4B7D-9B14-704415CA10C4}"/>
    <cellStyle name="40% - Accent4 3 2 5 3" xfId="6236" xr:uid="{00000000-0005-0000-0000-000003060000}"/>
    <cellStyle name="40% - Accent4 3 2 5 3 2" xfId="14678" xr:uid="{07F44756-A4AA-406A-95BC-B5242BA17476}"/>
    <cellStyle name="40% - Accent4 3 2 5 4" xfId="10460" xr:uid="{97F4A3B6-9DF4-4E65-A18E-AD5401F1F316}"/>
    <cellStyle name="40% - Accent4 3 2 6" xfId="2342" xr:uid="{00000000-0005-0000-0000-000004060000}"/>
    <cellStyle name="40% - Accent4 3 2 6 2" xfId="6649" xr:uid="{00000000-0005-0000-0000-000005060000}"/>
    <cellStyle name="40% - Accent4 3 2 6 2 2" xfId="15091" xr:uid="{97F8E8CB-6A0A-4E7A-B552-43C6ED41589F}"/>
    <cellStyle name="40% - Accent4 3 2 6 3" xfId="10873" xr:uid="{F5749621-4EEF-48A6-895C-D9827331BCA5}"/>
    <cellStyle name="40% - Accent4 3 2 7" xfId="4583" xr:uid="{00000000-0005-0000-0000-000006060000}"/>
    <cellStyle name="40% - Accent4 3 2 7 2" xfId="13025" xr:uid="{58573FB5-2B7E-4141-8F4D-509D9AC54779}"/>
    <cellStyle name="40% - Accent4 3 2 8" xfId="8807" xr:uid="{0E442A83-5EF1-496B-8F93-0FF2F6C091DA}"/>
    <cellStyle name="40% - Accent4 3 3" xfId="647" xr:uid="{00000000-0005-0000-0000-000007060000}"/>
    <cellStyle name="40% - Accent4 3 3 2" xfId="2918" xr:uid="{00000000-0005-0000-0000-000008060000}"/>
    <cellStyle name="40% - Accent4 3 3 2 2" xfId="7141" xr:uid="{00000000-0005-0000-0000-000009060000}"/>
    <cellStyle name="40% - Accent4 3 3 2 2 2" xfId="15583" xr:uid="{8B14F614-6A06-43BE-BD04-6C7ADA213A33}"/>
    <cellStyle name="40% - Accent4 3 3 2 3" xfId="11365" xr:uid="{F3F2D853-E57B-468F-A7E0-8709FD28363A}"/>
    <cellStyle name="40% - Accent4 3 3 3" xfId="4996" xr:uid="{00000000-0005-0000-0000-00000A060000}"/>
    <cellStyle name="40% - Accent4 3 3 3 2" xfId="13438" xr:uid="{77C84E44-07F4-40D5-AA61-2119281495AB}"/>
    <cellStyle name="40% - Accent4 3 3 4" xfId="9220" xr:uid="{0B428198-B7B3-4D16-B12A-1EDEE34E00F3}"/>
    <cellStyle name="40% - Accent4 3 4" xfId="1100" xr:uid="{00000000-0005-0000-0000-00000B060000}"/>
    <cellStyle name="40% - Accent4 3 4 2" xfId="3331" xr:uid="{00000000-0005-0000-0000-00000C060000}"/>
    <cellStyle name="40% - Accent4 3 4 2 2" xfId="7554" xr:uid="{00000000-0005-0000-0000-00000D060000}"/>
    <cellStyle name="40% - Accent4 3 4 2 2 2" xfId="15996" xr:uid="{1B752D79-D322-470F-8819-DD5D384EB27D}"/>
    <cellStyle name="40% - Accent4 3 4 2 3" xfId="11778" xr:uid="{11B3CBCF-BC21-412E-B437-0FDB871CBB7F}"/>
    <cellStyle name="40% - Accent4 3 4 3" xfId="5409" xr:uid="{00000000-0005-0000-0000-00000E060000}"/>
    <cellStyle name="40% - Accent4 3 4 3 2" xfId="13851" xr:uid="{A6953CF6-AF2C-4AE9-8762-19F32005852D}"/>
    <cellStyle name="40% - Accent4 3 4 4" xfId="9633" xr:uid="{33177909-2D13-47E3-8778-B73066009A9C}"/>
    <cellStyle name="40% - Accent4 3 5" xfId="1514" xr:uid="{00000000-0005-0000-0000-00000F060000}"/>
    <cellStyle name="40% - Accent4 3 5 2" xfId="3744" xr:uid="{00000000-0005-0000-0000-000010060000}"/>
    <cellStyle name="40% - Accent4 3 5 2 2" xfId="7967" xr:uid="{00000000-0005-0000-0000-000011060000}"/>
    <cellStyle name="40% - Accent4 3 5 2 2 2" xfId="16409" xr:uid="{AF992293-3223-4696-B5DF-1C1AFB0B905A}"/>
    <cellStyle name="40% - Accent4 3 5 2 3" xfId="12191" xr:uid="{EF3106CA-DCD9-4C66-AF25-3D00EB1F42BE}"/>
    <cellStyle name="40% - Accent4 3 5 3" xfId="5822" xr:uid="{00000000-0005-0000-0000-000012060000}"/>
    <cellStyle name="40% - Accent4 3 5 3 2" xfId="14264" xr:uid="{C02D318C-CC91-4976-ABC0-CAB83F199364}"/>
    <cellStyle name="40% - Accent4 3 5 4" xfId="10046" xr:uid="{F91BD0C6-6C43-46F3-961D-19A2E1BD7436}"/>
    <cellStyle name="40% - Accent4 3 6" xfId="1928" xr:uid="{00000000-0005-0000-0000-000013060000}"/>
    <cellStyle name="40% - Accent4 3 6 2" xfId="4157" xr:uid="{00000000-0005-0000-0000-000014060000}"/>
    <cellStyle name="40% - Accent4 3 6 2 2" xfId="8380" xr:uid="{00000000-0005-0000-0000-000015060000}"/>
    <cellStyle name="40% - Accent4 3 6 2 2 2" xfId="16822" xr:uid="{E26BDFD8-FA70-4520-81A6-A0242BCBB1E1}"/>
    <cellStyle name="40% - Accent4 3 6 2 3" xfId="12604" xr:uid="{28903D75-450D-4AC0-80C7-E75592B775DD}"/>
    <cellStyle name="40% - Accent4 3 6 3" xfId="6235" xr:uid="{00000000-0005-0000-0000-000016060000}"/>
    <cellStyle name="40% - Accent4 3 6 3 2" xfId="14677" xr:uid="{6697EA11-1D89-4D66-852E-60F49847099B}"/>
    <cellStyle name="40% - Accent4 3 6 4" xfId="10459" xr:uid="{B171BD76-97FC-4A3B-9039-104C1017719C}"/>
    <cellStyle name="40% - Accent4 3 7" xfId="2341" xr:uid="{00000000-0005-0000-0000-000017060000}"/>
    <cellStyle name="40% - Accent4 3 7 2" xfId="6648" xr:uid="{00000000-0005-0000-0000-000018060000}"/>
    <cellStyle name="40% - Accent4 3 7 2 2" xfId="15090" xr:uid="{0DD13B64-8B83-4EB3-B0F6-96C93A051DB6}"/>
    <cellStyle name="40% - Accent4 3 7 3" xfId="10872" xr:uid="{FF40AE14-9D81-46A9-A9D8-3F01DB0D961D}"/>
    <cellStyle name="40% - Accent4 3 8" xfId="4582" xr:uid="{00000000-0005-0000-0000-000019060000}"/>
    <cellStyle name="40% - Accent4 3 8 2" xfId="13024" xr:uid="{5DDE43C1-C795-4EEC-844A-0A4717814E74}"/>
    <cellStyle name="40% - Accent4 3 9" xfId="8806" xr:uid="{780AD1D9-363D-4555-B483-7F819BE198DB}"/>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2 2 2" xfId="15585" xr:uid="{9B0E096F-E040-4AD4-BACD-F04023B22B8D}"/>
    <cellStyle name="40% - Accent4 4 2 2 3" xfId="11367" xr:uid="{74BFE907-7139-44B1-AABA-1E86179B834F}"/>
    <cellStyle name="40% - Accent4 4 2 3" xfId="4998" xr:uid="{00000000-0005-0000-0000-00001E060000}"/>
    <cellStyle name="40% - Accent4 4 2 3 2" xfId="13440" xr:uid="{7BBB8A54-7C59-4F91-9E69-6707093F5831}"/>
    <cellStyle name="40% - Accent4 4 2 4" xfId="9222" xr:uid="{71773A61-27D7-49C1-8CA0-27E215B8EC00}"/>
    <cellStyle name="40% - Accent4 4 3" xfId="1102" xr:uid="{00000000-0005-0000-0000-00001F060000}"/>
    <cellStyle name="40% - Accent4 4 3 2" xfId="3333" xr:uid="{00000000-0005-0000-0000-000020060000}"/>
    <cellStyle name="40% - Accent4 4 3 2 2" xfId="7556" xr:uid="{00000000-0005-0000-0000-000021060000}"/>
    <cellStyle name="40% - Accent4 4 3 2 2 2" xfId="15998" xr:uid="{ED2903AD-7BAE-492E-B4B9-321FFC31C1D5}"/>
    <cellStyle name="40% - Accent4 4 3 2 3" xfId="11780" xr:uid="{BE79D64F-0973-49F4-A517-3FC363EAC5AC}"/>
    <cellStyle name="40% - Accent4 4 3 3" xfId="5411" xr:uid="{00000000-0005-0000-0000-000022060000}"/>
    <cellStyle name="40% - Accent4 4 3 3 2" xfId="13853" xr:uid="{9158378E-F00D-48EC-9305-1096983C388F}"/>
    <cellStyle name="40% - Accent4 4 3 4" xfId="9635" xr:uid="{67535F20-D9E0-49B6-8825-8168A8EDE6D9}"/>
    <cellStyle name="40% - Accent4 4 4" xfId="1516" xr:uid="{00000000-0005-0000-0000-000023060000}"/>
    <cellStyle name="40% - Accent4 4 4 2" xfId="3746" xr:uid="{00000000-0005-0000-0000-000024060000}"/>
    <cellStyle name="40% - Accent4 4 4 2 2" xfId="7969" xr:uid="{00000000-0005-0000-0000-000025060000}"/>
    <cellStyle name="40% - Accent4 4 4 2 2 2" xfId="16411" xr:uid="{5461C22D-160D-40B8-94DF-3546A99CBFFF}"/>
    <cellStyle name="40% - Accent4 4 4 2 3" xfId="12193" xr:uid="{0088EBA6-D226-4DAB-9FE7-D66F93419BB1}"/>
    <cellStyle name="40% - Accent4 4 4 3" xfId="5824" xr:uid="{00000000-0005-0000-0000-000026060000}"/>
    <cellStyle name="40% - Accent4 4 4 3 2" xfId="14266" xr:uid="{EFE44A87-26F2-4E05-B4FA-05966DAC6996}"/>
    <cellStyle name="40% - Accent4 4 4 4" xfId="10048" xr:uid="{C4118B28-274C-4CF9-B1F8-A873FBBE144C}"/>
    <cellStyle name="40% - Accent4 4 5" xfId="1930" xr:uid="{00000000-0005-0000-0000-000027060000}"/>
    <cellStyle name="40% - Accent4 4 5 2" xfId="4159" xr:uid="{00000000-0005-0000-0000-000028060000}"/>
    <cellStyle name="40% - Accent4 4 5 2 2" xfId="8382" xr:uid="{00000000-0005-0000-0000-000029060000}"/>
    <cellStyle name="40% - Accent4 4 5 2 2 2" xfId="16824" xr:uid="{462E349B-957A-4BFF-A126-C2A356F8E3D0}"/>
    <cellStyle name="40% - Accent4 4 5 2 3" xfId="12606" xr:uid="{35492F9A-11F7-462E-B8E2-BD0244891B14}"/>
    <cellStyle name="40% - Accent4 4 5 3" xfId="6237" xr:uid="{00000000-0005-0000-0000-00002A060000}"/>
    <cellStyle name="40% - Accent4 4 5 3 2" xfId="14679" xr:uid="{38BD44B8-0609-4679-BD6E-36340ECC4630}"/>
    <cellStyle name="40% - Accent4 4 5 4" xfId="10461" xr:uid="{4E101135-84CE-49B3-8499-EF1248AE8D34}"/>
    <cellStyle name="40% - Accent4 4 6" xfId="2343" xr:uid="{00000000-0005-0000-0000-00002B060000}"/>
    <cellStyle name="40% - Accent4 4 6 2" xfId="6650" xr:uid="{00000000-0005-0000-0000-00002C060000}"/>
    <cellStyle name="40% - Accent4 4 6 2 2" xfId="15092" xr:uid="{9F8A1C59-5619-4A6F-8383-E76A8492AF91}"/>
    <cellStyle name="40% - Accent4 4 6 3" xfId="10874" xr:uid="{91B8E407-7516-4F12-B1B2-C09452E186DC}"/>
    <cellStyle name="40% - Accent4 4 7" xfId="4584" xr:uid="{00000000-0005-0000-0000-00002D060000}"/>
    <cellStyle name="40% - Accent4 4 7 2" xfId="13026" xr:uid="{86680A79-C460-48F2-A7BE-E7D6F9F4783D}"/>
    <cellStyle name="40% - Accent4 4 8" xfId="8808" xr:uid="{24235DBF-D279-46A7-8A3A-CD6986C93436}"/>
    <cellStyle name="40% - Accent4 5" xfId="642" xr:uid="{00000000-0005-0000-0000-00002E060000}"/>
    <cellStyle name="40% - Accent4 5 2" xfId="2913" xr:uid="{00000000-0005-0000-0000-00002F060000}"/>
    <cellStyle name="40% - Accent4 5 2 2" xfId="7136" xr:uid="{00000000-0005-0000-0000-000030060000}"/>
    <cellStyle name="40% - Accent4 5 2 2 2" xfId="15578" xr:uid="{8165FA91-23D2-4D82-A80D-ADFB23316659}"/>
    <cellStyle name="40% - Accent4 5 2 3" xfId="11360" xr:uid="{571C6A24-0DE7-4CD0-89C2-455A2F444ED7}"/>
    <cellStyle name="40% - Accent4 5 3" xfId="4991" xr:uid="{00000000-0005-0000-0000-000031060000}"/>
    <cellStyle name="40% - Accent4 5 3 2" xfId="13433" xr:uid="{7849B1AF-9061-439D-B369-388A7AABCABA}"/>
    <cellStyle name="40% - Accent4 5 4" xfId="9215" xr:uid="{B94B8F62-34C8-4451-9E1A-A41356266B85}"/>
    <cellStyle name="40% - Accent4 6" xfId="1095" xr:uid="{00000000-0005-0000-0000-000032060000}"/>
    <cellStyle name="40% - Accent4 6 2" xfId="3326" xr:uid="{00000000-0005-0000-0000-000033060000}"/>
    <cellStyle name="40% - Accent4 6 2 2" xfId="7549" xr:uid="{00000000-0005-0000-0000-000034060000}"/>
    <cellStyle name="40% - Accent4 6 2 2 2" xfId="15991" xr:uid="{E2CA3D45-7AB3-4BFB-B021-AFDA7B018342}"/>
    <cellStyle name="40% - Accent4 6 2 3" xfId="11773" xr:uid="{61A6AA58-56F5-4155-819B-8EBDAE3BA09A}"/>
    <cellStyle name="40% - Accent4 6 3" xfId="5404" xr:uid="{00000000-0005-0000-0000-000035060000}"/>
    <cellStyle name="40% - Accent4 6 3 2" xfId="13846" xr:uid="{E276661D-B398-4FAE-B96F-158F3D67E53A}"/>
    <cellStyle name="40% - Accent4 6 4" xfId="9628" xr:uid="{014C0E91-A6DB-4D4C-9495-0400A29712BD}"/>
    <cellStyle name="40% - Accent4 7" xfId="1509" xr:uid="{00000000-0005-0000-0000-000036060000}"/>
    <cellStyle name="40% - Accent4 7 2" xfId="3739" xr:uid="{00000000-0005-0000-0000-000037060000}"/>
    <cellStyle name="40% - Accent4 7 2 2" xfId="7962" xr:uid="{00000000-0005-0000-0000-000038060000}"/>
    <cellStyle name="40% - Accent4 7 2 2 2" xfId="16404" xr:uid="{3A95B5F0-BC0F-4F5E-A06A-E18EEBB97002}"/>
    <cellStyle name="40% - Accent4 7 2 3" xfId="12186" xr:uid="{056EEF1D-84D1-45C3-B1ED-FC442969DF0F}"/>
    <cellStyle name="40% - Accent4 7 3" xfId="5817" xr:uid="{00000000-0005-0000-0000-000039060000}"/>
    <cellStyle name="40% - Accent4 7 3 2" xfId="14259" xr:uid="{C05CC282-F621-43F5-B0A1-F8186AEE7967}"/>
    <cellStyle name="40% - Accent4 7 4" xfId="10041" xr:uid="{F22F005F-9CD0-4CCD-B3B6-0756832769C7}"/>
    <cellStyle name="40% - Accent4 8" xfId="1923" xr:uid="{00000000-0005-0000-0000-00003A060000}"/>
    <cellStyle name="40% - Accent4 8 2" xfId="4152" xr:uid="{00000000-0005-0000-0000-00003B060000}"/>
    <cellStyle name="40% - Accent4 8 2 2" xfId="8375" xr:uid="{00000000-0005-0000-0000-00003C060000}"/>
    <cellStyle name="40% - Accent4 8 2 2 2" xfId="16817" xr:uid="{66B16D65-7E1F-424E-B101-5405A3ED7AFC}"/>
    <cellStyle name="40% - Accent4 8 2 3" xfId="12599" xr:uid="{0BD3241E-AF35-41E9-9FAC-0E6AF9A97AFE}"/>
    <cellStyle name="40% - Accent4 8 3" xfId="6230" xr:uid="{00000000-0005-0000-0000-00003D060000}"/>
    <cellStyle name="40% - Accent4 8 3 2" xfId="14672" xr:uid="{E3AD6D95-991B-48CD-8B68-F9E7591A07B7}"/>
    <cellStyle name="40% - Accent4 8 4" xfId="10454" xr:uid="{9F2A3FC6-E933-43AE-A208-8C677189211B}"/>
    <cellStyle name="40% - Accent4 9" xfId="2336" xr:uid="{00000000-0005-0000-0000-00003E060000}"/>
    <cellStyle name="40% - Accent4 9 2" xfId="6643" xr:uid="{00000000-0005-0000-0000-00003F060000}"/>
    <cellStyle name="40% - Accent4 9 2 2" xfId="15085" xr:uid="{24647677-5C77-4061-9FDE-86FCEA8699ED}"/>
    <cellStyle name="40% - Accent4 9 3" xfId="10867" xr:uid="{E20B5744-E27D-4D8E-8810-02AF22B264E1}"/>
    <cellStyle name="40% - Accent5" xfId="81" builtinId="47" customBuiltin="1"/>
    <cellStyle name="40% - Accent5 10" xfId="4585" xr:uid="{00000000-0005-0000-0000-000041060000}"/>
    <cellStyle name="40% - Accent5 10 2" xfId="13027" xr:uid="{78EB31D8-4480-40D3-A4D9-82C665A49EBB}"/>
    <cellStyle name="40% - Accent5 11" xfId="8809" xr:uid="{F8F6EF45-D72B-4D33-A8A8-0D38A9E8A870}"/>
    <cellStyle name="40% - Accent5 2" xfId="82" xr:uid="{00000000-0005-0000-0000-000042060000}"/>
    <cellStyle name="40% - Accent5 2 10" xfId="8810" xr:uid="{C390D6C4-9CD9-44A7-A6A9-E3F074BD220A}"/>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2 2 2" xfId="15589" xr:uid="{F12709B5-066F-420E-A03A-4754B5D5EE23}"/>
    <cellStyle name="40% - Accent5 2 2 2 2 2 3" xfId="11371" xr:uid="{00A07E69-8098-4D52-8C75-2E784508BA3E}"/>
    <cellStyle name="40% - Accent5 2 2 2 2 3" xfId="5002" xr:uid="{00000000-0005-0000-0000-000048060000}"/>
    <cellStyle name="40% - Accent5 2 2 2 2 3 2" xfId="13444" xr:uid="{59351F70-1009-4C4D-9C50-A5976200702A}"/>
    <cellStyle name="40% - Accent5 2 2 2 2 4" xfId="9226" xr:uid="{C663009F-5F83-4BB8-88D2-B9BD6FBD4837}"/>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2 2 2" xfId="16002" xr:uid="{E4DE7E9E-5A8E-4F80-AA75-4F679CCEF4D1}"/>
    <cellStyle name="40% - Accent5 2 2 2 3 2 3" xfId="11784" xr:uid="{5E3C1568-1D20-43BE-8265-DB495327BCAF}"/>
    <cellStyle name="40% - Accent5 2 2 2 3 3" xfId="5415" xr:uid="{00000000-0005-0000-0000-00004C060000}"/>
    <cellStyle name="40% - Accent5 2 2 2 3 3 2" xfId="13857" xr:uid="{0AC27A7B-95DA-4914-AE25-ABE3BE0D9A7F}"/>
    <cellStyle name="40% - Accent5 2 2 2 3 4" xfId="9639" xr:uid="{E5DA0DC3-BD3C-40AC-8132-928E421EF7B2}"/>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2 2 2" xfId="16415" xr:uid="{C00EEDDD-4525-4F6F-A3D9-6315546DB259}"/>
    <cellStyle name="40% - Accent5 2 2 2 4 2 3" xfId="12197" xr:uid="{B2968E62-9A3E-4251-A567-0429C169FA03}"/>
    <cellStyle name="40% - Accent5 2 2 2 4 3" xfId="5828" xr:uid="{00000000-0005-0000-0000-000050060000}"/>
    <cellStyle name="40% - Accent5 2 2 2 4 3 2" xfId="14270" xr:uid="{AC5E8E45-FA44-44E7-920C-77558F3D52FB}"/>
    <cellStyle name="40% - Accent5 2 2 2 4 4" xfId="10052" xr:uid="{CE78D375-9016-4589-A30B-09C2EE8D43CC}"/>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2 2 2" xfId="16828" xr:uid="{C15EDD93-CDD1-4425-8240-B2818246FECE}"/>
    <cellStyle name="40% - Accent5 2 2 2 5 2 3" xfId="12610" xr:uid="{F3FE7C38-F63D-4AF6-986C-B03538531903}"/>
    <cellStyle name="40% - Accent5 2 2 2 5 3" xfId="6241" xr:uid="{00000000-0005-0000-0000-000054060000}"/>
    <cellStyle name="40% - Accent5 2 2 2 5 3 2" xfId="14683" xr:uid="{8D825CFD-0EEC-4458-A057-B966A7D761E9}"/>
    <cellStyle name="40% - Accent5 2 2 2 5 4" xfId="10465" xr:uid="{ABCB2003-EFB9-4DD6-90DA-445AF3202847}"/>
    <cellStyle name="40% - Accent5 2 2 2 6" xfId="2347" xr:uid="{00000000-0005-0000-0000-000055060000}"/>
    <cellStyle name="40% - Accent5 2 2 2 6 2" xfId="6654" xr:uid="{00000000-0005-0000-0000-000056060000}"/>
    <cellStyle name="40% - Accent5 2 2 2 6 2 2" xfId="15096" xr:uid="{0D7CE831-4B56-4C1D-872E-7456C42A864F}"/>
    <cellStyle name="40% - Accent5 2 2 2 6 3" xfId="10878" xr:uid="{DC96DC43-84FA-4394-AA70-17C91250004B}"/>
    <cellStyle name="40% - Accent5 2 2 2 7" xfId="4588" xr:uid="{00000000-0005-0000-0000-000057060000}"/>
    <cellStyle name="40% - Accent5 2 2 2 7 2" xfId="13030" xr:uid="{24D8D948-D999-4E81-9785-5A81EDB29E2C}"/>
    <cellStyle name="40% - Accent5 2 2 2 8" xfId="8812" xr:uid="{AC3239AC-951C-44E0-A185-98ECD9CC61E5}"/>
    <cellStyle name="40% - Accent5 2 2 3" xfId="652" xr:uid="{00000000-0005-0000-0000-000058060000}"/>
    <cellStyle name="40% - Accent5 2 2 3 2" xfId="2923" xr:uid="{00000000-0005-0000-0000-000059060000}"/>
    <cellStyle name="40% - Accent5 2 2 3 2 2" xfId="7146" xr:uid="{00000000-0005-0000-0000-00005A060000}"/>
    <cellStyle name="40% - Accent5 2 2 3 2 2 2" xfId="15588" xr:uid="{DAD373B7-E8CB-4591-ACB1-5096818614C1}"/>
    <cellStyle name="40% - Accent5 2 2 3 2 3" xfId="11370" xr:uid="{4A44DF24-EF1D-48E5-85AD-38A7AF97323E}"/>
    <cellStyle name="40% - Accent5 2 2 3 3" xfId="5001" xr:uid="{00000000-0005-0000-0000-00005B060000}"/>
    <cellStyle name="40% - Accent5 2 2 3 3 2" xfId="13443" xr:uid="{25E6A1AD-EDF5-4707-8C23-97A2E2031591}"/>
    <cellStyle name="40% - Accent5 2 2 3 4" xfId="9225" xr:uid="{7A4CF65F-F36F-4FC9-8FFF-5E07FD8DF51F}"/>
    <cellStyle name="40% - Accent5 2 2 4" xfId="1105" xr:uid="{00000000-0005-0000-0000-00005C060000}"/>
    <cellStyle name="40% - Accent5 2 2 4 2" xfId="3336" xr:uid="{00000000-0005-0000-0000-00005D060000}"/>
    <cellStyle name="40% - Accent5 2 2 4 2 2" xfId="7559" xr:uid="{00000000-0005-0000-0000-00005E060000}"/>
    <cellStyle name="40% - Accent5 2 2 4 2 2 2" xfId="16001" xr:uid="{98821A29-4D55-4FF1-B9A7-4531EC7E2ED1}"/>
    <cellStyle name="40% - Accent5 2 2 4 2 3" xfId="11783" xr:uid="{3759BB5B-1C9B-42B2-8D84-BE60EA077BC8}"/>
    <cellStyle name="40% - Accent5 2 2 4 3" xfId="5414" xr:uid="{00000000-0005-0000-0000-00005F060000}"/>
    <cellStyle name="40% - Accent5 2 2 4 3 2" xfId="13856" xr:uid="{BB27F5F1-D8C9-4138-94C5-9A36C703CD71}"/>
    <cellStyle name="40% - Accent5 2 2 4 4" xfId="9638" xr:uid="{132E74C3-F9AD-4283-917C-F760364BA3B0}"/>
    <cellStyle name="40% - Accent5 2 2 5" xfId="1519" xr:uid="{00000000-0005-0000-0000-000060060000}"/>
    <cellStyle name="40% - Accent5 2 2 5 2" xfId="3749" xr:uid="{00000000-0005-0000-0000-000061060000}"/>
    <cellStyle name="40% - Accent5 2 2 5 2 2" xfId="7972" xr:uid="{00000000-0005-0000-0000-000062060000}"/>
    <cellStyle name="40% - Accent5 2 2 5 2 2 2" xfId="16414" xr:uid="{F3BA1713-B26A-44DD-ACBA-BD78EAB91DFD}"/>
    <cellStyle name="40% - Accent5 2 2 5 2 3" xfId="12196" xr:uid="{AA92E31C-9EEF-4975-AE2C-D2F3DAA9FF3D}"/>
    <cellStyle name="40% - Accent5 2 2 5 3" xfId="5827" xr:uid="{00000000-0005-0000-0000-000063060000}"/>
    <cellStyle name="40% - Accent5 2 2 5 3 2" xfId="14269" xr:uid="{9F641820-EDD7-45DD-B9B1-BE5B1E04DAD9}"/>
    <cellStyle name="40% - Accent5 2 2 5 4" xfId="10051" xr:uid="{D80C6BC0-9DC8-40F7-BE54-C7101CDE06D4}"/>
    <cellStyle name="40% - Accent5 2 2 6" xfId="1933" xr:uid="{00000000-0005-0000-0000-000064060000}"/>
    <cellStyle name="40% - Accent5 2 2 6 2" xfId="4162" xr:uid="{00000000-0005-0000-0000-000065060000}"/>
    <cellStyle name="40% - Accent5 2 2 6 2 2" xfId="8385" xr:uid="{00000000-0005-0000-0000-000066060000}"/>
    <cellStyle name="40% - Accent5 2 2 6 2 2 2" xfId="16827" xr:uid="{9A958409-1B4C-48BE-958C-2DF7B5B6DC0E}"/>
    <cellStyle name="40% - Accent5 2 2 6 2 3" xfId="12609" xr:uid="{AADCA432-3FE6-4979-BFA5-AB3095261CED}"/>
    <cellStyle name="40% - Accent5 2 2 6 3" xfId="6240" xr:uid="{00000000-0005-0000-0000-000067060000}"/>
    <cellStyle name="40% - Accent5 2 2 6 3 2" xfId="14682" xr:uid="{0BD75EA4-24CF-423B-B38F-CA6E3FB00787}"/>
    <cellStyle name="40% - Accent5 2 2 6 4" xfId="10464" xr:uid="{C914028F-DAB3-43B1-931E-E1B82F3D3AB7}"/>
    <cellStyle name="40% - Accent5 2 2 7" xfId="2346" xr:uid="{00000000-0005-0000-0000-000068060000}"/>
    <cellStyle name="40% - Accent5 2 2 7 2" xfId="6653" xr:uid="{00000000-0005-0000-0000-000069060000}"/>
    <cellStyle name="40% - Accent5 2 2 7 2 2" xfId="15095" xr:uid="{414CD475-E164-4F35-A331-2D9F693E0D15}"/>
    <cellStyle name="40% - Accent5 2 2 7 3" xfId="10877" xr:uid="{7E30EA70-7BE4-4B3B-8E64-C2E0CD13E349}"/>
    <cellStyle name="40% - Accent5 2 2 8" xfId="4587" xr:uid="{00000000-0005-0000-0000-00006A060000}"/>
    <cellStyle name="40% - Accent5 2 2 8 2" xfId="13029" xr:uid="{1709770D-3292-4B18-8DD1-089AE8B7B943}"/>
    <cellStyle name="40% - Accent5 2 2 9" xfId="8811" xr:uid="{227D037B-328E-483A-9E43-CC1585526BE1}"/>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2 2 2" xfId="15590" xr:uid="{E5B2DF01-68B9-43FF-B223-B9711D0CF162}"/>
    <cellStyle name="40% - Accent5 2 3 2 2 3" xfId="11372" xr:uid="{C8DF8150-77FA-4AA8-B993-82681BC7E0F4}"/>
    <cellStyle name="40% - Accent5 2 3 2 3" xfId="5003" xr:uid="{00000000-0005-0000-0000-00006F060000}"/>
    <cellStyle name="40% - Accent5 2 3 2 3 2" xfId="13445" xr:uid="{8D89AAA8-6CF7-4A80-8392-BA9969C87DC3}"/>
    <cellStyle name="40% - Accent5 2 3 2 4" xfId="9227" xr:uid="{E23258EF-0B3B-4D77-90E5-65A002B895BF}"/>
    <cellStyle name="40% - Accent5 2 3 3" xfId="1107" xr:uid="{00000000-0005-0000-0000-000070060000}"/>
    <cellStyle name="40% - Accent5 2 3 3 2" xfId="3338" xr:uid="{00000000-0005-0000-0000-000071060000}"/>
    <cellStyle name="40% - Accent5 2 3 3 2 2" xfId="7561" xr:uid="{00000000-0005-0000-0000-000072060000}"/>
    <cellStyle name="40% - Accent5 2 3 3 2 2 2" xfId="16003" xr:uid="{6553FD48-340A-4DF5-9AC8-6323ACB67A50}"/>
    <cellStyle name="40% - Accent5 2 3 3 2 3" xfId="11785" xr:uid="{0C9B94FC-AE98-4AC2-80A3-EDAEB4999B4B}"/>
    <cellStyle name="40% - Accent5 2 3 3 3" xfId="5416" xr:uid="{00000000-0005-0000-0000-000073060000}"/>
    <cellStyle name="40% - Accent5 2 3 3 3 2" xfId="13858" xr:uid="{E5217F3C-B96F-40FB-A245-DF2BC0E1CF14}"/>
    <cellStyle name="40% - Accent5 2 3 3 4" xfId="9640" xr:uid="{FF6C1B16-B386-427C-AEC1-1B015D672351}"/>
    <cellStyle name="40% - Accent5 2 3 4" xfId="1521" xr:uid="{00000000-0005-0000-0000-000074060000}"/>
    <cellStyle name="40% - Accent5 2 3 4 2" xfId="3751" xr:uid="{00000000-0005-0000-0000-000075060000}"/>
    <cellStyle name="40% - Accent5 2 3 4 2 2" xfId="7974" xr:uid="{00000000-0005-0000-0000-000076060000}"/>
    <cellStyle name="40% - Accent5 2 3 4 2 2 2" xfId="16416" xr:uid="{613A563C-B47D-43CC-8B5B-D502F96FEE73}"/>
    <cellStyle name="40% - Accent5 2 3 4 2 3" xfId="12198" xr:uid="{AC86A895-B391-4FDD-9ECF-E374AF21457F}"/>
    <cellStyle name="40% - Accent5 2 3 4 3" xfId="5829" xr:uid="{00000000-0005-0000-0000-000077060000}"/>
    <cellStyle name="40% - Accent5 2 3 4 3 2" xfId="14271" xr:uid="{79074459-7884-4679-AAE1-CA43B70691F2}"/>
    <cellStyle name="40% - Accent5 2 3 4 4" xfId="10053" xr:uid="{368C1027-7F5E-4059-89D4-BFB473D737D0}"/>
    <cellStyle name="40% - Accent5 2 3 5" xfId="1935" xr:uid="{00000000-0005-0000-0000-000078060000}"/>
    <cellStyle name="40% - Accent5 2 3 5 2" xfId="4164" xr:uid="{00000000-0005-0000-0000-000079060000}"/>
    <cellStyle name="40% - Accent5 2 3 5 2 2" xfId="8387" xr:uid="{00000000-0005-0000-0000-00007A060000}"/>
    <cellStyle name="40% - Accent5 2 3 5 2 2 2" xfId="16829" xr:uid="{F0E384F4-AE1E-4305-A482-CD877F3A9462}"/>
    <cellStyle name="40% - Accent5 2 3 5 2 3" xfId="12611" xr:uid="{F7A86D79-52B0-4FDE-8021-2538BE63A44E}"/>
    <cellStyle name="40% - Accent5 2 3 5 3" xfId="6242" xr:uid="{00000000-0005-0000-0000-00007B060000}"/>
    <cellStyle name="40% - Accent5 2 3 5 3 2" xfId="14684" xr:uid="{4AF6DA71-C3D1-4D4D-8B62-16468F1869EC}"/>
    <cellStyle name="40% - Accent5 2 3 5 4" xfId="10466" xr:uid="{A9F9E5A1-9028-428D-B331-9F86E45CC8B7}"/>
    <cellStyle name="40% - Accent5 2 3 6" xfId="2348" xr:uid="{00000000-0005-0000-0000-00007C060000}"/>
    <cellStyle name="40% - Accent5 2 3 6 2" xfId="6655" xr:uid="{00000000-0005-0000-0000-00007D060000}"/>
    <cellStyle name="40% - Accent5 2 3 6 2 2" xfId="15097" xr:uid="{AF0DDD29-061B-4F44-85A1-A6D72396A4B0}"/>
    <cellStyle name="40% - Accent5 2 3 6 3" xfId="10879" xr:uid="{AB0DDC0D-6376-4CF7-AD56-E4A34210093E}"/>
    <cellStyle name="40% - Accent5 2 3 7" xfId="4589" xr:uid="{00000000-0005-0000-0000-00007E060000}"/>
    <cellStyle name="40% - Accent5 2 3 7 2" xfId="13031" xr:uid="{5FD692B6-209C-4373-8568-DCFA0DEE6364}"/>
    <cellStyle name="40% - Accent5 2 3 8" xfId="8813" xr:uid="{B8B1ABF1-6023-4A81-980D-249030A8EF4D}"/>
    <cellStyle name="40% - Accent5 2 4" xfId="651" xr:uid="{00000000-0005-0000-0000-00007F060000}"/>
    <cellStyle name="40% - Accent5 2 4 2" xfId="2922" xr:uid="{00000000-0005-0000-0000-000080060000}"/>
    <cellStyle name="40% - Accent5 2 4 2 2" xfId="7145" xr:uid="{00000000-0005-0000-0000-000081060000}"/>
    <cellStyle name="40% - Accent5 2 4 2 2 2" xfId="15587" xr:uid="{F53F2A69-7EDE-46CB-B3C1-4166B8FD7D1C}"/>
    <cellStyle name="40% - Accent5 2 4 2 3" xfId="11369" xr:uid="{A8B22B77-12E1-44EB-A700-42B4C75DD5CE}"/>
    <cellStyle name="40% - Accent5 2 4 3" xfId="5000" xr:uid="{00000000-0005-0000-0000-000082060000}"/>
    <cellStyle name="40% - Accent5 2 4 3 2" xfId="13442" xr:uid="{6F92BF8B-1102-4F59-8496-FDD0BE50C7DB}"/>
    <cellStyle name="40% - Accent5 2 4 4" xfId="9224" xr:uid="{0589FE5E-1096-4354-808D-0EEFEBFC04DE}"/>
    <cellStyle name="40% - Accent5 2 5" xfId="1104" xr:uid="{00000000-0005-0000-0000-000083060000}"/>
    <cellStyle name="40% - Accent5 2 5 2" xfId="3335" xr:uid="{00000000-0005-0000-0000-000084060000}"/>
    <cellStyle name="40% - Accent5 2 5 2 2" xfId="7558" xr:uid="{00000000-0005-0000-0000-000085060000}"/>
    <cellStyle name="40% - Accent5 2 5 2 2 2" xfId="16000" xr:uid="{B8289DA9-7682-4385-8CDE-856A03230854}"/>
    <cellStyle name="40% - Accent5 2 5 2 3" xfId="11782" xr:uid="{8DD7D47B-7791-4F63-9229-057BA22396DA}"/>
    <cellStyle name="40% - Accent5 2 5 3" xfId="5413" xr:uid="{00000000-0005-0000-0000-000086060000}"/>
    <cellStyle name="40% - Accent5 2 5 3 2" xfId="13855" xr:uid="{8A8C24B4-56DC-4F5E-9E61-8E30BC876761}"/>
    <cellStyle name="40% - Accent5 2 5 4" xfId="9637" xr:uid="{005C1EFF-368C-4FE7-873D-FC187689F8F5}"/>
    <cellStyle name="40% - Accent5 2 6" xfId="1518" xr:uid="{00000000-0005-0000-0000-000087060000}"/>
    <cellStyle name="40% - Accent5 2 6 2" xfId="3748" xr:uid="{00000000-0005-0000-0000-000088060000}"/>
    <cellStyle name="40% - Accent5 2 6 2 2" xfId="7971" xr:uid="{00000000-0005-0000-0000-000089060000}"/>
    <cellStyle name="40% - Accent5 2 6 2 2 2" xfId="16413" xr:uid="{14C14707-859F-4E2A-A9DC-983AD0152AE4}"/>
    <cellStyle name="40% - Accent5 2 6 2 3" xfId="12195" xr:uid="{6692FE84-3A40-4A72-B7C4-125DCDFE3AAE}"/>
    <cellStyle name="40% - Accent5 2 6 3" xfId="5826" xr:uid="{00000000-0005-0000-0000-00008A060000}"/>
    <cellStyle name="40% - Accent5 2 6 3 2" xfId="14268" xr:uid="{31FF1944-CBBE-4D74-9C2C-6FE2D190E548}"/>
    <cellStyle name="40% - Accent5 2 6 4" xfId="10050" xr:uid="{33101798-B67F-4804-A08F-67F89E390268}"/>
    <cellStyle name="40% - Accent5 2 7" xfId="1932" xr:uid="{00000000-0005-0000-0000-00008B060000}"/>
    <cellStyle name="40% - Accent5 2 7 2" xfId="4161" xr:uid="{00000000-0005-0000-0000-00008C060000}"/>
    <cellStyle name="40% - Accent5 2 7 2 2" xfId="8384" xr:uid="{00000000-0005-0000-0000-00008D060000}"/>
    <cellStyle name="40% - Accent5 2 7 2 2 2" xfId="16826" xr:uid="{96432EDD-4074-4172-A78C-990C41A1DF48}"/>
    <cellStyle name="40% - Accent5 2 7 2 3" xfId="12608" xr:uid="{82A6CC56-570F-4EC5-8D6C-736478C01CD3}"/>
    <cellStyle name="40% - Accent5 2 7 3" xfId="6239" xr:uid="{00000000-0005-0000-0000-00008E060000}"/>
    <cellStyle name="40% - Accent5 2 7 3 2" xfId="14681" xr:uid="{85DE6533-3D85-4164-ABB2-6E841FFDA171}"/>
    <cellStyle name="40% - Accent5 2 7 4" xfId="10463" xr:uid="{4022FF6A-33F1-456C-995E-C3264D4B1451}"/>
    <cellStyle name="40% - Accent5 2 8" xfId="2345" xr:uid="{00000000-0005-0000-0000-00008F060000}"/>
    <cellStyle name="40% - Accent5 2 8 2" xfId="6652" xr:uid="{00000000-0005-0000-0000-000090060000}"/>
    <cellStyle name="40% - Accent5 2 8 2 2" xfId="15094" xr:uid="{F40BE18A-7364-495E-A9CC-07FE28335C1C}"/>
    <cellStyle name="40% - Accent5 2 8 3" xfId="10876" xr:uid="{D872A5A7-FF27-40F7-8F13-9DE199DF8C28}"/>
    <cellStyle name="40% - Accent5 2 9" xfId="4586" xr:uid="{00000000-0005-0000-0000-000091060000}"/>
    <cellStyle name="40% - Accent5 2 9 2" xfId="13028" xr:uid="{E5C4DD44-91E9-4A6A-ABA0-69C683ED650E}"/>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2 2 2" xfId="15592" xr:uid="{C2485A25-02F2-4E49-8A7B-6D3FCAC1DD79}"/>
    <cellStyle name="40% - Accent5 3 2 2 2 3" xfId="11374" xr:uid="{E3392948-C785-4890-B0EF-DBF07C981F19}"/>
    <cellStyle name="40% - Accent5 3 2 2 3" xfId="5005" xr:uid="{00000000-0005-0000-0000-000097060000}"/>
    <cellStyle name="40% - Accent5 3 2 2 3 2" xfId="13447" xr:uid="{B03BA5FE-8884-429B-BACC-4DFB420C4681}"/>
    <cellStyle name="40% - Accent5 3 2 2 4" xfId="9229" xr:uid="{FAAD489A-0EAC-4D22-838E-E3F06EC80138}"/>
    <cellStyle name="40% - Accent5 3 2 3" xfId="1109" xr:uid="{00000000-0005-0000-0000-000098060000}"/>
    <cellStyle name="40% - Accent5 3 2 3 2" xfId="3340" xr:uid="{00000000-0005-0000-0000-000099060000}"/>
    <cellStyle name="40% - Accent5 3 2 3 2 2" xfId="7563" xr:uid="{00000000-0005-0000-0000-00009A060000}"/>
    <cellStyle name="40% - Accent5 3 2 3 2 2 2" xfId="16005" xr:uid="{194FFF57-ADE9-426B-97D3-127A9B364862}"/>
    <cellStyle name="40% - Accent5 3 2 3 2 3" xfId="11787" xr:uid="{79B514A2-621C-4E0E-8142-F494C46F5AA0}"/>
    <cellStyle name="40% - Accent5 3 2 3 3" xfId="5418" xr:uid="{00000000-0005-0000-0000-00009B060000}"/>
    <cellStyle name="40% - Accent5 3 2 3 3 2" xfId="13860" xr:uid="{3EAC3590-4EE2-4BB1-B51B-D0054A4A9F21}"/>
    <cellStyle name="40% - Accent5 3 2 3 4" xfId="9642" xr:uid="{3CC09B30-C247-45D6-BF7B-77BC6D495506}"/>
    <cellStyle name="40% - Accent5 3 2 4" xfId="1523" xr:uid="{00000000-0005-0000-0000-00009C060000}"/>
    <cellStyle name="40% - Accent5 3 2 4 2" xfId="3753" xr:uid="{00000000-0005-0000-0000-00009D060000}"/>
    <cellStyle name="40% - Accent5 3 2 4 2 2" xfId="7976" xr:uid="{00000000-0005-0000-0000-00009E060000}"/>
    <cellStyle name="40% - Accent5 3 2 4 2 2 2" xfId="16418" xr:uid="{44FECFF2-40AF-4B9B-AEE3-458E847F7CD7}"/>
    <cellStyle name="40% - Accent5 3 2 4 2 3" xfId="12200" xr:uid="{C12E3B46-697A-43FE-80EE-F00BEDA55BA5}"/>
    <cellStyle name="40% - Accent5 3 2 4 3" xfId="5831" xr:uid="{00000000-0005-0000-0000-00009F060000}"/>
    <cellStyle name="40% - Accent5 3 2 4 3 2" xfId="14273" xr:uid="{68B347CE-3667-4B2F-B072-7BF6373945E0}"/>
    <cellStyle name="40% - Accent5 3 2 4 4" xfId="10055" xr:uid="{A3B7FD6B-AA0C-4B42-AD3A-786320C8F10C}"/>
    <cellStyle name="40% - Accent5 3 2 5" xfId="1937" xr:uid="{00000000-0005-0000-0000-0000A0060000}"/>
    <cellStyle name="40% - Accent5 3 2 5 2" xfId="4166" xr:uid="{00000000-0005-0000-0000-0000A1060000}"/>
    <cellStyle name="40% - Accent5 3 2 5 2 2" xfId="8389" xr:uid="{00000000-0005-0000-0000-0000A2060000}"/>
    <cellStyle name="40% - Accent5 3 2 5 2 2 2" xfId="16831" xr:uid="{139CB243-8BEA-4F86-AE56-4CFF8C6FB8E0}"/>
    <cellStyle name="40% - Accent5 3 2 5 2 3" xfId="12613" xr:uid="{8C97B606-EFEC-4CED-81EE-EDE67CB19B84}"/>
    <cellStyle name="40% - Accent5 3 2 5 3" xfId="6244" xr:uid="{00000000-0005-0000-0000-0000A3060000}"/>
    <cellStyle name="40% - Accent5 3 2 5 3 2" xfId="14686" xr:uid="{872969CB-714B-474F-897A-912BBEAEB120}"/>
    <cellStyle name="40% - Accent5 3 2 5 4" xfId="10468" xr:uid="{94BDE663-E621-4B6D-B098-8EA4BD165E9A}"/>
    <cellStyle name="40% - Accent5 3 2 6" xfId="2350" xr:uid="{00000000-0005-0000-0000-0000A4060000}"/>
    <cellStyle name="40% - Accent5 3 2 6 2" xfId="6657" xr:uid="{00000000-0005-0000-0000-0000A5060000}"/>
    <cellStyle name="40% - Accent5 3 2 6 2 2" xfId="15099" xr:uid="{D9516274-1A8A-42E9-A023-6A05E61D3A96}"/>
    <cellStyle name="40% - Accent5 3 2 6 3" xfId="10881" xr:uid="{A168FB7C-07DC-49EA-8AB3-74E55222834B}"/>
    <cellStyle name="40% - Accent5 3 2 7" xfId="4591" xr:uid="{00000000-0005-0000-0000-0000A6060000}"/>
    <cellStyle name="40% - Accent5 3 2 7 2" xfId="13033" xr:uid="{76E9F799-D1CF-456D-ABB7-E480BB19C15F}"/>
    <cellStyle name="40% - Accent5 3 2 8" xfId="8815" xr:uid="{B3DCD9F3-7118-4254-985F-A04539DAA89F}"/>
    <cellStyle name="40% - Accent5 3 3" xfId="655" xr:uid="{00000000-0005-0000-0000-0000A7060000}"/>
    <cellStyle name="40% - Accent5 3 3 2" xfId="2926" xr:uid="{00000000-0005-0000-0000-0000A8060000}"/>
    <cellStyle name="40% - Accent5 3 3 2 2" xfId="7149" xr:uid="{00000000-0005-0000-0000-0000A9060000}"/>
    <cellStyle name="40% - Accent5 3 3 2 2 2" xfId="15591" xr:uid="{47B5E913-880C-492A-8309-AD775DB5FA45}"/>
    <cellStyle name="40% - Accent5 3 3 2 3" xfId="11373" xr:uid="{D8E51FE3-65AF-499A-897C-C6CACDC8775C}"/>
    <cellStyle name="40% - Accent5 3 3 3" xfId="5004" xr:uid="{00000000-0005-0000-0000-0000AA060000}"/>
    <cellStyle name="40% - Accent5 3 3 3 2" xfId="13446" xr:uid="{F3B561CA-AA31-4CD9-930F-123CBA260DD8}"/>
    <cellStyle name="40% - Accent5 3 3 4" xfId="9228" xr:uid="{5C8E9964-CDC7-4C6E-AEC0-CD9226F86B78}"/>
    <cellStyle name="40% - Accent5 3 4" xfId="1108" xr:uid="{00000000-0005-0000-0000-0000AB060000}"/>
    <cellStyle name="40% - Accent5 3 4 2" xfId="3339" xr:uid="{00000000-0005-0000-0000-0000AC060000}"/>
    <cellStyle name="40% - Accent5 3 4 2 2" xfId="7562" xr:uid="{00000000-0005-0000-0000-0000AD060000}"/>
    <cellStyle name="40% - Accent5 3 4 2 2 2" xfId="16004" xr:uid="{E59DDA39-0BE2-4377-9064-08C1215C8C7F}"/>
    <cellStyle name="40% - Accent5 3 4 2 3" xfId="11786" xr:uid="{E93905DD-6331-439C-B04A-985687A1E923}"/>
    <cellStyle name="40% - Accent5 3 4 3" xfId="5417" xr:uid="{00000000-0005-0000-0000-0000AE060000}"/>
    <cellStyle name="40% - Accent5 3 4 3 2" xfId="13859" xr:uid="{44B3E478-B060-494A-92A5-751F332A5F04}"/>
    <cellStyle name="40% - Accent5 3 4 4" xfId="9641" xr:uid="{0F0EA342-240B-4DBC-9803-E55D77317BE0}"/>
    <cellStyle name="40% - Accent5 3 5" xfId="1522" xr:uid="{00000000-0005-0000-0000-0000AF060000}"/>
    <cellStyle name="40% - Accent5 3 5 2" xfId="3752" xr:uid="{00000000-0005-0000-0000-0000B0060000}"/>
    <cellStyle name="40% - Accent5 3 5 2 2" xfId="7975" xr:uid="{00000000-0005-0000-0000-0000B1060000}"/>
    <cellStyle name="40% - Accent5 3 5 2 2 2" xfId="16417" xr:uid="{BA3CBC00-843C-4C94-8ED9-D49EBD2C8349}"/>
    <cellStyle name="40% - Accent5 3 5 2 3" xfId="12199" xr:uid="{D3113D2D-3CEC-4945-AAED-178C93F15F79}"/>
    <cellStyle name="40% - Accent5 3 5 3" xfId="5830" xr:uid="{00000000-0005-0000-0000-0000B2060000}"/>
    <cellStyle name="40% - Accent5 3 5 3 2" xfId="14272" xr:uid="{E6E435D2-3E55-4E75-A9C8-8134D5DE67E5}"/>
    <cellStyle name="40% - Accent5 3 5 4" xfId="10054" xr:uid="{8866F81F-7433-472F-9195-257C0231CA7A}"/>
    <cellStyle name="40% - Accent5 3 6" xfId="1936" xr:uid="{00000000-0005-0000-0000-0000B3060000}"/>
    <cellStyle name="40% - Accent5 3 6 2" xfId="4165" xr:uid="{00000000-0005-0000-0000-0000B4060000}"/>
    <cellStyle name="40% - Accent5 3 6 2 2" xfId="8388" xr:uid="{00000000-0005-0000-0000-0000B5060000}"/>
    <cellStyle name="40% - Accent5 3 6 2 2 2" xfId="16830" xr:uid="{6B03E07A-CD94-4492-98AE-AA699A0552DC}"/>
    <cellStyle name="40% - Accent5 3 6 2 3" xfId="12612" xr:uid="{3E958644-8315-4570-B29A-2FF337A414C5}"/>
    <cellStyle name="40% - Accent5 3 6 3" xfId="6243" xr:uid="{00000000-0005-0000-0000-0000B6060000}"/>
    <cellStyle name="40% - Accent5 3 6 3 2" xfId="14685" xr:uid="{747DEE01-84B2-4EB5-9810-9713A51785BE}"/>
    <cellStyle name="40% - Accent5 3 6 4" xfId="10467" xr:uid="{BE10ECE6-9E9C-4E67-BD27-41690332FE0C}"/>
    <cellStyle name="40% - Accent5 3 7" xfId="2349" xr:uid="{00000000-0005-0000-0000-0000B7060000}"/>
    <cellStyle name="40% - Accent5 3 7 2" xfId="6656" xr:uid="{00000000-0005-0000-0000-0000B8060000}"/>
    <cellStyle name="40% - Accent5 3 7 2 2" xfId="15098" xr:uid="{9101AE7C-6125-4AE1-82F3-F0F843A70AEC}"/>
    <cellStyle name="40% - Accent5 3 7 3" xfId="10880" xr:uid="{CE8C6738-3F89-4CD1-9C34-531EE374853C}"/>
    <cellStyle name="40% - Accent5 3 8" xfId="4590" xr:uid="{00000000-0005-0000-0000-0000B9060000}"/>
    <cellStyle name="40% - Accent5 3 8 2" xfId="13032" xr:uid="{ACB77CB1-5590-4044-83D9-A705D4C5FC44}"/>
    <cellStyle name="40% - Accent5 3 9" xfId="8814" xr:uid="{C4DA58D9-FF21-49B7-814C-89E0D640494D}"/>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2 2 2" xfId="15593" xr:uid="{55D33F3A-5171-4FFF-BC61-EEB5515AB6D1}"/>
    <cellStyle name="40% - Accent5 4 2 2 3" xfId="11375" xr:uid="{3B9CCD7D-1E1B-4D43-8556-CB0A3E03CEC9}"/>
    <cellStyle name="40% - Accent5 4 2 3" xfId="5006" xr:uid="{00000000-0005-0000-0000-0000BE060000}"/>
    <cellStyle name="40% - Accent5 4 2 3 2" xfId="13448" xr:uid="{922E2013-55DD-4510-965E-9B76C3E97A1D}"/>
    <cellStyle name="40% - Accent5 4 2 4" xfId="9230" xr:uid="{FAB5E407-6A10-4A6F-9B9D-7EC53AC347EB}"/>
    <cellStyle name="40% - Accent5 4 3" xfId="1110" xr:uid="{00000000-0005-0000-0000-0000BF060000}"/>
    <cellStyle name="40% - Accent5 4 3 2" xfId="3341" xr:uid="{00000000-0005-0000-0000-0000C0060000}"/>
    <cellStyle name="40% - Accent5 4 3 2 2" xfId="7564" xr:uid="{00000000-0005-0000-0000-0000C1060000}"/>
    <cellStyle name="40% - Accent5 4 3 2 2 2" xfId="16006" xr:uid="{D3ADA590-CCB6-4779-97F2-B44999CD6EF8}"/>
    <cellStyle name="40% - Accent5 4 3 2 3" xfId="11788" xr:uid="{CBA544AD-4001-4AB1-96E5-27F1C2F57B2C}"/>
    <cellStyle name="40% - Accent5 4 3 3" xfId="5419" xr:uid="{00000000-0005-0000-0000-0000C2060000}"/>
    <cellStyle name="40% - Accent5 4 3 3 2" xfId="13861" xr:uid="{A2FDA183-3416-44AA-88A4-F1DE15EC2F9A}"/>
    <cellStyle name="40% - Accent5 4 3 4" xfId="9643" xr:uid="{FA646318-2B4B-41D9-ADD8-5741996ECAD4}"/>
    <cellStyle name="40% - Accent5 4 4" xfId="1524" xr:uid="{00000000-0005-0000-0000-0000C3060000}"/>
    <cellStyle name="40% - Accent5 4 4 2" xfId="3754" xr:uid="{00000000-0005-0000-0000-0000C4060000}"/>
    <cellStyle name="40% - Accent5 4 4 2 2" xfId="7977" xr:uid="{00000000-0005-0000-0000-0000C5060000}"/>
    <cellStyle name="40% - Accent5 4 4 2 2 2" xfId="16419" xr:uid="{CBF9F082-8E6E-42D5-8BC6-7B5E55E5E0F3}"/>
    <cellStyle name="40% - Accent5 4 4 2 3" xfId="12201" xr:uid="{C8737FFF-D814-4811-B57F-AE656107EFEC}"/>
    <cellStyle name="40% - Accent5 4 4 3" xfId="5832" xr:uid="{00000000-0005-0000-0000-0000C6060000}"/>
    <cellStyle name="40% - Accent5 4 4 3 2" xfId="14274" xr:uid="{AEA1F54A-C11B-4EEF-BFF8-BC000BC912C8}"/>
    <cellStyle name="40% - Accent5 4 4 4" xfId="10056" xr:uid="{AC6F53D3-53BB-4D76-868B-833F9231C862}"/>
    <cellStyle name="40% - Accent5 4 5" xfId="1938" xr:uid="{00000000-0005-0000-0000-0000C7060000}"/>
    <cellStyle name="40% - Accent5 4 5 2" xfId="4167" xr:uid="{00000000-0005-0000-0000-0000C8060000}"/>
    <cellStyle name="40% - Accent5 4 5 2 2" xfId="8390" xr:uid="{00000000-0005-0000-0000-0000C9060000}"/>
    <cellStyle name="40% - Accent5 4 5 2 2 2" xfId="16832" xr:uid="{33793798-6BC0-4207-8CAD-B0E493C2C1F0}"/>
    <cellStyle name="40% - Accent5 4 5 2 3" xfId="12614" xr:uid="{3490E0FA-8556-4C8A-AA67-E8AF7B23DBAA}"/>
    <cellStyle name="40% - Accent5 4 5 3" xfId="6245" xr:uid="{00000000-0005-0000-0000-0000CA060000}"/>
    <cellStyle name="40% - Accent5 4 5 3 2" xfId="14687" xr:uid="{1A376DA2-92EB-49A6-9EEE-44207D295DA3}"/>
    <cellStyle name="40% - Accent5 4 5 4" xfId="10469" xr:uid="{147A4F67-1798-42E7-8032-310EC2C38128}"/>
    <cellStyle name="40% - Accent5 4 6" xfId="2351" xr:uid="{00000000-0005-0000-0000-0000CB060000}"/>
    <cellStyle name="40% - Accent5 4 6 2" xfId="6658" xr:uid="{00000000-0005-0000-0000-0000CC060000}"/>
    <cellStyle name="40% - Accent5 4 6 2 2" xfId="15100" xr:uid="{25CA7895-DA4D-43F6-AE57-3DAC49B5B4FF}"/>
    <cellStyle name="40% - Accent5 4 6 3" xfId="10882" xr:uid="{86E389D5-231E-4E4F-9256-3934B72266F4}"/>
    <cellStyle name="40% - Accent5 4 7" xfId="4592" xr:uid="{00000000-0005-0000-0000-0000CD060000}"/>
    <cellStyle name="40% - Accent5 4 7 2" xfId="13034" xr:uid="{0209F223-3A10-421B-880A-FCDA9F9EE779}"/>
    <cellStyle name="40% - Accent5 4 8" xfId="8816" xr:uid="{BDA6D1D7-2FA2-4A97-A886-AD27B9029632}"/>
    <cellStyle name="40% - Accent5 5" xfId="650" xr:uid="{00000000-0005-0000-0000-0000CE060000}"/>
    <cellStyle name="40% - Accent5 5 2" xfId="2921" xr:uid="{00000000-0005-0000-0000-0000CF060000}"/>
    <cellStyle name="40% - Accent5 5 2 2" xfId="7144" xr:uid="{00000000-0005-0000-0000-0000D0060000}"/>
    <cellStyle name="40% - Accent5 5 2 2 2" xfId="15586" xr:uid="{A06BE359-02BF-4D15-82AA-4332C8F117E3}"/>
    <cellStyle name="40% - Accent5 5 2 3" xfId="11368" xr:uid="{B321D43E-4E06-415D-A2C7-C0CDB5016C2B}"/>
    <cellStyle name="40% - Accent5 5 3" xfId="4999" xr:uid="{00000000-0005-0000-0000-0000D1060000}"/>
    <cellStyle name="40% - Accent5 5 3 2" xfId="13441" xr:uid="{9BEFAD9F-0A26-4B37-A3C1-ADB3DB5A3F84}"/>
    <cellStyle name="40% - Accent5 5 4" xfId="9223" xr:uid="{09AADAFA-EC2F-40F8-BF5D-C28ACB1752EC}"/>
    <cellStyle name="40% - Accent5 6" xfId="1103" xr:uid="{00000000-0005-0000-0000-0000D2060000}"/>
    <cellStyle name="40% - Accent5 6 2" xfId="3334" xr:uid="{00000000-0005-0000-0000-0000D3060000}"/>
    <cellStyle name="40% - Accent5 6 2 2" xfId="7557" xr:uid="{00000000-0005-0000-0000-0000D4060000}"/>
    <cellStyle name="40% - Accent5 6 2 2 2" xfId="15999" xr:uid="{B9E89E36-FD71-4C4F-86A9-2F46F4C08652}"/>
    <cellStyle name="40% - Accent5 6 2 3" xfId="11781" xr:uid="{E981B2ED-4370-459D-A2CF-B03C252F0309}"/>
    <cellStyle name="40% - Accent5 6 3" xfId="5412" xr:uid="{00000000-0005-0000-0000-0000D5060000}"/>
    <cellStyle name="40% - Accent5 6 3 2" xfId="13854" xr:uid="{E315C783-393B-45C7-8BF1-3B09AB822857}"/>
    <cellStyle name="40% - Accent5 6 4" xfId="9636" xr:uid="{F3AD64EA-B30F-4B12-AA15-F00291597F87}"/>
    <cellStyle name="40% - Accent5 7" xfId="1517" xr:uid="{00000000-0005-0000-0000-0000D6060000}"/>
    <cellStyle name="40% - Accent5 7 2" xfId="3747" xr:uid="{00000000-0005-0000-0000-0000D7060000}"/>
    <cellStyle name="40% - Accent5 7 2 2" xfId="7970" xr:uid="{00000000-0005-0000-0000-0000D8060000}"/>
    <cellStyle name="40% - Accent5 7 2 2 2" xfId="16412" xr:uid="{7C4A41A3-D70A-4040-853A-4EF75B9D33D8}"/>
    <cellStyle name="40% - Accent5 7 2 3" xfId="12194" xr:uid="{41131AEC-6CF0-4CD4-9A7A-8BBD8B479999}"/>
    <cellStyle name="40% - Accent5 7 3" xfId="5825" xr:uid="{00000000-0005-0000-0000-0000D9060000}"/>
    <cellStyle name="40% - Accent5 7 3 2" xfId="14267" xr:uid="{8AE3C136-C4EA-4FF6-948A-814D60E74A68}"/>
    <cellStyle name="40% - Accent5 7 4" xfId="10049" xr:uid="{399C6C62-284B-41FA-AD48-DE2B6D81D3EC}"/>
    <cellStyle name="40% - Accent5 8" xfId="1931" xr:uid="{00000000-0005-0000-0000-0000DA060000}"/>
    <cellStyle name="40% - Accent5 8 2" xfId="4160" xr:uid="{00000000-0005-0000-0000-0000DB060000}"/>
    <cellStyle name="40% - Accent5 8 2 2" xfId="8383" xr:uid="{00000000-0005-0000-0000-0000DC060000}"/>
    <cellStyle name="40% - Accent5 8 2 2 2" xfId="16825" xr:uid="{5AC2E0E5-90EA-481E-A220-D81B82B112ED}"/>
    <cellStyle name="40% - Accent5 8 2 3" xfId="12607" xr:uid="{776ADDB2-AF2F-404E-96B7-CC68E5A2F9BE}"/>
    <cellStyle name="40% - Accent5 8 3" xfId="6238" xr:uid="{00000000-0005-0000-0000-0000DD060000}"/>
    <cellStyle name="40% - Accent5 8 3 2" xfId="14680" xr:uid="{E6008487-9BBB-4559-B04B-D493F19EC5EE}"/>
    <cellStyle name="40% - Accent5 8 4" xfId="10462" xr:uid="{6B3906B8-2E36-4958-AF20-6A58B1F85F06}"/>
    <cellStyle name="40% - Accent5 9" xfId="2344" xr:uid="{00000000-0005-0000-0000-0000DE060000}"/>
    <cellStyle name="40% - Accent5 9 2" xfId="6651" xr:uid="{00000000-0005-0000-0000-0000DF060000}"/>
    <cellStyle name="40% - Accent5 9 2 2" xfId="15093" xr:uid="{658EC456-15D9-4A2B-BAEA-D02A6F64AE31}"/>
    <cellStyle name="40% - Accent5 9 3" xfId="10875" xr:uid="{E0B5E0A9-F2BC-43AD-9DCF-93DAC582118A}"/>
    <cellStyle name="40% - Accent6" xfId="89" builtinId="51" customBuiltin="1"/>
    <cellStyle name="40% - Accent6 10" xfId="4593" xr:uid="{00000000-0005-0000-0000-0000E1060000}"/>
    <cellStyle name="40% - Accent6 10 2" xfId="13035" xr:uid="{833E8B1D-03A0-4934-8CD9-3DB42EE1CD0A}"/>
    <cellStyle name="40% - Accent6 11" xfId="8817" xr:uid="{6E6DA253-8345-4B23-ACC8-87D1ED12B828}"/>
    <cellStyle name="40% - Accent6 2" xfId="90" xr:uid="{00000000-0005-0000-0000-0000E2060000}"/>
    <cellStyle name="40% - Accent6 2 10" xfId="8818" xr:uid="{CEF22E28-3F84-4E3F-9A25-AD0064E74D96}"/>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2 2 2" xfId="15597" xr:uid="{524255EE-3D3A-405B-A166-E21C91CDA813}"/>
    <cellStyle name="40% - Accent6 2 2 2 2 2 3" xfId="11379" xr:uid="{F2AD776F-36C6-4781-8E55-0517386F91CC}"/>
    <cellStyle name="40% - Accent6 2 2 2 2 3" xfId="5010" xr:uid="{00000000-0005-0000-0000-0000E8060000}"/>
    <cellStyle name="40% - Accent6 2 2 2 2 3 2" xfId="13452" xr:uid="{0D0E481A-4A63-4111-A5A1-4357ABA4B865}"/>
    <cellStyle name="40% - Accent6 2 2 2 2 4" xfId="9234" xr:uid="{7170857C-F78D-45C3-A53E-8909083C1041}"/>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2 2 2" xfId="16010" xr:uid="{23939979-1AA6-4EAE-AB67-A47E48C12CAB}"/>
    <cellStyle name="40% - Accent6 2 2 2 3 2 3" xfId="11792" xr:uid="{2A0A9D3A-2F35-4064-8055-C62D427D6608}"/>
    <cellStyle name="40% - Accent6 2 2 2 3 3" xfId="5423" xr:uid="{00000000-0005-0000-0000-0000EC060000}"/>
    <cellStyle name="40% - Accent6 2 2 2 3 3 2" xfId="13865" xr:uid="{4C98702A-74ED-49E3-B30F-8917EB8E3CAD}"/>
    <cellStyle name="40% - Accent6 2 2 2 3 4" xfId="9647" xr:uid="{66B86949-098C-4CE2-A9C2-E12B570EDFEC}"/>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2 2 2" xfId="16423" xr:uid="{A6EA9D71-FAC0-41B2-B932-831A665EF401}"/>
    <cellStyle name="40% - Accent6 2 2 2 4 2 3" xfId="12205" xr:uid="{444FD557-5C06-44BC-A9BE-48EEC1DC18F4}"/>
    <cellStyle name="40% - Accent6 2 2 2 4 3" xfId="5836" xr:uid="{00000000-0005-0000-0000-0000F0060000}"/>
    <cellStyle name="40% - Accent6 2 2 2 4 3 2" xfId="14278" xr:uid="{8B6AB138-CC17-4766-8BD4-29A1E1A92F01}"/>
    <cellStyle name="40% - Accent6 2 2 2 4 4" xfId="10060" xr:uid="{4BAFCE90-6306-4DDE-972A-4A92F594A3B5}"/>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2 2 2" xfId="16836" xr:uid="{2C778750-2B74-48D8-AEF5-C62A31921DEE}"/>
    <cellStyle name="40% - Accent6 2 2 2 5 2 3" xfId="12618" xr:uid="{613F4D9E-3676-4F5A-8861-4ACF147DEEBC}"/>
    <cellStyle name="40% - Accent6 2 2 2 5 3" xfId="6249" xr:uid="{00000000-0005-0000-0000-0000F4060000}"/>
    <cellStyle name="40% - Accent6 2 2 2 5 3 2" xfId="14691" xr:uid="{47BF344D-16BA-4F41-98DC-E3F85704BC0E}"/>
    <cellStyle name="40% - Accent6 2 2 2 5 4" xfId="10473" xr:uid="{2CAA1FB6-82FB-4AAF-8D9D-6318E35FAD73}"/>
    <cellStyle name="40% - Accent6 2 2 2 6" xfId="2355" xr:uid="{00000000-0005-0000-0000-0000F5060000}"/>
    <cellStyle name="40% - Accent6 2 2 2 6 2" xfId="6662" xr:uid="{00000000-0005-0000-0000-0000F6060000}"/>
    <cellStyle name="40% - Accent6 2 2 2 6 2 2" xfId="15104" xr:uid="{B5E806EE-0E07-4DF9-8352-B09CC4ED50A3}"/>
    <cellStyle name="40% - Accent6 2 2 2 6 3" xfId="10886" xr:uid="{8AF4A433-17EA-4DC2-B7BF-5D4A4F12F999}"/>
    <cellStyle name="40% - Accent6 2 2 2 7" xfId="4596" xr:uid="{00000000-0005-0000-0000-0000F7060000}"/>
    <cellStyle name="40% - Accent6 2 2 2 7 2" xfId="13038" xr:uid="{6864908D-17D3-4228-A83C-449F7D59CEB8}"/>
    <cellStyle name="40% - Accent6 2 2 2 8" xfId="8820" xr:uid="{F9C14CB0-93AC-4E1C-B70D-B348E3DDF4F5}"/>
    <cellStyle name="40% - Accent6 2 2 3" xfId="660" xr:uid="{00000000-0005-0000-0000-0000F8060000}"/>
    <cellStyle name="40% - Accent6 2 2 3 2" xfId="2931" xr:uid="{00000000-0005-0000-0000-0000F9060000}"/>
    <cellStyle name="40% - Accent6 2 2 3 2 2" xfId="7154" xr:uid="{00000000-0005-0000-0000-0000FA060000}"/>
    <cellStyle name="40% - Accent6 2 2 3 2 2 2" xfId="15596" xr:uid="{B869C9AA-E827-4E13-B2D1-81E309BA9E82}"/>
    <cellStyle name="40% - Accent6 2 2 3 2 3" xfId="11378" xr:uid="{F6D00ABE-0C0A-4BB7-BB10-86B9D5EC8A90}"/>
    <cellStyle name="40% - Accent6 2 2 3 3" xfId="5009" xr:uid="{00000000-0005-0000-0000-0000FB060000}"/>
    <cellStyle name="40% - Accent6 2 2 3 3 2" xfId="13451" xr:uid="{16ECBEBF-8F8D-4E60-8B0A-334216395B92}"/>
    <cellStyle name="40% - Accent6 2 2 3 4" xfId="9233" xr:uid="{EF2603D8-EAC8-4AA5-B1AE-3A45C35A6F60}"/>
    <cellStyle name="40% - Accent6 2 2 4" xfId="1113" xr:uid="{00000000-0005-0000-0000-0000FC060000}"/>
    <cellStyle name="40% - Accent6 2 2 4 2" xfId="3344" xr:uid="{00000000-0005-0000-0000-0000FD060000}"/>
    <cellStyle name="40% - Accent6 2 2 4 2 2" xfId="7567" xr:uid="{00000000-0005-0000-0000-0000FE060000}"/>
    <cellStyle name="40% - Accent6 2 2 4 2 2 2" xfId="16009" xr:uid="{053A80FD-8C0B-4638-A682-919DD5160BD0}"/>
    <cellStyle name="40% - Accent6 2 2 4 2 3" xfId="11791" xr:uid="{90C30383-ADAB-40E2-89ED-957DCED5413F}"/>
    <cellStyle name="40% - Accent6 2 2 4 3" xfId="5422" xr:uid="{00000000-0005-0000-0000-0000FF060000}"/>
    <cellStyle name="40% - Accent6 2 2 4 3 2" xfId="13864" xr:uid="{E8B05269-F57C-44C0-9328-3DDF0EC33FD3}"/>
    <cellStyle name="40% - Accent6 2 2 4 4" xfId="9646" xr:uid="{D67434CD-F1E8-4303-B11D-6EA4BF32E807}"/>
    <cellStyle name="40% - Accent6 2 2 5" xfId="1527" xr:uid="{00000000-0005-0000-0000-000000070000}"/>
    <cellStyle name="40% - Accent6 2 2 5 2" xfId="3757" xr:uid="{00000000-0005-0000-0000-000001070000}"/>
    <cellStyle name="40% - Accent6 2 2 5 2 2" xfId="7980" xr:uid="{00000000-0005-0000-0000-000002070000}"/>
    <cellStyle name="40% - Accent6 2 2 5 2 2 2" xfId="16422" xr:uid="{B34CF284-BAC8-468E-B50D-B6DB0043C229}"/>
    <cellStyle name="40% - Accent6 2 2 5 2 3" xfId="12204" xr:uid="{C3EFDA3B-13D5-4CB8-9067-9B0664523749}"/>
    <cellStyle name="40% - Accent6 2 2 5 3" xfId="5835" xr:uid="{00000000-0005-0000-0000-000003070000}"/>
    <cellStyle name="40% - Accent6 2 2 5 3 2" xfId="14277" xr:uid="{76302495-6B66-4C05-B171-838B42A98886}"/>
    <cellStyle name="40% - Accent6 2 2 5 4" xfId="10059" xr:uid="{11C85D44-C1C8-4B3F-9F63-3E3E87F07A8B}"/>
    <cellStyle name="40% - Accent6 2 2 6" xfId="1941" xr:uid="{00000000-0005-0000-0000-000004070000}"/>
    <cellStyle name="40% - Accent6 2 2 6 2" xfId="4170" xr:uid="{00000000-0005-0000-0000-000005070000}"/>
    <cellStyle name="40% - Accent6 2 2 6 2 2" xfId="8393" xr:uid="{00000000-0005-0000-0000-000006070000}"/>
    <cellStyle name="40% - Accent6 2 2 6 2 2 2" xfId="16835" xr:uid="{0C394C85-9F69-44F1-AF55-98C8111C593A}"/>
    <cellStyle name="40% - Accent6 2 2 6 2 3" xfId="12617" xr:uid="{7151CB11-62DF-4FE2-8B1C-2FE7E1845831}"/>
    <cellStyle name="40% - Accent6 2 2 6 3" xfId="6248" xr:uid="{00000000-0005-0000-0000-000007070000}"/>
    <cellStyle name="40% - Accent6 2 2 6 3 2" xfId="14690" xr:uid="{AAF8E156-5EB2-4472-BA25-A8EEEC102EF2}"/>
    <cellStyle name="40% - Accent6 2 2 6 4" xfId="10472" xr:uid="{1DE89B79-0E71-4269-BF5D-43619D6F0DE7}"/>
    <cellStyle name="40% - Accent6 2 2 7" xfId="2354" xr:uid="{00000000-0005-0000-0000-000008070000}"/>
    <cellStyle name="40% - Accent6 2 2 7 2" xfId="6661" xr:uid="{00000000-0005-0000-0000-000009070000}"/>
    <cellStyle name="40% - Accent6 2 2 7 2 2" xfId="15103" xr:uid="{1BA7C5AE-4359-49CC-A8F3-0110BFD4C9D2}"/>
    <cellStyle name="40% - Accent6 2 2 7 3" xfId="10885" xr:uid="{57EF7C04-AB86-42AC-B11D-55E83496ED6E}"/>
    <cellStyle name="40% - Accent6 2 2 8" xfId="4595" xr:uid="{00000000-0005-0000-0000-00000A070000}"/>
    <cellStyle name="40% - Accent6 2 2 8 2" xfId="13037" xr:uid="{016838D4-FD58-499B-B673-BF4365D75452}"/>
    <cellStyle name="40% - Accent6 2 2 9" xfId="8819" xr:uid="{389BCC1F-1943-4128-BDA9-E6C6E8F32F8B}"/>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2 2 2" xfId="15598" xr:uid="{3099EF83-C5D2-4DA7-A101-847AB8D75F54}"/>
    <cellStyle name="40% - Accent6 2 3 2 2 3" xfId="11380" xr:uid="{F97C2160-8618-42B1-AB29-D49F13C0E740}"/>
    <cellStyle name="40% - Accent6 2 3 2 3" xfId="5011" xr:uid="{00000000-0005-0000-0000-00000F070000}"/>
    <cellStyle name="40% - Accent6 2 3 2 3 2" xfId="13453" xr:uid="{8D71C7AF-E4CC-4272-B2AC-73667AF6B9F5}"/>
    <cellStyle name="40% - Accent6 2 3 2 4" xfId="9235" xr:uid="{75163C7E-C2B5-4AB6-9ECD-AFE5854A231B}"/>
    <cellStyle name="40% - Accent6 2 3 3" xfId="1115" xr:uid="{00000000-0005-0000-0000-000010070000}"/>
    <cellStyle name="40% - Accent6 2 3 3 2" xfId="3346" xr:uid="{00000000-0005-0000-0000-000011070000}"/>
    <cellStyle name="40% - Accent6 2 3 3 2 2" xfId="7569" xr:uid="{00000000-0005-0000-0000-000012070000}"/>
    <cellStyle name="40% - Accent6 2 3 3 2 2 2" xfId="16011" xr:uid="{60E421B7-3E6C-47C7-970A-3D028139292E}"/>
    <cellStyle name="40% - Accent6 2 3 3 2 3" xfId="11793" xr:uid="{42E60421-7890-4BAE-B712-E9D4E1B193FF}"/>
    <cellStyle name="40% - Accent6 2 3 3 3" xfId="5424" xr:uid="{00000000-0005-0000-0000-000013070000}"/>
    <cellStyle name="40% - Accent6 2 3 3 3 2" xfId="13866" xr:uid="{8CA938FE-C022-46FE-9926-585CB98B41AB}"/>
    <cellStyle name="40% - Accent6 2 3 3 4" xfId="9648" xr:uid="{3EDEE9CC-C5F2-4AA3-874A-941377AE801C}"/>
    <cellStyle name="40% - Accent6 2 3 4" xfId="1529" xr:uid="{00000000-0005-0000-0000-000014070000}"/>
    <cellStyle name="40% - Accent6 2 3 4 2" xfId="3759" xr:uid="{00000000-0005-0000-0000-000015070000}"/>
    <cellStyle name="40% - Accent6 2 3 4 2 2" xfId="7982" xr:uid="{00000000-0005-0000-0000-000016070000}"/>
    <cellStyle name="40% - Accent6 2 3 4 2 2 2" xfId="16424" xr:uid="{1763F881-13FE-4573-8F31-372BD82C3D84}"/>
    <cellStyle name="40% - Accent6 2 3 4 2 3" xfId="12206" xr:uid="{8EB18DBA-5E5F-4A38-AB7E-2877950ABCC4}"/>
    <cellStyle name="40% - Accent6 2 3 4 3" xfId="5837" xr:uid="{00000000-0005-0000-0000-000017070000}"/>
    <cellStyle name="40% - Accent6 2 3 4 3 2" xfId="14279" xr:uid="{B77686B8-C5B2-4E06-8289-5F9F9ED74457}"/>
    <cellStyle name="40% - Accent6 2 3 4 4" xfId="10061" xr:uid="{E50FFFB1-8E38-4A0F-8D4B-FB57EEDA0962}"/>
    <cellStyle name="40% - Accent6 2 3 5" xfId="1943" xr:uid="{00000000-0005-0000-0000-000018070000}"/>
    <cellStyle name="40% - Accent6 2 3 5 2" xfId="4172" xr:uid="{00000000-0005-0000-0000-000019070000}"/>
    <cellStyle name="40% - Accent6 2 3 5 2 2" xfId="8395" xr:uid="{00000000-0005-0000-0000-00001A070000}"/>
    <cellStyle name="40% - Accent6 2 3 5 2 2 2" xfId="16837" xr:uid="{D818BBCD-4973-4AAA-8513-68D83B956CFF}"/>
    <cellStyle name="40% - Accent6 2 3 5 2 3" xfId="12619" xr:uid="{A5F756F8-4F06-4318-8626-A371A3F4700C}"/>
    <cellStyle name="40% - Accent6 2 3 5 3" xfId="6250" xr:uid="{00000000-0005-0000-0000-00001B070000}"/>
    <cellStyle name="40% - Accent6 2 3 5 3 2" xfId="14692" xr:uid="{8E529D12-6E4D-4908-97C5-4632AC427610}"/>
    <cellStyle name="40% - Accent6 2 3 5 4" xfId="10474" xr:uid="{46B9C5AC-B7F6-4C68-9F60-F0953BAFDC55}"/>
    <cellStyle name="40% - Accent6 2 3 6" xfId="2356" xr:uid="{00000000-0005-0000-0000-00001C070000}"/>
    <cellStyle name="40% - Accent6 2 3 6 2" xfId="6663" xr:uid="{00000000-0005-0000-0000-00001D070000}"/>
    <cellStyle name="40% - Accent6 2 3 6 2 2" xfId="15105" xr:uid="{376F242C-B29A-4496-B1B6-AAC26D5015BF}"/>
    <cellStyle name="40% - Accent6 2 3 6 3" xfId="10887" xr:uid="{5C97CDB1-BE17-40EB-ADE1-3830705F3ABC}"/>
    <cellStyle name="40% - Accent6 2 3 7" xfId="4597" xr:uid="{00000000-0005-0000-0000-00001E070000}"/>
    <cellStyle name="40% - Accent6 2 3 7 2" xfId="13039" xr:uid="{41475603-0BEC-4FFB-A3AD-DD8A3C96EC35}"/>
    <cellStyle name="40% - Accent6 2 3 8" xfId="8821" xr:uid="{110D26E6-BB85-4E3A-A5AB-3906D0E37F93}"/>
    <cellStyle name="40% - Accent6 2 4" xfId="659" xr:uid="{00000000-0005-0000-0000-00001F070000}"/>
    <cellStyle name="40% - Accent6 2 4 2" xfId="2930" xr:uid="{00000000-0005-0000-0000-000020070000}"/>
    <cellStyle name="40% - Accent6 2 4 2 2" xfId="7153" xr:uid="{00000000-0005-0000-0000-000021070000}"/>
    <cellStyle name="40% - Accent6 2 4 2 2 2" xfId="15595" xr:uid="{733BC54E-E928-4216-A03C-27975D79B27E}"/>
    <cellStyle name="40% - Accent6 2 4 2 3" xfId="11377" xr:uid="{C08A9B8E-3ABB-4DEC-88EC-FBA3ECAA095B}"/>
    <cellStyle name="40% - Accent6 2 4 3" xfId="5008" xr:uid="{00000000-0005-0000-0000-000022070000}"/>
    <cellStyle name="40% - Accent6 2 4 3 2" xfId="13450" xr:uid="{D73DAD7A-214F-4C04-97D6-47160F376E66}"/>
    <cellStyle name="40% - Accent6 2 4 4" xfId="9232" xr:uid="{8F36D46C-E42E-4E93-AAF8-682FFB283E76}"/>
    <cellStyle name="40% - Accent6 2 5" xfId="1112" xr:uid="{00000000-0005-0000-0000-000023070000}"/>
    <cellStyle name="40% - Accent6 2 5 2" xfId="3343" xr:uid="{00000000-0005-0000-0000-000024070000}"/>
    <cellStyle name="40% - Accent6 2 5 2 2" xfId="7566" xr:uid="{00000000-0005-0000-0000-000025070000}"/>
    <cellStyle name="40% - Accent6 2 5 2 2 2" xfId="16008" xr:uid="{E60C283A-A27C-4054-920B-870B0740B293}"/>
    <cellStyle name="40% - Accent6 2 5 2 3" xfId="11790" xr:uid="{227A2F30-2EE0-4E06-B9B1-01F8078E3D14}"/>
    <cellStyle name="40% - Accent6 2 5 3" xfId="5421" xr:uid="{00000000-0005-0000-0000-000026070000}"/>
    <cellStyle name="40% - Accent6 2 5 3 2" xfId="13863" xr:uid="{49A7177A-2342-4980-9C1D-9B69A94633A1}"/>
    <cellStyle name="40% - Accent6 2 5 4" xfId="9645" xr:uid="{643BB894-0266-46CF-84B3-352A5F41950C}"/>
    <cellStyle name="40% - Accent6 2 6" xfId="1526" xr:uid="{00000000-0005-0000-0000-000027070000}"/>
    <cellStyle name="40% - Accent6 2 6 2" xfId="3756" xr:uid="{00000000-0005-0000-0000-000028070000}"/>
    <cellStyle name="40% - Accent6 2 6 2 2" xfId="7979" xr:uid="{00000000-0005-0000-0000-000029070000}"/>
    <cellStyle name="40% - Accent6 2 6 2 2 2" xfId="16421" xr:uid="{CB1E6E5D-8266-43FE-B7DE-A5F3932785C2}"/>
    <cellStyle name="40% - Accent6 2 6 2 3" xfId="12203" xr:uid="{EF6168C2-390F-417F-87B3-AE749FA2B12D}"/>
    <cellStyle name="40% - Accent6 2 6 3" xfId="5834" xr:uid="{00000000-0005-0000-0000-00002A070000}"/>
    <cellStyle name="40% - Accent6 2 6 3 2" xfId="14276" xr:uid="{8122EB08-70A8-4283-A077-CADF165CA26C}"/>
    <cellStyle name="40% - Accent6 2 6 4" xfId="10058" xr:uid="{F9039C4D-A79A-4F07-9785-FE2AC7EA8758}"/>
    <cellStyle name="40% - Accent6 2 7" xfId="1940" xr:uid="{00000000-0005-0000-0000-00002B070000}"/>
    <cellStyle name="40% - Accent6 2 7 2" xfId="4169" xr:uid="{00000000-0005-0000-0000-00002C070000}"/>
    <cellStyle name="40% - Accent6 2 7 2 2" xfId="8392" xr:uid="{00000000-0005-0000-0000-00002D070000}"/>
    <cellStyle name="40% - Accent6 2 7 2 2 2" xfId="16834" xr:uid="{29A62FF3-4FEA-4732-997A-1F9304ABAD82}"/>
    <cellStyle name="40% - Accent6 2 7 2 3" xfId="12616" xr:uid="{CE5CBE03-694F-4E8B-B70C-C3A1FEE7DABC}"/>
    <cellStyle name="40% - Accent6 2 7 3" xfId="6247" xr:uid="{00000000-0005-0000-0000-00002E070000}"/>
    <cellStyle name="40% - Accent6 2 7 3 2" xfId="14689" xr:uid="{F8F9BC76-A1BC-4867-99BC-89F4CDE8DD49}"/>
    <cellStyle name="40% - Accent6 2 7 4" xfId="10471" xr:uid="{72409D70-63B2-49C6-B112-1535CDBF4B13}"/>
    <cellStyle name="40% - Accent6 2 8" xfId="2353" xr:uid="{00000000-0005-0000-0000-00002F070000}"/>
    <cellStyle name="40% - Accent6 2 8 2" xfId="6660" xr:uid="{00000000-0005-0000-0000-000030070000}"/>
    <cellStyle name="40% - Accent6 2 8 2 2" xfId="15102" xr:uid="{4B2AA977-4F50-403C-A604-E82F0BDD062C}"/>
    <cellStyle name="40% - Accent6 2 8 3" xfId="10884" xr:uid="{8DD1A6D4-7BF8-4C20-B879-220C2F187E40}"/>
    <cellStyle name="40% - Accent6 2 9" xfId="4594" xr:uid="{00000000-0005-0000-0000-000031070000}"/>
    <cellStyle name="40% - Accent6 2 9 2" xfId="13036" xr:uid="{4108ED68-A950-473E-90EF-0F85F4072546}"/>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2 2 2" xfId="15600" xr:uid="{40F5A5DF-42A7-4761-BE47-637B0F6E53A3}"/>
    <cellStyle name="40% - Accent6 3 2 2 2 3" xfId="11382" xr:uid="{EA782FAB-62A2-461F-9407-F057B64AFE2E}"/>
    <cellStyle name="40% - Accent6 3 2 2 3" xfId="5013" xr:uid="{00000000-0005-0000-0000-000037070000}"/>
    <cellStyle name="40% - Accent6 3 2 2 3 2" xfId="13455" xr:uid="{2ECE7B20-859B-418A-B5D9-18063C612939}"/>
    <cellStyle name="40% - Accent6 3 2 2 4" xfId="9237" xr:uid="{C3E5F687-3F4C-4732-AFFE-6A2208B6F6EB}"/>
    <cellStyle name="40% - Accent6 3 2 3" xfId="1117" xr:uid="{00000000-0005-0000-0000-000038070000}"/>
    <cellStyle name="40% - Accent6 3 2 3 2" xfId="3348" xr:uid="{00000000-0005-0000-0000-000039070000}"/>
    <cellStyle name="40% - Accent6 3 2 3 2 2" xfId="7571" xr:uid="{00000000-0005-0000-0000-00003A070000}"/>
    <cellStyle name="40% - Accent6 3 2 3 2 2 2" xfId="16013" xr:uid="{4C26BCEE-2A6B-42B5-8A6B-FA9E9AD98689}"/>
    <cellStyle name="40% - Accent6 3 2 3 2 3" xfId="11795" xr:uid="{E7408496-2C87-468A-8676-8711CB200298}"/>
    <cellStyle name="40% - Accent6 3 2 3 3" xfId="5426" xr:uid="{00000000-0005-0000-0000-00003B070000}"/>
    <cellStyle name="40% - Accent6 3 2 3 3 2" xfId="13868" xr:uid="{D6B26301-D4A0-44C7-8E2C-DDF22D81D54D}"/>
    <cellStyle name="40% - Accent6 3 2 3 4" xfId="9650" xr:uid="{6F01FE52-9A30-48A8-9B78-20842DBFAF9E}"/>
    <cellStyle name="40% - Accent6 3 2 4" xfId="1531" xr:uid="{00000000-0005-0000-0000-00003C070000}"/>
    <cellStyle name="40% - Accent6 3 2 4 2" xfId="3761" xr:uid="{00000000-0005-0000-0000-00003D070000}"/>
    <cellStyle name="40% - Accent6 3 2 4 2 2" xfId="7984" xr:uid="{00000000-0005-0000-0000-00003E070000}"/>
    <cellStyle name="40% - Accent6 3 2 4 2 2 2" xfId="16426" xr:uid="{6727B7F3-1845-4C5A-A5AC-11C616CCE0F1}"/>
    <cellStyle name="40% - Accent6 3 2 4 2 3" xfId="12208" xr:uid="{899B5B79-2AB4-44B5-88F5-89632ECCE1F2}"/>
    <cellStyle name="40% - Accent6 3 2 4 3" xfId="5839" xr:uid="{00000000-0005-0000-0000-00003F070000}"/>
    <cellStyle name="40% - Accent6 3 2 4 3 2" xfId="14281" xr:uid="{F385F7FE-F3D4-48ED-9441-891432D065B7}"/>
    <cellStyle name="40% - Accent6 3 2 4 4" xfId="10063" xr:uid="{DD47D310-8C0A-4816-A5D5-60AF079C6B1D}"/>
    <cellStyle name="40% - Accent6 3 2 5" xfId="1945" xr:uid="{00000000-0005-0000-0000-000040070000}"/>
    <cellStyle name="40% - Accent6 3 2 5 2" xfId="4174" xr:uid="{00000000-0005-0000-0000-000041070000}"/>
    <cellStyle name="40% - Accent6 3 2 5 2 2" xfId="8397" xr:uid="{00000000-0005-0000-0000-000042070000}"/>
    <cellStyle name="40% - Accent6 3 2 5 2 2 2" xfId="16839" xr:uid="{E05A86BE-D9A1-401C-910A-ABD3DCE93813}"/>
    <cellStyle name="40% - Accent6 3 2 5 2 3" xfId="12621" xr:uid="{48D4867E-424F-419D-B8F8-4F6CD741EDE9}"/>
    <cellStyle name="40% - Accent6 3 2 5 3" xfId="6252" xr:uid="{00000000-0005-0000-0000-000043070000}"/>
    <cellStyle name="40% - Accent6 3 2 5 3 2" xfId="14694" xr:uid="{3C02A1AD-8D58-406D-9FAE-76BA004810A0}"/>
    <cellStyle name="40% - Accent6 3 2 5 4" xfId="10476" xr:uid="{BEC1E34C-205A-426D-96ED-A96DADC29350}"/>
    <cellStyle name="40% - Accent6 3 2 6" xfId="2358" xr:uid="{00000000-0005-0000-0000-000044070000}"/>
    <cellStyle name="40% - Accent6 3 2 6 2" xfId="6665" xr:uid="{00000000-0005-0000-0000-000045070000}"/>
    <cellStyle name="40% - Accent6 3 2 6 2 2" xfId="15107" xr:uid="{BF36EF15-FCF9-46BC-9882-1B8C21082671}"/>
    <cellStyle name="40% - Accent6 3 2 6 3" xfId="10889" xr:uid="{285361EB-9CC9-404E-98B8-967585B8C739}"/>
    <cellStyle name="40% - Accent6 3 2 7" xfId="4599" xr:uid="{00000000-0005-0000-0000-000046070000}"/>
    <cellStyle name="40% - Accent6 3 2 7 2" xfId="13041" xr:uid="{79A6B50D-41D2-41B6-B1A7-AB6E98F44C6F}"/>
    <cellStyle name="40% - Accent6 3 2 8" xfId="8823" xr:uid="{BE1AB758-70A9-463A-A7B5-4DF920F64DC6}"/>
    <cellStyle name="40% - Accent6 3 3" xfId="663" xr:uid="{00000000-0005-0000-0000-000047070000}"/>
    <cellStyle name="40% - Accent6 3 3 2" xfId="2934" xr:uid="{00000000-0005-0000-0000-000048070000}"/>
    <cellStyle name="40% - Accent6 3 3 2 2" xfId="7157" xr:uid="{00000000-0005-0000-0000-000049070000}"/>
    <cellStyle name="40% - Accent6 3 3 2 2 2" xfId="15599" xr:uid="{8694DFC6-564E-418A-839E-93948B3A0D48}"/>
    <cellStyle name="40% - Accent6 3 3 2 3" xfId="11381" xr:uid="{977BE525-D071-4E14-BE48-C43A88E5A022}"/>
    <cellStyle name="40% - Accent6 3 3 3" xfId="5012" xr:uid="{00000000-0005-0000-0000-00004A070000}"/>
    <cellStyle name="40% - Accent6 3 3 3 2" xfId="13454" xr:uid="{5F250F8C-41F3-4C1C-8AE8-52A451E506C6}"/>
    <cellStyle name="40% - Accent6 3 3 4" xfId="9236" xr:uid="{AEDE8555-D422-4B10-954D-4026114FF736}"/>
    <cellStyle name="40% - Accent6 3 4" xfId="1116" xr:uid="{00000000-0005-0000-0000-00004B070000}"/>
    <cellStyle name="40% - Accent6 3 4 2" xfId="3347" xr:uid="{00000000-0005-0000-0000-00004C070000}"/>
    <cellStyle name="40% - Accent6 3 4 2 2" xfId="7570" xr:uid="{00000000-0005-0000-0000-00004D070000}"/>
    <cellStyle name="40% - Accent6 3 4 2 2 2" xfId="16012" xr:uid="{CAFF3968-37E8-41FE-BF62-3C00928FB8F4}"/>
    <cellStyle name="40% - Accent6 3 4 2 3" xfId="11794" xr:uid="{D89A276B-9F95-4A22-AC35-7BDA9A69F1F3}"/>
    <cellStyle name="40% - Accent6 3 4 3" xfId="5425" xr:uid="{00000000-0005-0000-0000-00004E070000}"/>
    <cellStyle name="40% - Accent6 3 4 3 2" xfId="13867" xr:uid="{F6A0221A-B265-491B-A9B8-6A83565F0D58}"/>
    <cellStyle name="40% - Accent6 3 4 4" xfId="9649" xr:uid="{A8B3E52C-BED0-46E8-B721-3B407F103259}"/>
    <cellStyle name="40% - Accent6 3 5" xfId="1530" xr:uid="{00000000-0005-0000-0000-00004F070000}"/>
    <cellStyle name="40% - Accent6 3 5 2" xfId="3760" xr:uid="{00000000-0005-0000-0000-000050070000}"/>
    <cellStyle name="40% - Accent6 3 5 2 2" xfId="7983" xr:uid="{00000000-0005-0000-0000-000051070000}"/>
    <cellStyle name="40% - Accent6 3 5 2 2 2" xfId="16425" xr:uid="{554476AA-459E-45F9-9CB2-CB318DFF2BE7}"/>
    <cellStyle name="40% - Accent6 3 5 2 3" xfId="12207" xr:uid="{5AA9F4F2-4D83-4948-A09E-E70AFAD7C547}"/>
    <cellStyle name="40% - Accent6 3 5 3" xfId="5838" xr:uid="{00000000-0005-0000-0000-000052070000}"/>
    <cellStyle name="40% - Accent6 3 5 3 2" xfId="14280" xr:uid="{E7E18622-E59F-4CBC-BE82-92956312BBFE}"/>
    <cellStyle name="40% - Accent6 3 5 4" xfId="10062" xr:uid="{B0A9EEC9-09CD-46FD-BB4C-D8CDF33ABDC3}"/>
    <cellStyle name="40% - Accent6 3 6" xfId="1944" xr:uid="{00000000-0005-0000-0000-000053070000}"/>
    <cellStyle name="40% - Accent6 3 6 2" xfId="4173" xr:uid="{00000000-0005-0000-0000-000054070000}"/>
    <cellStyle name="40% - Accent6 3 6 2 2" xfId="8396" xr:uid="{00000000-0005-0000-0000-000055070000}"/>
    <cellStyle name="40% - Accent6 3 6 2 2 2" xfId="16838" xr:uid="{BFB6542D-617D-4F20-A168-265185B9AD2E}"/>
    <cellStyle name="40% - Accent6 3 6 2 3" xfId="12620" xr:uid="{70038B1A-1D76-4886-87AB-9BF007C94AD8}"/>
    <cellStyle name="40% - Accent6 3 6 3" xfId="6251" xr:uid="{00000000-0005-0000-0000-000056070000}"/>
    <cellStyle name="40% - Accent6 3 6 3 2" xfId="14693" xr:uid="{56CFC7BD-F70C-4E58-B291-D01CDB2D3751}"/>
    <cellStyle name="40% - Accent6 3 6 4" xfId="10475" xr:uid="{FE953FB9-5A17-4A99-B16D-61C6913A35E2}"/>
    <cellStyle name="40% - Accent6 3 7" xfId="2357" xr:uid="{00000000-0005-0000-0000-000057070000}"/>
    <cellStyle name="40% - Accent6 3 7 2" xfId="6664" xr:uid="{00000000-0005-0000-0000-000058070000}"/>
    <cellStyle name="40% - Accent6 3 7 2 2" xfId="15106" xr:uid="{B3081623-D596-43E5-BFBD-C80ADA78E9CF}"/>
    <cellStyle name="40% - Accent6 3 7 3" xfId="10888" xr:uid="{EE8B6456-F260-4AFE-A6CA-F684B4FF1277}"/>
    <cellStyle name="40% - Accent6 3 8" xfId="4598" xr:uid="{00000000-0005-0000-0000-000059070000}"/>
    <cellStyle name="40% - Accent6 3 8 2" xfId="13040" xr:uid="{A497ED36-3EBA-43E1-9AD9-79AC458144B4}"/>
    <cellStyle name="40% - Accent6 3 9" xfId="8822" xr:uid="{631CDFD8-2403-4C02-A9EB-6EC3810A343B}"/>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2 2 2" xfId="15601" xr:uid="{6DC6FEF3-3F5D-4CFC-B866-8FEDB36959E7}"/>
    <cellStyle name="40% - Accent6 4 2 2 3" xfId="11383" xr:uid="{CF213A59-327B-4778-94A0-6940D729B56E}"/>
    <cellStyle name="40% - Accent6 4 2 3" xfId="5014" xr:uid="{00000000-0005-0000-0000-00005E070000}"/>
    <cellStyle name="40% - Accent6 4 2 3 2" xfId="13456" xr:uid="{3892C549-9355-4475-8B4A-DCF8C66C11A9}"/>
    <cellStyle name="40% - Accent6 4 2 4" xfId="9238" xr:uid="{BEE2141B-9A42-4424-AF7D-D174101B6C99}"/>
    <cellStyle name="40% - Accent6 4 3" xfId="1118" xr:uid="{00000000-0005-0000-0000-00005F070000}"/>
    <cellStyle name="40% - Accent6 4 3 2" xfId="3349" xr:uid="{00000000-0005-0000-0000-000060070000}"/>
    <cellStyle name="40% - Accent6 4 3 2 2" xfId="7572" xr:uid="{00000000-0005-0000-0000-000061070000}"/>
    <cellStyle name="40% - Accent6 4 3 2 2 2" xfId="16014" xr:uid="{6BD47A20-B8CE-4C46-8F08-8701532A1341}"/>
    <cellStyle name="40% - Accent6 4 3 2 3" xfId="11796" xr:uid="{CF00A536-02B3-4A77-A400-8107A8252F46}"/>
    <cellStyle name="40% - Accent6 4 3 3" xfId="5427" xr:uid="{00000000-0005-0000-0000-000062070000}"/>
    <cellStyle name="40% - Accent6 4 3 3 2" xfId="13869" xr:uid="{AFD7F928-DA05-4C73-B0D3-3854F20E5E58}"/>
    <cellStyle name="40% - Accent6 4 3 4" xfId="9651" xr:uid="{ECB03D5E-6962-4619-B342-81C43B38A900}"/>
    <cellStyle name="40% - Accent6 4 4" xfId="1532" xr:uid="{00000000-0005-0000-0000-000063070000}"/>
    <cellStyle name="40% - Accent6 4 4 2" xfId="3762" xr:uid="{00000000-0005-0000-0000-000064070000}"/>
    <cellStyle name="40% - Accent6 4 4 2 2" xfId="7985" xr:uid="{00000000-0005-0000-0000-000065070000}"/>
    <cellStyle name="40% - Accent6 4 4 2 2 2" xfId="16427" xr:uid="{13C6434F-6E6F-4EF9-AA33-6768E39DBE55}"/>
    <cellStyle name="40% - Accent6 4 4 2 3" xfId="12209" xr:uid="{CC16C8A0-753F-4452-BC97-60BEEC9CADE0}"/>
    <cellStyle name="40% - Accent6 4 4 3" xfId="5840" xr:uid="{00000000-0005-0000-0000-000066070000}"/>
    <cellStyle name="40% - Accent6 4 4 3 2" xfId="14282" xr:uid="{B29D3809-B742-4C2C-BBED-CD86AA4F37B0}"/>
    <cellStyle name="40% - Accent6 4 4 4" xfId="10064" xr:uid="{CD8A388C-44A7-4325-A62A-FE16343091A7}"/>
    <cellStyle name="40% - Accent6 4 5" xfId="1946" xr:uid="{00000000-0005-0000-0000-000067070000}"/>
    <cellStyle name="40% - Accent6 4 5 2" xfId="4175" xr:uid="{00000000-0005-0000-0000-000068070000}"/>
    <cellStyle name="40% - Accent6 4 5 2 2" xfId="8398" xr:uid="{00000000-0005-0000-0000-000069070000}"/>
    <cellStyle name="40% - Accent6 4 5 2 2 2" xfId="16840" xr:uid="{150A9217-29DA-43D5-B92E-B9248B92799F}"/>
    <cellStyle name="40% - Accent6 4 5 2 3" xfId="12622" xr:uid="{B58F61E6-0BF3-4364-A8EA-FA638D650238}"/>
    <cellStyle name="40% - Accent6 4 5 3" xfId="6253" xr:uid="{00000000-0005-0000-0000-00006A070000}"/>
    <cellStyle name="40% - Accent6 4 5 3 2" xfId="14695" xr:uid="{1A77570F-FC4C-488D-85C5-65C5E1D7593F}"/>
    <cellStyle name="40% - Accent6 4 5 4" xfId="10477" xr:uid="{C3A82E9B-A63E-47CD-B19D-999044EE23E5}"/>
    <cellStyle name="40% - Accent6 4 6" xfId="2359" xr:uid="{00000000-0005-0000-0000-00006B070000}"/>
    <cellStyle name="40% - Accent6 4 6 2" xfId="6666" xr:uid="{00000000-0005-0000-0000-00006C070000}"/>
    <cellStyle name="40% - Accent6 4 6 2 2" xfId="15108" xr:uid="{AF8F1A84-0EC2-4451-84CB-2332150D4A29}"/>
    <cellStyle name="40% - Accent6 4 6 3" xfId="10890" xr:uid="{D046661B-74B8-49F0-89AD-26B8EF6F1B0A}"/>
    <cellStyle name="40% - Accent6 4 7" xfId="4600" xr:uid="{00000000-0005-0000-0000-00006D070000}"/>
    <cellStyle name="40% - Accent6 4 7 2" xfId="13042" xr:uid="{ADF3C919-E990-4470-A750-6D0594FE0DCF}"/>
    <cellStyle name="40% - Accent6 4 8" xfId="8824" xr:uid="{99D521D6-BA3B-45BB-B982-943CA7CE2672}"/>
    <cellStyle name="40% - Accent6 5" xfId="658" xr:uid="{00000000-0005-0000-0000-00006E070000}"/>
    <cellStyle name="40% - Accent6 5 2" xfId="2929" xr:uid="{00000000-0005-0000-0000-00006F070000}"/>
    <cellStyle name="40% - Accent6 5 2 2" xfId="7152" xr:uid="{00000000-0005-0000-0000-000070070000}"/>
    <cellStyle name="40% - Accent6 5 2 2 2" xfId="15594" xr:uid="{C27F53B6-EDA1-49D0-9C2B-6BA6CFDE41ED}"/>
    <cellStyle name="40% - Accent6 5 2 3" xfId="11376" xr:uid="{2710DE6B-E052-41A1-AFB6-C77067A0462F}"/>
    <cellStyle name="40% - Accent6 5 3" xfId="5007" xr:uid="{00000000-0005-0000-0000-000071070000}"/>
    <cellStyle name="40% - Accent6 5 3 2" xfId="13449" xr:uid="{802B8077-F41D-421F-B161-A73642F408D6}"/>
    <cellStyle name="40% - Accent6 5 4" xfId="9231" xr:uid="{205DF18C-AD2A-446D-B514-07CBE34DA4F4}"/>
    <cellStyle name="40% - Accent6 6" xfId="1111" xr:uid="{00000000-0005-0000-0000-000072070000}"/>
    <cellStyle name="40% - Accent6 6 2" xfId="3342" xr:uid="{00000000-0005-0000-0000-000073070000}"/>
    <cellStyle name="40% - Accent6 6 2 2" xfId="7565" xr:uid="{00000000-0005-0000-0000-000074070000}"/>
    <cellStyle name="40% - Accent6 6 2 2 2" xfId="16007" xr:uid="{5858D4E7-F6E2-46A4-B0E5-4EC8C2E2966B}"/>
    <cellStyle name="40% - Accent6 6 2 3" xfId="11789" xr:uid="{F8EF335B-9FAF-4468-A62F-2C93D5302771}"/>
    <cellStyle name="40% - Accent6 6 3" xfId="5420" xr:uid="{00000000-0005-0000-0000-000075070000}"/>
    <cellStyle name="40% - Accent6 6 3 2" xfId="13862" xr:uid="{D0073570-D0C2-4C27-B30C-0AD2E53653BA}"/>
    <cellStyle name="40% - Accent6 6 4" xfId="9644" xr:uid="{EC0CF6C7-FBC0-4452-A2EB-BA679A8D4A57}"/>
    <cellStyle name="40% - Accent6 7" xfId="1525" xr:uid="{00000000-0005-0000-0000-000076070000}"/>
    <cellStyle name="40% - Accent6 7 2" xfId="3755" xr:uid="{00000000-0005-0000-0000-000077070000}"/>
    <cellStyle name="40% - Accent6 7 2 2" xfId="7978" xr:uid="{00000000-0005-0000-0000-000078070000}"/>
    <cellStyle name="40% - Accent6 7 2 2 2" xfId="16420" xr:uid="{1CE2F81A-3C87-47E2-AE84-DD1D5BF0D3E5}"/>
    <cellStyle name="40% - Accent6 7 2 3" xfId="12202" xr:uid="{2AB5A23B-9531-4E12-9E0C-CBBEA9117FA6}"/>
    <cellStyle name="40% - Accent6 7 3" xfId="5833" xr:uid="{00000000-0005-0000-0000-000079070000}"/>
    <cellStyle name="40% - Accent6 7 3 2" xfId="14275" xr:uid="{7F8C527F-8380-4F52-9D01-4AC97F078034}"/>
    <cellStyle name="40% - Accent6 7 4" xfId="10057" xr:uid="{EAE2AB19-31C8-40CB-8013-E811291E77D4}"/>
    <cellStyle name="40% - Accent6 8" xfId="1939" xr:uid="{00000000-0005-0000-0000-00007A070000}"/>
    <cellStyle name="40% - Accent6 8 2" xfId="4168" xr:uid="{00000000-0005-0000-0000-00007B070000}"/>
    <cellStyle name="40% - Accent6 8 2 2" xfId="8391" xr:uid="{00000000-0005-0000-0000-00007C070000}"/>
    <cellStyle name="40% - Accent6 8 2 2 2" xfId="16833" xr:uid="{B186940C-8997-4A0A-8074-3AC4BD4602D9}"/>
    <cellStyle name="40% - Accent6 8 2 3" xfId="12615" xr:uid="{30AA7F30-6052-4C77-817C-1AEAF074EDB9}"/>
    <cellStyle name="40% - Accent6 8 3" xfId="6246" xr:uid="{00000000-0005-0000-0000-00007D070000}"/>
    <cellStyle name="40% - Accent6 8 3 2" xfId="14688" xr:uid="{62FFF2F0-9FAE-4FFC-9666-53B9760ADF19}"/>
    <cellStyle name="40% - Accent6 8 4" xfId="10470" xr:uid="{E03A3A90-4E49-46F7-B876-BB6442BB0674}"/>
    <cellStyle name="40% - Accent6 9" xfId="2352" xr:uid="{00000000-0005-0000-0000-00007E070000}"/>
    <cellStyle name="40% - Accent6 9 2" xfId="6659" xr:uid="{00000000-0005-0000-0000-00007F070000}"/>
    <cellStyle name="40% - Accent6 9 2 2" xfId="15101" xr:uid="{6C768984-099B-447D-A650-322FAAE5166F}"/>
    <cellStyle name="40% - Accent6 9 3" xfId="10883" xr:uid="{A6C9021C-10E2-4F8E-9A52-4285156D2AA4}"/>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0 2 2" xfId="15426" xr:uid="{0AF29426-CFC8-4CAD-8318-5209FCBCD09A}"/>
    <cellStyle name="Comma 4 2 2 2 10 3" xfId="11208" xr:uid="{7ECBDDB6-6690-44F0-A91F-667B6982A1D3}"/>
    <cellStyle name="Comma 4 2 2 2 11" xfId="4601" xr:uid="{00000000-0005-0000-0000-0000A3070000}"/>
    <cellStyle name="Comma 4 2 2 2 11 2" xfId="13043" xr:uid="{4D591D29-52B4-4905-8ACF-6B9DE8DC5F3D}"/>
    <cellStyle name="Comma 4 2 2 2 12" xfId="8825" xr:uid="{8C5C86C9-371B-4831-8A90-A16E9BB7D7A9}"/>
    <cellStyle name="Comma 4 2 2 2 2" xfId="129" xr:uid="{00000000-0005-0000-0000-0000A4070000}"/>
    <cellStyle name="Comma 4 2 2 2 2 10" xfId="4602" xr:uid="{00000000-0005-0000-0000-0000A5070000}"/>
    <cellStyle name="Comma 4 2 2 2 2 10 2" xfId="13044" xr:uid="{491B3015-68AE-4F21-9FAD-830C09596109}"/>
    <cellStyle name="Comma 4 2 2 2 2 11" xfId="8826" xr:uid="{5E4C1E6C-DBFE-4853-AACE-60E2A019BFD3}"/>
    <cellStyle name="Comma 4 2 2 2 2 2" xfId="130" xr:uid="{00000000-0005-0000-0000-0000A6070000}"/>
    <cellStyle name="Comma 4 2 2 2 2 2 10" xfId="8827" xr:uid="{5BBB7683-0D53-46E3-BEF2-1EEFEABA475F}"/>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2 2 2" xfId="15604" xr:uid="{462FB7EE-077F-497A-94D0-7DC57113C8FC}"/>
    <cellStyle name="Comma 4 2 2 2 2 2 2 2 3" xfId="11386" xr:uid="{12C56F83-1BFA-49AD-9D5B-96FCF7FA26D1}"/>
    <cellStyle name="Comma 4 2 2 2 2 2 2 3" xfId="5017" xr:uid="{00000000-0005-0000-0000-0000AA070000}"/>
    <cellStyle name="Comma 4 2 2 2 2 2 2 3 2" xfId="13459" xr:uid="{891047B8-74B6-4AA8-87D3-A138BEC7305A}"/>
    <cellStyle name="Comma 4 2 2 2 2 2 2 4" xfId="9241" xr:uid="{9A1EE060-C29E-43FA-B076-E402F4B627C6}"/>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2 2 2" xfId="16017" xr:uid="{222C927C-FB94-4B29-BAFC-3F00AA121598}"/>
    <cellStyle name="Comma 4 2 2 2 2 2 3 2 3" xfId="11799" xr:uid="{A2420879-2C21-4CC3-9C6A-45A6F52476EC}"/>
    <cellStyle name="Comma 4 2 2 2 2 2 3 3" xfId="5430" xr:uid="{00000000-0005-0000-0000-0000AE070000}"/>
    <cellStyle name="Comma 4 2 2 2 2 2 3 3 2" xfId="13872" xr:uid="{7C6F0819-2155-4761-B440-74D090BBEAF1}"/>
    <cellStyle name="Comma 4 2 2 2 2 2 3 4" xfId="9654" xr:uid="{CFE70740-B206-42B8-8901-84609A54850F}"/>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2 2 2" xfId="16430" xr:uid="{AE9F0B1D-A463-45F2-B309-AE871104206A}"/>
    <cellStyle name="Comma 4 2 2 2 2 2 4 2 3" xfId="12212" xr:uid="{A45943FC-45ED-4E77-8AD8-A54457F91F6E}"/>
    <cellStyle name="Comma 4 2 2 2 2 2 4 3" xfId="5843" xr:uid="{00000000-0005-0000-0000-0000B2070000}"/>
    <cellStyle name="Comma 4 2 2 2 2 2 4 3 2" xfId="14285" xr:uid="{EB723179-D7EF-4648-AE0B-52009C0E6398}"/>
    <cellStyle name="Comma 4 2 2 2 2 2 4 4" xfId="10067" xr:uid="{63CB66DB-297A-46F8-9F4A-8C84F79A7E24}"/>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2 2 2" xfId="16843" xr:uid="{4096A5BC-1900-47FD-B2F0-CE8740991215}"/>
    <cellStyle name="Comma 4 2 2 2 2 2 5 2 3" xfId="12625" xr:uid="{A6A265AC-8F0A-4C91-A644-583739F9FE1B}"/>
    <cellStyle name="Comma 4 2 2 2 2 2 5 3" xfId="6256" xr:uid="{00000000-0005-0000-0000-0000B6070000}"/>
    <cellStyle name="Comma 4 2 2 2 2 2 5 3 2" xfId="14698" xr:uid="{708D823A-941D-4322-A855-937A7FFDE988}"/>
    <cellStyle name="Comma 4 2 2 2 2 2 5 4" xfId="10480" xr:uid="{8A5BEA88-3B37-4379-90FD-D83983EBC271}"/>
    <cellStyle name="Comma 4 2 2 2 2 2 6" xfId="2384" xr:uid="{00000000-0005-0000-0000-0000B7070000}"/>
    <cellStyle name="Comma 4 2 2 2 2 2 6 2" xfId="6669" xr:uid="{00000000-0005-0000-0000-0000B8070000}"/>
    <cellStyle name="Comma 4 2 2 2 2 2 6 2 2" xfId="15111" xr:uid="{C35A6EC6-B189-4B41-A109-C08DAF090B39}"/>
    <cellStyle name="Comma 4 2 2 2 2 2 6 3" xfId="10893" xr:uid="{BD0D696B-7BBB-4705-94DD-39D9C0877E69}"/>
    <cellStyle name="Comma 4 2 2 2 2 2 7" xfId="2379" xr:uid="{00000000-0005-0000-0000-0000B9070000}"/>
    <cellStyle name="Comma 4 2 2 2 2 2 8" xfId="2762" xr:uid="{00000000-0005-0000-0000-0000BA070000}"/>
    <cellStyle name="Comma 4 2 2 2 2 2 8 2" xfId="6986" xr:uid="{00000000-0005-0000-0000-0000BB070000}"/>
    <cellStyle name="Comma 4 2 2 2 2 2 8 2 2" xfId="15428" xr:uid="{1304801F-FC2F-4F2E-B868-AB5B6E5E2A11}"/>
    <cellStyle name="Comma 4 2 2 2 2 2 8 3" xfId="11210" xr:uid="{258AC63F-3DBC-4FD2-AA6B-E10E6C4C00C9}"/>
    <cellStyle name="Comma 4 2 2 2 2 2 9" xfId="4603" xr:uid="{00000000-0005-0000-0000-0000BC070000}"/>
    <cellStyle name="Comma 4 2 2 2 2 2 9 2" xfId="13045" xr:uid="{ACD36160-515D-434B-BA49-E61B4BC241CE}"/>
    <cellStyle name="Comma 4 2 2 2 2 3" xfId="667" xr:uid="{00000000-0005-0000-0000-0000BD070000}"/>
    <cellStyle name="Comma 4 2 2 2 2 3 2" xfId="2938" xr:uid="{00000000-0005-0000-0000-0000BE070000}"/>
    <cellStyle name="Comma 4 2 2 2 2 3 2 2" xfId="7161" xr:uid="{00000000-0005-0000-0000-0000BF070000}"/>
    <cellStyle name="Comma 4 2 2 2 2 3 2 2 2" xfId="15603" xr:uid="{45FDFF2E-5E2B-4C83-8954-874EB414E31C}"/>
    <cellStyle name="Comma 4 2 2 2 2 3 2 3" xfId="11385" xr:uid="{EDA872E6-0252-4263-B56F-2685DB261AEA}"/>
    <cellStyle name="Comma 4 2 2 2 2 3 3" xfId="5016" xr:uid="{00000000-0005-0000-0000-0000C0070000}"/>
    <cellStyle name="Comma 4 2 2 2 2 3 3 2" xfId="13458" xr:uid="{0335CF79-0C9D-43DA-A3F1-029D4E3930A2}"/>
    <cellStyle name="Comma 4 2 2 2 2 3 4" xfId="9240" xr:uid="{F12EDE8B-FC21-44D2-A497-622D9B02D2F2}"/>
    <cellStyle name="Comma 4 2 2 2 2 4" xfId="1120" xr:uid="{00000000-0005-0000-0000-0000C1070000}"/>
    <cellStyle name="Comma 4 2 2 2 2 4 2" xfId="3351" xr:uid="{00000000-0005-0000-0000-0000C2070000}"/>
    <cellStyle name="Comma 4 2 2 2 2 4 2 2" xfId="7574" xr:uid="{00000000-0005-0000-0000-0000C3070000}"/>
    <cellStyle name="Comma 4 2 2 2 2 4 2 2 2" xfId="16016" xr:uid="{F8B804E8-E136-4D89-9D3B-CCF16F4CBF74}"/>
    <cellStyle name="Comma 4 2 2 2 2 4 2 3" xfId="11798" xr:uid="{C7C79149-F7B2-4A86-A7B0-FE37184C6636}"/>
    <cellStyle name="Comma 4 2 2 2 2 4 3" xfId="5429" xr:uid="{00000000-0005-0000-0000-0000C4070000}"/>
    <cellStyle name="Comma 4 2 2 2 2 4 3 2" xfId="13871" xr:uid="{E16F533F-27E2-4DD5-BB93-075632275C41}"/>
    <cellStyle name="Comma 4 2 2 2 2 4 4" xfId="9653" xr:uid="{177A376B-AE7B-4297-A437-A53ABF51FA66}"/>
    <cellStyle name="Comma 4 2 2 2 2 5" xfId="1534" xr:uid="{00000000-0005-0000-0000-0000C5070000}"/>
    <cellStyle name="Comma 4 2 2 2 2 5 2" xfId="3764" xr:uid="{00000000-0005-0000-0000-0000C6070000}"/>
    <cellStyle name="Comma 4 2 2 2 2 5 2 2" xfId="7987" xr:uid="{00000000-0005-0000-0000-0000C7070000}"/>
    <cellStyle name="Comma 4 2 2 2 2 5 2 2 2" xfId="16429" xr:uid="{D2C149D8-B328-4459-A4DA-A5C005AC983A}"/>
    <cellStyle name="Comma 4 2 2 2 2 5 2 3" xfId="12211" xr:uid="{2F70905B-136C-4BA9-A270-A34E528D3B09}"/>
    <cellStyle name="Comma 4 2 2 2 2 5 3" xfId="5842" xr:uid="{00000000-0005-0000-0000-0000C8070000}"/>
    <cellStyle name="Comma 4 2 2 2 2 5 3 2" xfId="14284" xr:uid="{CBE1DF9E-BA47-4DAC-9E27-AE6653DCE4C0}"/>
    <cellStyle name="Comma 4 2 2 2 2 5 4" xfId="10066" xr:uid="{6A1AAEA7-0FED-4699-BFC6-257B26D9F12D}"/>
    <cellStyle name="Comma 4 2 2 2 2 6" xfId="1948" xr:uid="{00000000-0005-0000-0000-0000C9070000}"/>
    <cellStyle name="Comma 4 2 2 2 2 6 2" xfId="4177" xr:uid="{00000000-0005-0000-0000-0000CA070000}"/>
    <cellStyle name="Comma 4 2 2 2 2 6 2 2" xfId="8400" xr:uid="{00000000-0005-0000-0000-0000CB070000}"/>
    <cellStyle name="Comma 4 2 2 2 2 6 2 2 2" xfId="16842" xr:uid="{E557682B-C3A5-4269-8A1B-B7C1837F5228}"/>
    <cellStyle name="Comma 4 2 2 2 2 6 2 3" xfId="12624" xr:uid="{AF4F5A2A-25D4-4582-96FA-9553AFB71D11}"/>
    <cellStyle name="Comma 4 2 2 2 2 6 3" xfId="6255" xr:uid="{00000000-0005-0000-0000-0000CC070000}"/>
    <cellStyle name="Comma 4 2 2 2 2 6 3 2" xfId="14697" xr:uid="{FDA85B05-1D57-438F-9738-A250E7528D38}"/>
    <cellStyle name="Comma 4 2 2 2 2 6 4" xfId="10479" xr:uid="{C452C3D9-A1A1-40E5-95C5-B737435DF9B1}"/>
    <cellStyle name="Comma 4 2 2 2 2 7" xfId="2383" xr:uid="{00000000-0005-0000-0000-0000CD070000}"/>
    <cellStyle name="Comma 4 2 2 2 2 7 2" xfId="6668" xr:uid="{00000000-0005-0000-0000-0000CE070000}"/>
    <cellStyle name="Comma 4 2 2 2 2 7 2 2" xfId="15110" xr:uid="{DB65EBDA-0DC7-4121-9B10-315DB506497B}"/>
    <cellStyle name="Comma 4 2 2 2 2 7 3" xfId="10892" xr:uid="{B9F730FA-08A4-4938-A3B8-8912DC9E9E17}"/>
    <cellStyle name="Comma 4 2 2 2 2 8" xfId="2380" xr:uid="{00000000-0005-0000-0000-0000CF070000}"/>
    <cellStyle name="Comma 4 2 2 2 2 9" xfId="2761" xr:uid="{00000000-0005-0000-0000-0000D0070000}"/>
    <cellStyle name="Comma 4 2 2 2 2 9 2" xfId="6985" xr:uid="{00000000-0005-0000-0000-0000D1070000}"/>
    <cellStyle name="Comma 4 2 2 2 2 9 2 2" xfId="15427" xr:uid="{4DB476B5-A220-4CF0-BE64-DDF237066295}"/>
    <cellStyle name="Comma 4 2 2 2 2 9 3" xfId="11209" xr:uid="{6F299A2F-CA26-42AC-B7E5-D12408804AB2}"/>
    <cellStyle name="Comma 4 2 2 2 3" xfId="131" xr:uid="{00000000-0005-0000-0000-0000D2070000}"/>
    <cellStyle name="Comma 4 2 2 2 3 10" xfId="8828" xr:uid="{56583F3B-15D3-4136-9D14-7051672CD1A7}"/>
    <cellStyle name="Comma 4 2 2 2 3 2" xfId="669" xr:uid="{00000000-0005-0000-0000-0000D3070000}"/>
    <cellStyle name="Comma 4 2 2 2 3 2 2" xfId="2940" xr:uid="{00000000-0005-0000-0000-0000D4070000}"/>
    <cellStyle name="Comma 4 2 2 2 3 2 2 2" xfId="7163" xr:uid="{00000000-0005-0000-0000-0000D5070000}"/>
    <cellStyle name="Comma 4 2 2 2 3 2 2 2 2" xfId="15605" xr:uid="{31BAC1AB-CA8B-4786-BD3B-8945F0698305}"/>
    <cellStyle name="Comma 4 2 2 2 3 2 2 3" xfId="11387" xr:uid="{F1A74F3F-C6AB-4B2B-9701-AEFAFD2825D3}"/>
    <cellStyle name="Comma 4 2 2 2 3 2 3" xfId="5018" xr:uid="{00000000-0005-0000-0000-0000D6070000}"/>
    <cellStyle name="Comma 4 2 2 2 3 2 3 2" xfId="13460" xr:uid="{2CB26EF9-5408-4E86-82D2-89CED901AE6A}"/>
    <cellStyle name="Comma 4 2 2 2 3 2 4" xfId="9242" xr:uid="{FCE295D9-15E2-465D-B11A-D43CC95BA9DF}"/>
    <cellStyle name="Comma 4 2 2 2 3 3" xfId="1122" xr:uid="{00000000-0005-0000-0000-0000D7070000}"/>
    <cellStyle name="Comma 4 2 2 2 3 3 2" xfId="3353" xr:uid="{00000000-0005-0000-0000-0000D8070000}"/>
    <cellStyle name="Comma 4 2 2 2 3 3 2 2" xfId="7576" xr:uid="{00000000-0005-0000-0000-0000D9070000}"/>
    <cellStyle name="Comma 4 2 2 2 3 3 2 2 2" xfId="16018" xr:uid="{B25C18FB-20D0-422E-8F8F-3455DFAF20E3}"/>
    <cellStyle name="Comma 4 2 2 2 3 3 2 3" xfId="11800" xr:uid="{8CFEE98D-0167-49A6-9BA7-C42E6C9E8398}"/>
    <cellStyle name="Comma 4 2 2 2 3 3 3" xfId="5431" xr:uid="{00000000-0005-0000-0000-0000DA070000}"/>
    <cellStyle name="Comma 4 2 2 2 3 3 3 2" xfId="13873" xr:uid="{51059EE9-6F98-4E30-8712-25E3ACF02B87}"/>
    <cellStyle name="Comma 4 2 2 2 3 3 4" xfId="9655" xr:uid="{198C46CF-41BE-45EB-9830-9F61DE2E1B15}"/>
    <cellStyle name="Comma 4 2 2 2 3 4" xfId="1536" xr:uid="{00000000-0005-0000-0000-0000DB070000}"/>
    <cellStyle name="Comma 4 2 2 2 3 4 2" xfId="3766" xr:uid="{00000000-0005-0000-0000-0000DC070000}"/>
    <cellStyle name="Comma 4 2 2 2 3 4 2 2" xfId="7989" xr:uid="{00000000-0005-0000-0000-0000DD070000}"/>
    <cellStyle name="Comma 4 2 2 2 3 4 2 2 2" xfId="16431" xr:uid="{47831439-AE30-4F17-9A00-8A30C46213B4}"/>
    <cellStyle name="Comma 4 2 2 2 3 4 2 3" xfId="12213" xr:uid="{8E25A178-D02D-4CC6-AE32-0F2B58C8A873}"/>
    <cellStyle name="Comma 4 2 2 2 3 4 3" xfId="5844" xr:uid="{00000000-0005-0000-0000-0000DE070000}"/>
    <cellStyle name="Comma 4 2 2 2 3 4 3 2" xfId="14286" xr:uid="{646CD565-9B40-4416-91A4-773744172566}"/>
    <cellStyle name="Comma 4 2 2 2 3 4 4" xfId="10068" xr:uid="{4B8A39B5-4E4E-45F1-8949-270E1C64A4B1}"/>
    <cellStyle name="Comma 4 2 2 2 3 5" xfId="1950" xr:uid="{00000000-0005-0000-0000-0000DF070000}"/>
    <cellStyle name="Comma 4 2 2 2 3 5 2" xfId="4179" xr:uid="{00000000-0005-0000-0000-0000E0070000}"/>
    <cellStyle name="Comma 4 2 2 2 3 5 2 2" xfId="8402" xr:uid="{00000000-0005-0000-0000-0000E1070000}"/>
    <cellStyle name="Comma 4 2 2 2 3 5 2 2 2" xfId="16844" xr:uid="{D3F108C8-66F9-43F5-97E1-AF583EE1B7A9}"/>
    <cellStyle name="Comma 4 2 2 2 3 5 2 3" xfId="12626" xr:uid="{69A08924-7040-41D2-95EF-379D68D5BCFF}"/>
    <cellStyle name="Comma 4 2 2 2 3 5 3" xfId="6257" xr:uid="{00000000-0005-0000-0000-0000E2070000}"/>
    <cellStyle name="Comma 4 2 2 2 3 5 3 2" xfId="14699" xr:uid="{95976C22-9E52-44F4-BC8E-6D670B70D4A6}"/>
    <cellStyle name="Comma 4 2 2 2 3 5 4" xfId="10481" xr:uid="{4CFB75E7-AD9E-4CE1-ABD0-F4DB7FC5BB29}"/>
    <cellStyle name="Comma 4 2 2 2 3 6" xfId="2385" xr:uid="{00000000-0005-0000-0000-0000E3070000}"/>
    <cellStyle name="Comma 4 2 2 2 3 6 2" xfId="6670" xr:uid="{00000000-0005-0000-0000-0000E4070000}"/>
    <cellStyle name="Comma 4 2 2 2 3 6 2 2" xfId="15112" xr:uid="{046009E9-AFED-4358-976D-11A5AF52CF62}"/>
    <cellStyle name="Comma 4 2 2 2 3 6 3" xfId="10894" xr:uid="{7426F580-FDE7-4C7E-A397-D9B9EFEB8C93}"/>
    <cellStyle name="Comma 4 2 2 2 3 7" xfId="2378" xr:uid="{00000000-0005-0000-0000-0000E5070000}"/>
    <cellStyle name="Comma 4 2 2 2 3 8" xfId="2763" xr:uid="{00000000-0005-0000-0000-0000E6070000}"/>
    <cellStyle name="Comma 4 2 2 2 3 8 2" xfId="6987" xr:uid="{00000000-0005-0000-0000-0000E7070000}"/>
    <cellStyle name="Comma 4 2 2 2 3 8 2 2" xfId="15429" xr:uid="{AB314FA0-D405-4F40-960F-C4E918C28495}"/>
    <cellStyle name="Comma 4 2 2 2 3 8 3" xfId="11211" xr:uid="{CF589CBD-69EE-4E6C-95C6-B0999DA9533A}"/>
    <cellStyle name="Comma 4 2 2 2 3 9" xfId="4604" xr:uid="{00000000-0005-0000-0000-0000E8070000}"/>
    <cellStyle name="Comma 4 2 2 2 3 9 2" xfId="13046" xr:uid="{DBA668CB-ADC7-41B6-902F-4B05D8B96FFF}"/>
    <cellStyle name="Comma 4 2 2 2 4" xfId="666" xr:uid="{00000000-0005-0000-0000-0000E9070000}"/>
    <cellStyle name="Comma 4 2 2 2 4 2" xfId="2937" xr:uid="{00000000-0005-0000-0000-0000EA070000}"/>
    <cellStyle name="Comma 4 2 2 2 4 2 2" xfId="7160" xr:uid="{00000000-0005-0000-0000-0000EB070000}"/>
    <cellStyle name="Comma 4 2 2 2 4 2 2 2" xfId="15602" xr:uid="{485A11B2-5D85-4D34-ACCE-7903E4FE54A4}"/>
    <cellStyle name="Comma 4 2 2 2 4 2 3" xfId="11384" xr:uid="{1D960B73-4876-4BDA-822F-6DC7DBEBEF3B}"/>
    <cellStyle name="Comma 4 2 2 2 4 3" xfId="5015" xr:uid="{00000000-0005-0000-0000-0000EC070000}"/>
    <cellStyle name="Comma 4 2 2 2 4 3 2" xfId="13457" xr:uid="{C298D15C-0E0B-4B61-B0D7-FB13874DCBE8}"/>
    <cellStyle name="Comma 4 2 2 2 4 4" xfId="9239" xr:uid="{F7EE6B57-5E42-41DD-8EA9-D543D9E0700D}"/>
    <cellStyle name="Comma 4 2 2 2 5" xfId="1119" xr:uid="{00000000-0005-0000-0000-0000ED070000}"/>
    <cellStyle name="Comma 4 2 2 2 5 2" xfId="3350" xr:uid="{00000000-0005-0000-0000-0000EE070000}"/>
    <cellStyle name="Comma 4 2 2 2 5 2 2" xfId="7573" xr:uid="{00000000-0005-0000-0000-0000EF070000}"/>
    <cellStyle name="Comma 4 2 2 2 5 2 2 2" xfId="16015" xr:uid="{FE242590-CAD3-42DC-88B0-1595869DEF66}"/>
    <cellStyle name="Comma 4 2 2 2 5 2 3" xfId="11797" xr:uid="{A3C18E1A-0418-4234-9FF3-560F11282303}"/>
    <cellStyle name="Comma 4 2 2 2 5 3" xfId="5428" xr:uid="{00000000-0005-0000-0000-0000F0070000}"/>
    <cellStyle name="Comma 4 2 2 2 5 3 2" xfId="13870" xr:uid="{0A8376C1-59B4-4100-9307-E66E55F06982}"/>
    <cellStyle name="Comma 4 2 2 2 5 4" xfId="9652" xr:uid="{846AE401-FA55-4DB8-BDDA-6A2B8C58D2D3}"/>
    <cellStyle name="Comma 4 2 2 2 6" xfId="1533" xr:uid="{00000000-0005-0000-0000-0000F1070000}"/>
    <cellStyle name="Comma 4 2 2 2 6 2" xfId="3763" xr:uid="{00000000-0005-0000-0000-0000F2070000}"/>
    <cellStyle name="Comma 4 2 2 2 6 2 2" xfId="7986" xr:uid="{00000000-0005-0000-0000-0000F3070000}"/>
    <cellStyle name="Comma 4 2 2 2 6 2 2 2" xfId="16428" xr:uid="{58788EC8-556F-4625-8977-4248FD74AA5E}"/>
    <cellStyle name="Comma 4 2 2 2 6 2 3" xfId="12210" xr:uid="{28D0222A-EBEC-4FBA-8D0B-3F63C7FE4C76}"/>
    <cellStyle name="Comma 4 2 2 2 6 3" xfId="5841" xr:uid="{00000000-0005-0000-0000-0000F4070000}"/>
    <cellStyle name="Comma 4 2 2 2 6 3 2" xfId="14283" xr:uid="{C1E9B283-0985-48FF-B160-735828AB3BD4}"/>
    <cellStyle name="Comma 4 2 2 2 6 4" xfId="10065" xr:uid="{518DB27D-D1B5-47AD-B5D5-3364FBB595A2}"/>
    <cellStyle name="Comma 4 2 2 2 7" xfId="1947" xr:uid="{00000000-0005-0000-0000-0000F5070000}"/>
    <cellStyle name="Comma 4 2 2 2 7 2" xfId="4176" xr:uid="{00000000-0005-0000-0000-0000F6070000}"/>
    <cellStyle name="Comma 4 2 2 2 7 2 2" xfId="8399" xr:uid="{00000000-0005-0000-0000-0000F7070000}"/>
    <cellStyle name="Comma 4 2 2 2 7 2 2 2" xfId="16841" xr:uid="{CCD16FF7-9927-4C80-981A-4A278B56A42E}"/>
    <cellStyle name="Comma 4 2 2 2 7 2 3" xfId="12623" xr:uid="{D4DA3C67-24E4-4686-87F4-53E9A4A6761B}"/>
    <cellStyle name="Comma 4 2 2 2 7 3" xfId="6254" xr:uid="{00000000-0005-0000-0000-0000F8070000}"/>
    <cellStyle name="Comma 4 2 2 2 7 3 2" xfId="14696" xr:uid="{BA0ADCC1-613E-4C8F-8673-388C4579251A}"/>
    <cellStyle name="Comma 4 2 2 2 7 4" xfId="10478" xr:uid="{C035BAF2-0022-4489-9F98-393465EB7DB4}"/>
    <cellStyle name="Comma 4 2 2 2 8" xfId="2382" xr:uid="{00000000-0005-0000-0000-0000F9070000}"/>
    <cellStyle name="Comma 4 2 2 2 8 2" xfId="6667" xr:uid="{00000000-0005-0000-0000-0000FA070000}"/>
    <cellStyle name="Comma 4 2 2 2 8 2 2" xfId="15109" xr:uid="{2F80B3AB-9ABE-4C99-BC13-15B8AE4CC42B}"/>
    <cellStyle name="Comma 4 2 2 2 8 3" xfId="10891" xr:uid="{CE526A72-2426-4A0B-AC04-8A0201F3B2FD}"/>
    <cellStyle name="Comma 4 2 2 2 9" xfId="2381" xr:uid="{00000000-0005-0000-0000-0000FB070000}"/>
    <cellStyle name="Comma 4 2 2 3" xfId="132" xr:uid="{00000000-0005-0000-0000-0000FC070000}"/>
    <cellStyle name="Comma 4 2 2 3 10" xfId="4605" xr:uid="{00000000-0005-0000-0000-0000FD070000}"/>
    <cellStyle name="Comma 4 2 2 3 10 2" xfId="13047" xr:uid="{C8A3657F-9FF0-4A92-B40F-FD0E29F6C854}"/>
    <cellStyle name="Comma 4 2 2 3 11" xfId="8829" xr:uid="{07B99AB9-FF6B-41C1-9671-61B8CDB545FA}"/>
    <cellStyle name="Comma 4 2 2 3 2" xfId="133" xr:uid="{00000000-0005-0000-0000-0000FE070000}"/>
    <cellStyle name="Comma 4 2 2 3 2 10" xfId="8830" xr:uid="{E83D355C-388F-4094-88C1-771DD5DBF40F}"/>
    <cellStyle name="Comma 4 2 2 3 2 2" xfId="671" xr:uid="{00000000-0005-0000-0000-0000FF070000}"/>
    <cellStyle name="Comma 4 2 2 3 2 2 2" xfId="2942" xr:uid="{00000000-0005-0000-0000-000000080000}"/>
    <cellStyle name="Comma 4 2 2 3 2 2 2 2" xfId="7165" xr:uid="{00000000-0005-0000-0000-000001080000}"/>
    <cellStyle name="Comma 4 2 2 3 2 2 2 2 2" xfId="15607" xr:uid="{DEAAF9DB-2DF0-4234-94F3-64F1094DF6FE}"/>
    <cellStyle name="Comma 4 2 2 3 2 2 2 3" xfId="11389" xr:uid="{D3AB36DC-1CCA-4635-847C-7DD799C7C7B9}"/>
    <cellStyle name="Comma 4 2 2 3 2 2 3" xfId="5020" xr:uid="{00000000-0005-0000-0000-000002080000}"/>
    <cellStyle name="Comma 4 2 2 3 2 2 3 2" xfId="13462" xr:uid="{98E027B4-E044-481C-8370-C71FBB1DC9C3}"/>
    <cellStyle name="Comma 4 2 2 3 2 2 4" xfId="9244" xr:uid="{6210F698-E5CC-42F6-A001-F63911DF2DC9}"/>
    <cellStyle name="Comma 4 2 2 3 2 3" xfId="1124" xr:uid="{00000000-0005-0000-0000-000003080000}"/>
    <cellStyle name="Comma 4 2 2 3 2 3 2" xfId="3355" xr:uid="{00000000-0005-0000-0000-000004080000}"/>
    <cellStyle name="Comma 4 2 2 3 2 3 2 2" xfId="7578" xr:uid="{00000000-0005-0000-0000-000005080000}"/>
    <cellStyle name="Comma 4 2 2 3 2 3 2 2 2" xfId="16020" xr:uid="{99DEC5B1-3ECB-45ED-929F-D172D4648E3A}"/>
    <cellStyle name="Comma 4 2 2 3 2 3 2 3" xfId="11802" xr:uid="{46F3E623-67ED-4E4E-B572-290D992545BD}"/>
    <cellStyle name="Comma 4 2 2 3 2 3 3" xfId="5433" xr:uid="{00000000-0005-0000-0000-000006080000}"/>
    <cellStyle name="Comma 4 2 2 3 2 3 3 2" xfId="13875" xr:uid="{AD8F2E3F-ABA1-46B2-BA2A-1EDA6C168BF1}"/>
    <cellStyle name="Comma 4 2 2 3 2 3 4" xfId="9657" xr:uid="{BA163023-256A-4885-B18A-ADC5FE64ACF3}"/>
    <cellStyle name="Comma 4 2 2 3 2 4" xfId="1538" xr:uid="{00000000-0005-0000-0000-000007080000}"/>
    <cellStyle name="Comma 4 2 2 3 2 4 2" xfId="3768" xr:uid="{00000000-0005-0000-0000-000008080000}"/>
    <cellStyle name="Comma 4 2 2 3 2 4 2 2" xfId="7991" xr:uid="{00000000-0005-0000-0000-000009080000}"/>
    <cellStyle name="Comma 4 2 2 3 2 4 2 2 2" xfId="16433" xr:uid="{84869E16-7D06-485E-A15B-1CCEE251D6D7}"/>
    <cellStyle name="Comma 4 2 2 3 2 4 2 3" xfId="12215" xr:uid="{BD29FA63-D9D6-4AAE-B3AD-135E6BBFB3E2}"/>
    <cellStyle name="Comma 4 2 2 3 2 4 3" xfId="5846" xr:uid="{00000000-0005-0000-0000-00000A080000}"/>
    <cellStyle name="Comma 4 2 2 3 2 4 3 2" xfId="14288" xr:uid="{CC88C4F1-B955-4502-BD45-9EEAA6ACD177}"/>
    <cellStyle name="Comma 4 2 2 3 2 4 4" xfId="10070" xr:uid="{8C8CA3DC-58B9-4DAA-9E1C-A542B5897C7C}"/>
    <cellStyle name="Comma 4 2 2 3 2 5" xfId="1952" xr:uid="{00000000-0005-0000-0000-00000B080000}"/>
    <cellStyle name="Comma 4 2 2 3 2 5 2" xfId="4181" xr:uid="{00000000-0005-0000-0000-00000C080000}"/>
    <cellStyle name="Comma 4 2 2 3 2 5 2 2" xfId="8404" xr:uid="{00000000-0005-0000-0000-00000D080000}"/>
    <cellStyle name="Comma 4 2 2 3 2 5 2 2 2" xfId="16846" xr:uid="{992BF354-902C-446F-8B7A-CA3268C09EF6}"/>
    <cellStyle name="Comma 4 2 2 3 2 5 2 3" xfId="12628" xr:uid="{B4EACC85-44E9-4B56-B77E-5A553CB999C4}"/>
    <cellStyle name="Comma 4 2 2 3 2 5 3" xfId="6259" xr:uid="{00000000-0005-0000-0000-00000E080000}"/>
    <cellStyle name="Comma 4 2 2 3 2 5 3 2" xfId="14701" xr:uid="{E7C1CFCA-4B2D-4827-BA69-A450A2AF0675}"/>
    <cellStyle name="Comma 4 2 2 3 2 5 4" xfId="10483" xr:uid="{79682E4E-7D22-4F96-8804-B2E618E67A3E}"/>
    <cellStyle name="Comma 4 2 2 3 2 6" xfId="2387" xr:uid="{00000000-0005-0000-0000-00000F080000}"/>
    <cellStyle name="Comma 4 2 2 3 2 6 2" xfId="6672" xr:uid="{00000000-0005-0000-0000-000010080000}"/>
    <cellStyle name="Comma 4 2 2 3 2 6 2 2" xfId="15114" xr:uid="{A4B2331D-227D-46A2-8342-ABFBD3F6DB21}"/>
    <cellStyle name="Comma 4 2 2 3 2 6 3" xfId="10896" xr:uid="{D1C93D27-C39A-411B-9437-F4B272F3E14B}"/>
    <cellStyle name="Comma 4 2 2 3 2 7" xfId="2376" xr:uid="{00000000-0005-0000-0000-000011080000}"/>
    <cellStyle name="Comma 4 2 2 3 2 8" xfId="2765" xr:uid="{00000000-0005-0000-0000-000012080000}"/>
    <cellStyle name="Comma 4 2 2 3 2 8 2" xfId="6989" xr:uid="{00000000-0005-0000-0000-000013080000}"/>
    <cellStyle name="Comma 4 2 2 3 2 8 2 2" xfId="15431" xr:uid="{1E449FC5-963C-46B0-9E39-5BFD7324F6B5}"/>
    <cellStyle name="Comma 4 2 2 3 2 8 3" xfId="11213" xr:uid="{FF5B5BCA-BBED-488F-9F82-3B7961DDC932}"/>
    <cellStyle name="Comma 4 2 2 3 2 9" xfId="4606" xr:uid="{00000000-0005-0000-0000-000014080000}"/>
    <cellStyle name="Comma 4 2 2 3 2 9 2" xfId="13048" xr:uid="{6F9947C9-83EA-4C9A-B874-9D34C2036FBD}"/>
    <cellStyle name="Comma 4 2 2 3 3" xfId="670" xr:uid="{00000000-0005-0000-0000-000015080000}"/>
    <cellStyle name="Comma 4 2 2 3 3 2" xfId="2941" xr:uid="{00000000-0005-0000-0000-000016080000}"/>
    <cellStyle name="Comma 4 2 2 3 3 2 2" xfId="7164" xr:uid="{00000000-0005-0000-0000-000017080000}"/>
    <cellStyle name="Comma 4 2 2 3 3 2 2 2" xfId="15606" xr:uid="{B1BECA26-8A1C-4F1A-9C38-49B466BBDCD0}"/>
    <cellStyle name="Comma 4 2 2 3 3 2 3" xfId="11388" xr:uid="{3C62BF07-51C8-4027-9DAA-C9CF9655E0A4}"/>
    <cellStyle name="Comma 4 2 2 3 3 3" xfId="5019" xr:uid="{00000000-0005-0000-0000-000018080000}"/>
    <cellStyle name="Comma 4 2 2 3 3 3 2" xfId="13461" xr:uid="{0CD9BBA0-56B6-4735-AA20-1DE884DBF0CE}"/>
    <cellStyle name="Comma 4 2 2 3 3 4" xfId="9243" xr:uid="{F3D13637-89E8-4EE0-B4F6-13D85E5041E5}"/>
    <cellStyle name="Comma 4 2 2 3 4" xfId="1123" xr:uid="{00000000-0005-0000-0000-000019080000}"/>
    <cellStyle name="Comma 4 2 2 3 4 2" xfId="3354" xr:uid="{00000000-0005-0000-0000-00001A080000}"/>
    <cellStyle name="Comma 4 2 2 3 4 2 2" xfId="7577" xr:uid="{00000000-0005-0000-0000-00001B080000}"/>
    <cellStyle name="Comma 4 2 2 3 4 2 2 2" xfId="16019" xr:uid="{B37FFD28-5756-439D-A817-410AAEF7783E}"/>
    <cellStyle name="Comma 4 2 2 3 4 2 3" xfId="11801" xr:uid="{BDBF9666-55D4-410F-B012-D3BA88B4C6B0}"/>
    <cellStyle name="Comma 4 2 2 3 4 3" xfId="5432" xr:uid="{00000000-0005-0000-0000-00001C080000}"/>
    <cellStyle name="Comma 4 2 2 3 4 3 2" xfId="13874" xr:uid="{F8F6EBFE-EF1D-4D9C-B29B-4E1D18CE492E}"/>
    <cellStyle name="Comma 4 2 2 3 4 4" xfId="9656" xr:uid="{50D1F01A-F1D7-4294-9267-127478675A6C}"/>
    <cellStyle name="Comma 4 2 2 3 5" xfId="1537" xr:uid="{00000000-0005-0000-0000-00001D080000}"/>
    <cellStyle name="Comma 4 2 2 3 5 2" xfId="3767" xr:uid="{00000000-0005-0000-0000-00001E080000}"/>
    <cellStyle name="Comma 4 2 2 3 5 2 2" xfId="7990" xr:uid="{00000000-0005-0000-0000-00001F080000}"/>
    <cellStyle name="Comma 4 2 2 3 5 2 2 2" xfId="16432" xr:uid="{4A867170-E8D0-433D-BA32-991AD60F3DA3}"/>
    <cellStyle name="Comma 4 2 2 3 5 2 3" xfId="12214" xr:uid="{6F6F227D-CF6E-4512-A0D4-BA4DFDFDAFB6}"/>
    <cellStyle name="Comma 4 2 2 3 5 3" xfId="5845" xr:uid="{00000000-0005-0000-0000-000020080000}"/>
    <cellStyle name="Comma 4 2 2 3 5 3 2" xfId="14287" xr:uid="{51A5F39A-027C-43C3-A555-3E9ED2D99B67}"/>
    <cellStyle name="Comma 4 2 2 3 5 4" xfId="10069" xr:uid="{D189454E-A389-41FD-A585-12109670E98B}"/>
    <cellStyle name="Comma 4 2 2 3 6" xfId="1951" xr:uid="{00000000-0005-0000-0000-000021080000}"/>
    <cellStyle name="Comma 4 2 2 3 6 2" xfId="4180" xr:uid="{00000000-0005-0000-0000-000022080000}"/>
    <cellStyle name="Comma 4 2 2 3 6 2 2" xfId="8403" xr:uid="{00000000-0005-0000-0000-000023080000}"/>
    <cellStyle name="Comma 4 2 2 3 6 2 2 2" xfId="16845" xr:uid="{9641AE25-705E-468B-8384-CC2234BD26EC}"/>
    <cellStyle name="Comma 4 2 2 3 6 2 3" xfId="12627" xr:uid="{53C0268C-5416-4B02-926C-99A06E6520E2}"/>
    <cellStyle name="Comma 4 2 2 3 6 3" xfId="6258" xr:uid="{00000000-0005-0000-0000-000024080000}"/>
    <cellStyle name="Comma 4 2 2 3 6 3 2" xfId="14700" xr:uid="{E3CD295F-EFFD-4BF7-968C-6F0E6E750627}"/>
    <cellStyle name="Comma 4 2 2 3 6 4" xfId="10482" xr:uid="{E89EEC47-302A-44C0-9C04-474D414167D7}"/>
    <cellStyle name="Comma 4 2 2 3 7" xfId="2386" xr:uid="{00000000-0005-0000-0000-000025080000}"/>
    <cellStyle name="Comma 4 2 2 3 7 2" xfId="6671" xr:uid="{00000000-0005-0000-0000-000026080000}"/>
    <cellStyle name="Comma 4 2 2 3 7 2 2" xfId="15113" xr:uid="{B0B0F913-1301-4FA4-81F9-80C850DFA13A}"/>
    <cellStyle name="Comma 4 2 2 3 7 3" xfId="10895" xr:uid="{FAFCAA47-B9E5-473C-B338-8536D692DADC}"/>
    <cellStyle name="Comma 4 2 2 3 8" xfId="2377" xr:uid="{00000000-0005-0000-0000-000027080000}"/>
    <cellStyle name="Comma 4 2 2 3 9" xfId="2764" xr:uid="{00000000-0005-0000-0000-000028080000}"/>
    <cellStyle name="Comma 4 2 2 3 9 2" xfId="6988" xr:uid="{00000000-0005-0000-0000-000029080000}"/>
    <cellStyle name="Comma 4 2 2 3 9 2 2" xfId="15430" xr:uid="{93857829-953A-4013-B523-DE4F6B093E88}"/>
    <cellStyle name="Comma 4 2 2 3 9 3" xfId="11212" xr:uid="{183F446C-D930-49A1-A5BC-9F16378117B8}"/>
    <cellStyle name="Comma 4 2 2 4" xfId="134" xr:uid="{00000000-0005-0000-0000-00002A080000}"/>
    <cellStyle name="Comma 4 2 2 4 10" xfId="8831" xr:uid="{9B216B08-84AF-4B58-8F14-AB33A7F214B3}"/>
    <cellStyle name="Comma 4 2 2 4 2" xfId="672" xr:uid="{00000000-0005-0000-0000-00002B080000}"/>
    <cellStyle name="Comma 4 2 2 4 2 2" xfId="2943" xr:uid="{00000000-0005-0000-0000-00002C080000}"/>
    <cellStyle name="Comma 4 2 2 4 2 2 2" xfId="7166" xr:uid="{00000000-0005-0000-0000-00002D080000}"/>
    <cellStyle name="Comma 4 2 2 4 2 2 2 2" xfId="15608" xr:uid="{89EAAF78-F7B3-44E0-8C51-11AE0B763AED}"/>
    <cellStyle name="Comma 4 2 2 4 2 2 3" xfId="11390" xr:uid="{3EA1A2F5-0469-403C-905D-4E8FC6ADCC14}"/>
    <cellStyle name="Comma 4 2 2 4 2 3" xfId="5021" xr:uid="{00000000-0005-0000-0000-00002E080000}"/>
    <cellStyle name="Comma 4 2 2 4 2 3 2" xfId="13463" xr:uid="{93900947-596C-42EB-AF1A-D4D892309902}"/>
    <cellStyle name="Comma 4 2 2 4 2 4" xfId="9245" xr:uid="{2F52806B-4737-4DF6-85C3-2E9F0BDE901D}"/>
    <cellStyle name="Comma 4 2 2 4 3" xfId="1125" xr:uid="{00000000-0005-0000-0000-00002F080000}"/>
    <cellStyle name="Comma 4 2 2 4 3 2" xfId="3356" xr:uid="{00000000-0005-0000-0000-000030080000}"/>
    <cellStyle name="Comma 4 2 2 4 3 2 2" xfId="7579" xr:uid="{00000000-0005-0000-0000-000031080000}"/>
    <cellStyle name="Comma 4 2 2 4 3 2 2 2" xfId="16021" xr:uid="{1D12E2FD-7300-4ADE-A592-9FC7AE19F6F9}"/>
    <cellStyle name="Comma 4 2 2 4 3 2 3" xfId="11803" xr:uid="{2F48B324-E6FE-4C58-9CDC-08F9AA6DB327}"/>
    <cellStyle name="Comma 4 2 2 4 3 3" xfId="5434" xr:uid="{00000000-0005-0000-0000-000032080000}"/>
    <cellStyle name="Comma 4 2 2 4 3 3 2" xfId="13876" xr:uid="{C7125A39-8EB3-41C0-951D-FF2F6CFFF125}"/>
    <cellStyle name="Comma 4 2 2 4 3 4" xfId="9658" xr:uid="{6AADEE9F-B3BC-4F5E-9CA2-037BCB93DEB8}"/>
    <cellStyle name="Comma 4 2 2 4 4" xfId="1539" xr:uid="{00000000-0005-0000-0000-000033080000}"/>
    <cellStyle name="Comma 4 2 2 4 4 2" xfId="3769" xr:uid="{00000000-0005-0000-0000-000034080000}"/>
    <cellStyle name="Comma 4 2 2 4 4 2 2" xfId="7992" xr:uid="{00000000-0005-0000-0000-000035080000}"/>
    <cellStyle name="Comma 4 2 2 4 4 2 2 2" xfId="16434" xr:uid="{16374937-222F-4D74-BDF0-CED7C740E4EB}"/>
    <cellStyle name="Comma 4 2 2 4 4 2 3" xfId="12216" xr:uid="{693DD601-1DA0-4AA4-9011-9C7EBEB02636}"/>
    <cellStyle name="Comma 4 2 2 4 4 3" xfId="5847" xr:uid="{00000000-0005-0000-0000-000036080000}"/>
    <cellStyle name="Comma 4 2 2 4 4 3 2" xfId="14289" xr:uid="{53D68F8D-E5B9-42CA-B78D-66319BEDA478}"/>
    <cellStyle name="Comma 4 2 2 4 4 4" xfId="10071" xr:uid="{A2B07AAE-0D40-4B15-8687-27CF3A5E3D16}"/>
    <cellStyle name="Comma 4 2 2 4 5" xfId="1953" xr:uid="{00000000-0005-0000-0000-000037080000}"/>
    <cellStyle name="Comma 4 2 2 4 5 2" xfId="4182" xr:uid="{00000000-0005-0000-0000-000038080000}"/>
    <cellStyle name="Comma 4 2 2 4 5 2 2" xfId="8405" xr:uid="{00000000-0005-0000-0000-000039080000}"/>
    <cellStyle name="Comma 4 2 2 4 5 2 2 2" xfId="16847" xr:uid="{34F80386-3057-48B7-8774-871377DBD858}"/>
    <cellStyle name="Comma 4 2 2 4 5 2 3" xfId="12629" xr:uid="{AFF5C23C-1E1E-43E6-B8C0-BFAFFF5FD81E}"/>
    <cellStyle name="Comma 4 2 2 4 5 3" xfId="6260" xr:uid="{00000000-0005-0000-0000-00003A080000}"/>
    <cellStyle name="Comma 4 2 2 4 5 3 2" xfId="14702" xr:uid="{BBAE7D99-909A-4C7A-ADD9-CF98BCAFB634}"/>
    <cellStyle name="Comma 4 2 2 4 5 4" xfId="10484" xr:uid="{F3D84CC6-3C08-4FD0-B622-577C0E520FF0}"/>
    <cellStyle name="Comma 4 2 2 4 6" xfId="2388" xr:uid="{00000000-0005-0000-0000-00003B080000}"/>
    <cellStyle name="Comma 4 2 2 4 6 2" xfId="6673" xr:uid="{00000000-0005-0000-0000-00003C080000}"/>
    <cellStyle name="Comma 4 2 2 4 6 2 2" xfId="15115" xr:uid="{78CE8F6A-A9E5-44E7-BB96-17E875AC9599}"/>
    <cellStyle name="Comma 4 2 2 4 6 3" xfId="10897" xr:uid="{50292B9E-2B27-455D-A33E-DFA9041D9FF2}"/>
    <cellStyle name="Comma 4 2 2 4 7" xfId="2375" xr:uid="{00000000-0005-0000-0000-00003D080000}"/>
    <cellStyle name="Comma 4 2 2 4 8" xfId="2766" xr:uid="{00000000-0005-0000-0000-00003E080000}"/>
    <cellStyle name="Comma 4 2 2 4 8 2" xfId="6990" xr:uid="{00000000-0005-0000-0000-00003F080000}"/>
    <cellStyle name="Comma 4 2 2 4 8 2 2" xfId="15432" xr:uid="{C8011E25-9549-4794-989D-B56C6B17A90C}"/>
    <cellStyle name="Comma 4 2 2 4 8 3" xfId="11214" xr:uid="{E3251F65-E39C-4B0A-BE25-37A4E9DC1BE1}"/>
    <cellStyle name="Comma 4 2 2 4 9" xfId="4607" xr:uid="{00000000-0005-0000-0000-000040080000}"/>
    <cellStyle name="Comma 4 2 2 4 9 2" xfId="13049" xr:uid="{E083B572-4AEF-48E2-985D-5AF44C0AFB76}"/>
    <cellStyle name="Comma 4 2 2 5" xfId="135" xr:uid="{00000000-0005-0000-0000-000041080000}"/>
    <cellStyle name="Comma 4 2 2 5 10" xfId="8832" xr:uid="{BF2A6CFD-30EA-4ADD-B71C-9EDFFC02F66F}"/>
    <cellStyle name="Comma 4 2 2 5 2" xfId="673" xr:uid="{00000000-0005-0000-0000-000042080000}"/>
    <cellStyle name="Comma 4 2 2 5 2 2" xfId="2944" xr:uid="{00000000-0005-0000-0000-000043080000}"/>
    <cellStyle name="Comma 4 2 2 5 2 2 2" xfId="7167" xr:uid="{00000000-0005-0000-0000-000044080000}"/>
    <cellStyle name="Comma 4 2 2 5 2 2 2 2" xfId="15609" xr:uid="{FCFCB503-B18C-426E-A49B-AC695F1D2A67}"/>
    <cellStyle name="Comma 4 2 2 5 2 2 3" xfId="11391" xr:uid="{09B9A9BE-9202-4937-B201-8DE4DC31AC59}"/>
    <cellStyle name="Comma 4 2 2 5 2 3" xfId="5022" xr:uid="{00000000-0005-0000-0000-000045080000}"/>
    <cellStyle name="Comma 4 2 2 5 2 3 2" xfId="13464" xr:uid="{DC8C416C-8913-4200-B61E-36AEAB7BBB73}"/>
    <cellStyle name="Comma 4 2 2 5 2 4" xfId="9246" xr:uid="{33A05881-4434-4217-A46F-5DE04B726470}"/>
    <cellStyle name="Comma 4 2 2 5 3" xfId="1126" xr:uid="{00000000-0005-0000-0000-000046080000}"/>
    <cellStyle name="Comma 4 2 2 5 3 2" xfId="3357" xr:uid="{00000000-0005-0000-0000-000047080000}"/>
    <cellStyle name="Comma 4 2 2 5 3 2 2" xfId="7580" xr:uid="{00000000-0005-0000-0000-000048080000}"/>
    <cellStyle name="Comma 4 2 2 5 3 2 2 2" xfId="16022" xr:uid="{30E043CE-A8E0-4A07-94D6-B9FEBCD60428}"/>
    <cellStyle name="Comma 4 2 2 5 3 2 3" xfId="11804" xr:uid="{5F38C183-EE3A-4D23-BEDA-E43D9D8918B9}"/>
    <cellStyle name="Comma 4 2 2 5 3 3" xfId="5435" xr:uid="{00000000-0005-0000-0000-000049080000}"/>
    <cellStyle name="Comma 4 2 2 5 3 3 2" xfId="13877" xr:uid="{22284773-1534-46D4-A543-3B4921110370}"/>
    <cellStyle name="Comma 4 2 2 5 3 4" xfId="9659" xr:uid="{B0F238EA-94C6-4D8B-9048-2770C9E5FAE7}"/>
    <cellStyle name="Comma 4 2 2 5 4" xfId="1540" xr:uid="{00000000-0005-0000-0000-00004A080000}"/>
    <cellStyle name="Comma 4 2 2 5 4 2" xfId="3770" xr:uid="{00000000-0005-0000-0000-00004B080000}"/>
    <cellStyle name="Comma 4 2 2 5 4 2 2" xfId="7993" xr:uid="{00000000-0005-0000-0000-00004C080000}"/>
    <cellStyle name="Comma 4 2 2 5 4 2 2 2" xfId="16435" xr:uid="{000072DF-398F-4888-93A3-915EF07CE8EB}"/>
    <cellStyle name="Comma 4 2 2 5 4 2 3" xfId="12217" xr:uid="{0CADDDFB-9C12-4E1A-B185-C9C559A3193F}"/>
    <cellStyle name="Comma 4 2 2 5 4 3" xfId="5848" xr:uid="{00000000-0005-0000-0000-00004D080000}"/>
    <cellStyle name="Comma 4 2 2 5 4 3 2" xfId="14290" xr:uid="{CA875047-46C3-4CD8-AA7A-3A87942FF57D}"/>
    <cellStyle name="Comma 4 2 2 5 4 4" xfId="10072" xr:uid="{FA840711-8317-46D7-938C-708EFBDB6C75}"/>
    <cellStyle name="Comma 4 2 2 5 5" xfId="1954" xr:uid="{00000000-0005-0000-0000-00004E080000}"/>
    <cellStyle name="Comma 4 2 2 5 5 2" xfId="4183" xr:uid="{00000000-0005-0000-0000-00004F080000}"/>
    <cellStyle name="Comma 4 2 2 5 5 2 2" xfId="8406" xr:uid="{00000000-0005-0000-0000-000050080000}"/>
    <cellStyle name="Comma 4 2 2 5 5 2 2 2" xfId="16848" xr:uid="{6B57AEF2-5F0F-40C0-88B9-E77BA4971BC9}"/>
    <cellStyle name="Comma 4 2 2 5 5 2 3" xfId="12630" xr:uid="{AEB69A17-E774-4DC8-B399-A77F98899FF7}"/>
    <cellStyle name="Comma 4 2 2 5 5 3" xfId="6261" xr:uid="{00000000-0005-0000-0000-000051080000}"/>
    <cellStyle name="Comma 4 2 2 5 5 3 2" xfId="14703" xr:uid="{C41A8A15-631E-4363-A935-6D8A89C8756D}"/>
    <cellStyle name="Comma 4 2 2 5 5 4" xfId="10485" xr:uid="{74FCCE8F-8F7A-4704-AF6A-E9435073AD50}"/>
    <cellStyle name="Comma 4 2 2 5 6" xfId="2389" xr:uid="{00000000-0005-0000-0000-000052080000}"/>
    <cellStyle name="Comma 4 2 2 5 6 2" xfId="6674" xr:uid="{00000000-0005-0000-0000-000053080000}"/>
    <cellStyle name="Comma 4 2 2 5 6 2 2" xfId="15116" xr:uid="{39A7DCAA-ADE7-45F6-AFDD-E9D7A65F705B}"/>
    <cellStyle name="Comma 4 2 2 5 6 3" xfId="10898" xr:uid="{B5BF4472-B0F2-4271-85D3-F71558A1DC31}"/>
    <cellStyle name="Comma 4 2 2 5 7" xfId="2374" xr:uid="{00000000-0005-0000-0000-000054080000}"/>
    <cellStyle name="Comma 4 2 2 5 8" xfId="2767" xr:uid="{00000000-0005-0000-0000-000055080000}"/>
    <cellStyle name="Comma 4 2 2 5 8 2" xfId="6991" xr:uid="{00000000-0005-0000-0000-000056080000}"/>
    <cellStyle name="Comma 4 2 2 5 8 2 2" xfId="15433" xr:uid="{07C244A3-0900-47BA-8E30-FDC3E9289415}"/>
    <cellStyle name="Comma 4 2 2 5 8 3" xfId="11215" xr:uid="{0D091AA2-976E-4281-9338-C87D885ECA18}"/>
    <cellStyle name="Comma 4 2 2 5 9" xfId="4608" xr:uid="{00000000-0005-0000-0000-000057080000}"/>
    <cellStyle name="Comma 4 2 2 5 9 2" xfId="13050" xr:uid="{AE853BFA-6139-40F0-B0A6-A370E44655A0}"/>
    <cellStyle name="Comma 4 2 3" xfId="136" xr:uid="{00000000-0005-0000-0000-000058080000}"/>
    <cellStyle name="Comma 4 2 3 10" xfId="2768" xr:uid="{00000000-0005-0000-0000-000059080000}"/>
    <cellStyle name="Comma 4 2 3 10 2" xfId="6992" xr:uid="{00000000-0005-0000-0000-00005A080000}"/>
    <cellStyle name="Comma 4 2 3 10 2 2" xfId="15434" xr:uid="{7ED1D49B-416F-4A56-AEDC-9B0FFD968A4D}"/>
    <cellStyle name="Comma 4 2 3 10 3" xfId="11216" xr:uid="{BE3067D8-24B8-4DAC-B86D-4124A936E196}"/>
    <cellStyle name="Comma 4 2 3 11" xfId="4609" xr:uid="{00000000-0005-0000-0000-00005B080000}"/>
    <cellStyle name="Comma 4 2 3 11 2" xfId="13051" xr:uid="{3755790F-17C3-49D1-9A26-BB1C1460F4E9}"/>
    <cellStyle name="Comma 4 2 3 12" xfId="8833" xr:uid="{0331C1D3-0440-42F5-A9A3-879C6558A07D}"/>
    <cellStyle name="Comma 4 2 3 2" xfId="137" xr:uid="{00000000-0005-0000-0000-00005C080000}"/>
    <cellStyle name="Comma 4 2 3 2 10" xfId="4610" xr:uid="{00000000-0005-0000-0000-00005D080000}"/>
    <cellStyle name="Comma 4 2 3 2 10 2" xfId="13052" xr:uid="{4CB4CEE8-F7D9-4D2E-BB6A-EF1B4A757B7E}"/>
    <cellStyle name="Comma 4 2 3 2 11" xfId="8834" xr:uid="{5228FB0D-DE01-4E9D-8E26-92273AF9676C}"/>
    <cellStyle name="Comma 4 2 3 2 2" xfId="138" xr:uid="{00000000-0005-0000-0000-00005E080000}"/>
    <cellStyle name="Comma 4 2 3 2 2 10" xfId="8835" xr:uid="{8A535412-03D4-4346-8314-6D54C2C87C5A}"/>
    <cellStyle name="Comma 4 2 3 2 2 2" xfId="676" xr:uid="{00000000-0005-0000-0000-00005F080000}"/>
    <cellStyle name="Comma 4 2 3 2 2 2 2" xfId="2947" xr:uid="{00000000-0005-0000-0000-000060080000}"/>
    <cellStyle name="Comma 4 2 3 2 2 2 2 2" xfId="7170" xr:uid="{00000000-0005-0000-0000-000061080000}"/>
    <cellStyle name="Comma 4 2 3 2 2 2 2 2 2" xfId="15612" xr:uid="{DB520E45-566C-4A08-B58A-685749D74FEE}"/>
    <cellStyle name="Comma 4 2 3 2 2 2 2 3" xfId="11394" xr:uid="{8981D41E-396C-49E9-B528-0A610B0EC6F8}"/>
    <cellStyle name="Comma 4 2 3 2 2 2 3" xfId="5025" xr:uid="{00000000-0005-0000-0000-000062080000}"/>
    <cellStyle name="Comma 4 2 3 2 2 2 3 2" xfId="13467" xr:uid="{8CEBE76F-2DAA-4FE6-8C3C-3A33211E3C98}"/>
    <cellStyle name="Comma 4 2 3 2 2 2 4" xfId="9249" xr:uid="{FE4AE815-A8DD-470E-BE16-68F7D74892E2}"/>
    <cellStyle name="Comma 4 2 3 2 2 3" xfId="1129" xr:uid="{00000000-0005-0000-0000-000063080000}"/>
    <cellStyle name="Comma 4 2 3 2 2 3 2" xfId="3360" xr:uid="{00000000-0005-0000-0000-000064080000}"/>
    <cellStyle name="Comma 4 2 3 2 2 3 2 2" xfId="7583" xr:uid="{00000000-0005-0000-0000-000065080000}"/>
    <cellStyle name="Comma 4 2 3 2 2 3 2 2 2" xfId="16025" xr:uid="{5E71C017-CE83-4711-9FF8-057B6AE0C9AA}"/>
    <cellStyle name="Comma 4 2 3 2 2 3 2 3" xfId="11807" xr:uid="{3B5A483B-30CD-447E-9D80-18004B97575B}"/>
    <cellStyle name="Comma 4 2 3 2 2 3 3" xfId="5438" xr:uid="{00000000-0005-0000-0000-000066080000}"/>
    <cellStyle name="Comma 4 2 3 2 2 3 3 2" xfId="13880" xr:uid="{24A827E8-E760-49D0-AF80-BD486464615A}"/>
    <cellStyle name="Comma 4 2 3 2 2 3 4" xfId="9662" xr:uid="{8F778C98-FA88-4CBA-9B60-2903315B04CD}"/>
    <cellStyle name="Comma 4 2 3 2 2 4" xfId="1543" xr:uid="{00000000-0005-0000-0000-000067080000}"/>
    <cellStyle name="Comma 4 2 3 2 2 4 2" xfId="3773" xr:uid="{00000000-0005-0000-0000-000068080000}"/>
    <cellStyle name="Comma 4 2 3 2 2 4 2 2" xfId="7996" xr:uid="{00000000-0005-0000-0000-000069080000}"/>
    <cellStyle name="Comma 4 2 3 2 2 4 2 2 2" xfId="16438" xr:uid="{CB7DF3E5-5BD0-4E4A-BEBE-7BA44A148F00}"/>
    <cellStyle name="Comma 4 2 3 2 2 4 2 3" xfId="12220" xr:uid="{86F7BEBC-9368-4EB5-B8C6-42A9F81497DF}"/>
    <cellStyle name="Comma 4 2 3 2 2 4 3" xfId="5851" xr:uid="{00000000-0005-0000-0000-00006A080000}"/>
    <cellStyle name="Comma 4 2 3 2 2 4 3 2" xfId="14293" xr:uid="{D90B9D8C-0226-40A7-BF1A-1BA90ECC2FA7}"/>
    <cellStyle name="Comma 4 2 3 2 2 4 4" xfId="10075" xr:uid="{0CC34A28-3D75-4D91-8666-9EDE824BD467}"/>
    <cellStyle name="Comma 4 2 3 2 2 5" xfId="1957" xr:uid="{00000000-0005-0000-0000-00006B080000}"/>
    <cellStyle name="Comma 4 2 3 2 2 5 2" xfId="4186" xr:uid="{00000000-0005-0000-0000-00006C080000}"/>
    <cellStyle name="Comma 4 2 3 2 2 5 2 2" xfId="8409" xr:uid="{00000000-0005-0000-0000-00006D080000}"/>
    <cellStyle name="Comma 4 2 3 2 2 5 2 2 2" xfId="16851" xr:uid="{7BC17EF1-2406-4863-980B-07A1E95DF2EE}"/>
    <cellStyle name="Comma 4 2 3 2 2 5 2 3" xfId="12633" xr:uid="{9B83263C-1598-4F0D-873E-94766ACEBBFA}"/>
    <cellStyle name="Comma 4 2 3 2 2 5 3" xfId="6264" xr:uid="{00000000-0005-0000-0000-00006E080000}"/>
    <cellStyle name="Comma 4 2 3 2 2 5 3 2" xfId="14706" xr:uid="{455D9339-C696-4678-9AF7-689DB57C0A4B}"/>
    <cellStyle name="Comma 4 2 3 2 2 5 4" xfId="10488" xr:uid="{09A93A2E-2355-4062-97D9-0E29D8690E3C}"/>
    <cellStyle name="Comma 4 2 3 2 2 6" xfId="2392" xr:uid="{00000000-0005-0000-0000-00006F080000}"/>
    <cellStyle name="Comma 4 2 3 2 2 6 2" xfId="6677" xr:uid="{00000000-0005-0000-0000-000070080000}"/>
    <cellStyle name="Comma 4 2 3 2 2 6 2 2" xfId="15119" xr:uid="{1E0B867E-0415-4C4C-AE84-7BCF86F20DB7}"/>
    <cellStyle name="Comma 4 2 3 2 2 6 3" xfId="10901" xr:uid="{61D851AC-A913-48C7-BE13-3EF3C3FF270D}"/>
    <cellStyle name="Comma 4 2 3 2 2 7" xfId="2371" xr:uid="{00000000-0005-0000-0000-000071080000}"/>
    <cellStyle name="Comma 4 2 3 2 2 8" xfId="2770" xr:uid="{00000000-0005-0000-0000-000072080000}"/>
    <cellStyle name="Comma 4 2 3 2 2 8 2" xfId="6994" xr:uid="{00000000-0005-0000-0000-000073080000}"/>
    <cellStyle name="Comma 4 2 3 2 2 8 2 2" xfId="15436" xr:uid="{1A9456D1-2C85-4942-BA2C-9FE1BEBB746B}"/>
    <cellStyle name="Comma 4 2 3 2 2 8 3" xfId="11218" xr:uid="{2F886604-DA87-4862-A495-53FEB7F6B821}"/>
    <cellStyle name="Comma 4 2 3 2 2 9" xfId="4611" xr:uid="{00000000-0005-0000-0000-000074080000}"/>
    <cellStyle name="Comma 4 2 3 2 2 9 2" xfId="13053" xr:uid="{453A5011-342F-4750-9303-FC6CB39763F5}"/>
    <cellStyle name="Comma 4 2 3 2 3" xfId="675" xr:uid="{00000000-0005-0000-0000-000075080000}"/>
    <cellStyle name="Comma 4 2 3 2 3 2" xfId="2946" xr:uid="{00000000-0005-0000-0000-000076080000}"/>
    <cellStyle name="Comma 4 2 3 2 3 2 2" xfId="7169" xr:uid="{00000000-0005-0000-0000-000077080000}"/>
    <cellStyle name="Comma 4 2 3 2 3 2 2 2" xfId="15611" xr:uid="{20283E1B-FE9F-4C46-89C5-2F58C8034DDD}"/>
    <cellStyle name="Comma 4 2 3 2 3 2 3" xfId="11393" xr:uid="{6A693E17-0A7D-44F8-8ACE-B7C6CEF31FB3}"/>
    <cellStyle name="Comma 4 2 3 2 3 3" xfId="5024" xr:uid="{00000000-0005-0000-0000-000078080000}"/>
    <cellStyle name="Comma 4 2 3 2 3 3 2" xfId="13466" xr:uid="{20D55CCC-E178-4933-B465-025BCDA94853}"/>
    <cellStyle name="Comma 4 2 3 2 3 4" xfId="9248" xr:uid="{DC07A31C-B9CE-4615-BEFD-325DB5C3B409}"/>
    <cellStyle name="Comma 4 2 3 2 4" xfId="1128" xr:uid="{00000000-0005-0000-0000-000079080000}"/>
    <cellStyle name="Comma 4 2 3 2 4 2" xfId="3359" xr:uid="{00000000-0005-0000-0000-00007A080000}"/>
    <cellStyle name="Comma 4 2 3 2 4 2 2" xfId="7582" xr:uid="{00000000-0005-0000-0000-00007B080000}"/>
    <cellStyle name="Comma 4 2 3 2 4 2 2 2" xfId="16024" xr:uid="{1B236CB2-E7A8-4F6A-A169-C1E4FCD0E44C}"/>
    <cellStyle name="Comma 4 2 3 2 4 2 3" xfId="11806" xr:uid="{F955BE69-FBC0-431A-BC4B-F17D878E3EC3}"/>
    <cellStyle name="Comma 4 2 3 2 4 3" xfId="5437" xr:uid="{00000000-0005-0000-0000-00007C080000}"/>
    <cellStyle name="Comma 4 2 3 2 4 3 2" xfId="13879" xr:uid="{4B6400E7-DB28-4D2E-9632-35A05DB84424}"/>
    <cellStyle name="Comma 4 2 3 2 4 4" xfId="9661" xr:uid="{6770D190-A841-4A2C-AF48-20109577D157}"/>
    <cellStyle name="Comma 4 2 3 2 5" xfId="1542" xr:uid="{00000000-0005-0000-0000-00007D080000}"/>
    <cellStyle name="Comma 4 2 3 2 5 2" xfId="3772" xr:uid="{00000000-0005-0000-0000-00007E080000}"/>
    <cellStyle name="Comma 4 2 3 2 5 2 2" xfId="7995" xr:uid="{00000000-0005-0000-0000-00007F080000}"/>
    <cellStyle name="Comma 4 2 3 2 5 2 2 2" xfId="16437" xr:uid="{2692FFFF-31ED-4AEC-B8BD-E42C0ACEEA29}"/>
    <cellStyle name="Comma 4 2 3 2 5 2 3" xfId="12219" xr:uid="{8B58C349-6D03-4462-B19A-4803DEDC2F17}"/>
    <cellStyle name="Comma 4 2 3 2 5 3" xfId="5850" xr:uid="{00000000-0005-0000-0000-000080080000}"/>
    <cellStyle name="Comma 4 2 3 2 5 3 2" xfId="14292" xr:uid="{4D8386F7-30B0-4B88-A7BA-E8BAF67CC670}"/>
    <cellStyle name="Comma 4 2 3 2 5 4" xfId="10074" xr:uid="{62F7DBD8-F546-4E14-B998-36760D61384C}"/>
    <cellStyle name="Comma 4 2 3 2 6" xfId="1956" xr:uid="{00000000-0005-0000-0000-000081080000}"/>
    <cellStyle name="Comma 4 2 3 2 6 2" xfId="4185" xr:uid="{00000000-0005-0000-0000-000082080000}"/>
    <cellStyle name="Comma 4 2 3 2 6 2 2" xfId="8408" xr:uid="{00000000-0005-0000-0000-000083080000}"/>
    <cellStyle name="Comma 4 2 3 2 6 2 2 2" xfId="16850" xr:uid="{0A66D264-4FDC-42F6-9B05-078A6AACB53F}"/>
    <cellStyle name="Comma 4 2 3 2 6 2 3" xfId="12632" xr:uid="{7EBDF26F-1287-4DE4-B599-95C2DF00A514}"/>
    <cellStyle name="Comma 4 2 3 2 6 3" xfId="6263" xr:uid="{00000000-0005-0000-0000-000084080000}"/>
    <cellStyle name="Comma 4 2 3 2 6 3 2" xfId="14705" xr:uid="{FBAB6A91-27CA-46E3-9167-239B74E01EB6}"/>
    <cellStyle name="Comma 4 2 3 2 6 4" xfId="10487" xr:uid="{37DE0DFD-CC94-4CC4-A907-0BFDA8AA972C}"/>
    <cellStyle name="Comma 4 2 3 2 7" xfId="2391" xr:uid="{00000000-0005-0000-0000-000085080000}"/>
    <cellStyle name="Comma 4 2 3 2 7 2" xfId="6676" xr:uid="{00000000-0005-0000-0000-000086080000}"/>
    <cellStyle name="Comma 4 2 3 2 7 2 2" xfId="15118" xr:uid="{5E70CF8A-4D89-45CC-82FF-17F68DB4A681}"/>
    <cellStyle name="Comma 4 2 3 2 7 3" xfId="10900" xr:uid="{B8105E5C-12A0-4D9D-91E9-D8E6AD34DB56}"/>
    <cellStyle name="Comma 4 2 3 2 8" xfId="2372" xr:uid="{00000000-0005-0000-0000-000087080000}"/>
    <cellStyle name="Comma 4 2 3 2 9" xfId="2769" xr:uid="{00000000-0005-0000-0000-000088080000}"/>
    <cellStyle name="Comma 4 2 3 2 9 2" xfId="6993" xr:uid="{00000000-0005-0000-0000-000089080000}"/>
    <cellStyle name="Comma 4 2 3 2 9 2 2" xfId="15435" xr:uid="{1F15BCE5-1E3B-4C73-AE53-F900C90C4D30}"/>
    <cellStyle name="Comma 4 2 3 2 9 3" xfId="11217" xr:uid="{F70251F5-2BB4-485A-BF4C-16AB8A5BF952}"/>
    <cellStyle name="Comma 4 2 3 3" xfId="139" xr:uid="{00000000-0005-0000-0000-00008A080000}"/>
    <cellStyle name="Comma 4 2 3 3 10" xfId="8836" xr:uid="{C3CB67B2-FFBF-4F0A-99BD-E20D30788E73}"/>
    <cellStyle name="Comma 4 2 3 3 2" xfId="677" xr:uid="{00000000-0005-0000-0000-00008B080000}"/>
    <cellStyle name="Comma 4 2 3 3 2 2" xfId="2948" xr:uid="{00000000-0005-0000-0000-00008C080000}"/>
    <cellStyle name="Comma 4 2 3 3 2 2 2" xfId="7171" xr:uid="{00000000-0005-0000-0000-00008D080000}"/>
    <cellStyle name="Comma 4 2 3 3 2 2 2 2" xfId="15613" xr:uid="{EC9E2874-30B9-4BDB-89AE-BAC45FB7709F}"/>
    <cellStyle name="Comma 4 2 3 3 2 2 3" xfId="11395" xr:uid="{CA86152C-D3BC-4FAC-AD64-29C8DCD8999B}"/>
    <cellStyle name="Comma 4 2 3 3 2 3" xfId="5026" xr:uid="{00000000-0005-0000-0000-00008E080000}"/>
    <cellStyle name="Comma 4 2 3 3 2 3 2" xfId="13468" xr:uid="{C7892DB0-233C-451F-A190-F6A00E266E97}"/>
    <cellStyle name="Comma 4 2 3 3 2 4" xfId="9250" xr:uid="{5AD388F1-99C5-47B0-8F0B-A57C0C302A3D}"/>
    <cellStyle name="Comma 4 2 3 3 3" xfId="1130" xr:uid="{00000000-0005-0000-0000-00008F080000}"/>
    <cellStyle name="Comma 4 2 3 3 3 2" xfId="3361" xr:uid="{00000000-0005-0000-0000-000090080000}"/>
    <cellStyle name="Comma 4 2 3 3 3 2 2" xfId="7584" xr:uid="{00000000-0005-0000-0000-000091080000}"/>
    <cellStyle name="Comma 4 2 3 3 3 2 2 2" xfId="16026" xr:uid="{2FA3D5A0-6EE8-4F06-A1D8-8913756FCDB3}"/>
    <cellStyle name="Comma 4 2 3 3 3 2 3" xfId="11808" xr:uid="{9C9FBB5B-468F-45B0-ABE6-36CD55C977C6}"/>
    <cellStyle name="Comma 4 2 3 3 3 3" xfId="5439" xr:uid="{00000000-0005-0000-0000-000092080000}"/>
    <cellStyle name="Comma 4 2 3 3 3 3 2" xfId="13881" xr:uid="{35DE4D9A-BE5A-45C4-A206-2E661BCD8B46}"/>
    <cellStyle name="Comma 4 2 3 3 3 4" xfId="9663" xr:uid="{3F572B6A-46FE-44CD-BFAA-00D115399072}"/>
    <cellStyle name="Comma 4 2 3 3 4" xfId="1544" xr:uid="{00000000-0005-0000-0000-000093080000}"/>
    <cellStyle name="Comma 4 2 3 3 4 2" xfId="3774" xr:uid="{00000000-0005-0000-0000-000094080000}"/>
    <cellStyle name="Comma 4 2 3 3 4 2 2" xfId="7997" xr:uid="{00000000-0005-0000-0000-000095080000}"/>
    <cellStyle name="Comma 4 2 3 3 4 2 2 2" xfId="16439" xr:uid="{A4F3FCF5-74FB-4834-85F0-34FBE035D373}"/>
    <cellStyle name="Comma 4 2 3 3 4 2 3" xfId="12221" xr:uid="{414C999E-F623-4B23-9C1C-BE692005F2AE}"/>
    <cellStyle name="Comma 4 2 3 3 4 3" xfId="5852" xr:uid="{00000000-0005-0000-0000-000096080000}"/>
    <cellStyle name="Comma 4 2 3 3 4 3 2" xfId="14294" xr:uid="{FF2A313D-A5E5-4438-A203-FB2176FA7A7D}"/>
    <cellStyle name="Comma 4 2 3 3 4 4" xfId="10076" xr:uid="{DE4B4C81-B8BC-4CB8-9557-CCC52EE84812}"/>
    <cellStyle name="Comma 4 2 3 3 5" xfId="1958" xr:uid="{00000000-0005-0000-0000-000097080000}"/>
    <cellStyle name="Comma 4 2 3 3 5 2" xfId="4187" xr:uid="{00000000-0005-0000-0000-000098080000}"/>
    <cellStyle name="Comma 4 2 3 3 5 2 2" xfId="8410" xr:uid="{00000000-0005-0000-0000-000099080000}"/>
    <cellStyle name="Comma 4 2 3 3 5 2 2 2" xfId="16852" xr:uid="{036572F0-67F5-410F-9CBA-86F501AAD641}"/>
    <cellStyle name="Comma 4 2 3 3 5 2 3" xfId="12634" xr:uid="{907A3216-752F-4075-BEFF-91670FBB2FD3}"/>
    <cellStyle name="Comma 4 2 3 3 5 3" xfId="6265" xr:uid="{00000000-0005-0000-0000-00009A080000}"/>
    <cellStyle name="Comma 4 2 3 3 5 3 2" xfId="14707" xr:uid="{160368BA-EA84-4A18-8C3A-9F8C18C01E0C}"/>
    <cellStyle name="Comma 4 2 3 3 5 4" xfId="10489" xr:uid="{B7694992-1398-4547-B831-B79245C6B0CA}"/>
    <cellStyle name="Comma 4 2 3 3 6" xfId="2393" xr:uid="{00000000-0005-0000-0000-00009B080000}"/>
    <cellStyle name="Comma 4 2 3 3 6 2" xfId="6678" xr:uid="{00000000-0005-0000-0000-00009C080000}"/>
    <cellStyle name="Comma 4 2 3 3 6 2 2" xfId="15120" xr:uid="{BC683695-390C-45E6-B5E8-23758291EBD6}"/>
    <cellStyle name="Comma 4 2 3 3 6 3" xfId="10902" xr:uid="{BAC0557A-6B9A-4D84-800B-9B352A320400}"/>
    <cellStyle name="Comma 4 2 3 3 7" xfId="2370" xr:uid="{00000000-0005-0000-0000-00009D080000}"/>
    <cellStyle name="Comma 4 2 3 3 8" xfId="2771" xr:uid="{00000000-0005-0000-0000-00009E080000}"/>
    <cellStyle name="Comma 4 2 3 3 8 2" xfId="6995" xr:uid="{00000000-0005-0000-0000-00009F080000}"/>
    <cellStyle name="Comma 4 2 3 3 8 2 2" xfId="15437" xr:uid="{F3844CB0-1DC4-47C7-BA3C-07470152209B}"/>
    <cellStyle name="Comma 4 2 3 3 8 3" xfId="11219" xr:uid="{6850DFFF-82B9-49FE-8E2E-DBEB44BD9311}"/>
    <cellStyle name="Comma 4 2 3 3 9" xfId="4612" xr:uid="{00000000-0005-0000-0000-0000A0080000}"/>
    <cellStyle name="Comma 4 2 3 3 9 2" xfId="13054" xr:uid="{4F0D3A8B-D6BC-4BE2-B1FB-DA8B541EEBDB}"/>
    <cellStyle name="Comma 4 2 3 4" xfId="674" xr:uid="{00000000-0005-0000-0000-0000A1080000}"/>
    <cellStyle name="Comma 4 2 3 4 2" xfId="2945" xr:uid="{00000000-0005-0000-0000-0000A2080000}"/>
    <cellStyle name="Comma 4 2 3 4 2 2" xfId="7168" xr:uid="{00000000-0005-0000-0000-0000A3080000}"/>
    <cellStyle name="Comma 4 2 3 4 2 2 2" xfId="15610" xr:uid="{22FF5325-45D3-4EB5-A7F8-24F5CAADAB30}"/>
    <cellStyle name="Comma 4 2 3 4 2 3" xfId="11392" xr:uid="{D5AD741E-88FC-4FB2-84C6-BD5751A1B5ED}"/>
    <cellStyle name="Comma 4 2 3 4 3" xfId="5023" xr:uid="{00000000-0005-0000-0000-0000A4080000}"/>
    <cellStyle name="Comma 4 2 3 4 3 2" xfId="13465" xr:uid="{EBAF0102-1D28-4985-84DC-96114D35949B}"/>
    <cellStyle name="Comma 4 2 3 4 4" xfId="9247" xr:uid="{A6505C79-44EE-4EDC-B34A-3A0E9149B7E7}"/>
    <cellStyle name="Comma 4 2 3 5" xfId="1127" xr:uid="{00000000-0005-0000-0000-0000A5080000}"/>
    <cellStyle name="Comma 4 2 3 5 2" xfId="3358" xr:uid="{00000000-0005-0000-0000-0000A6080000}"/>
    <cellStyle name="Comma 4 2 3 5 2 2" xfId="7581" xr:uid="{00000000-0005-0000-0000-0000A7080000}"/>
    <cellStyle name="Comma 4 2 3 5 2 2 2" xfId="16023" xr:uid="{9CA6DE3C-5A12-4058-A4F6-7BDB8A6A1C68}"/>
    <cellStyle name="Comma 4 2 3 5 2 3" xfId="11805" xr:uid="{77C83AE2-0E1B-4607-8727-02C29D623879}"/>
    <cellStyle name="Comma 4 2 3 5 3" xfId="5436" xr:uid="{00000000-0005-0000-0000-0000A8080000}"/>
    <cellStyle name="Comma 4 2 3 5 3 2" xfId="13878" xr:uid="{E532C89A-FA53-4045-A604-84D209642B57}"/>
    <cellStyle name="Comma 4 2 3 5 4" xfId="9660" xr:uid="{61E4E0FD-9D2C-483F-9A12-0D908229CC3B}"/>
    <cellStyle name="Comma 4 2 3 6" xfId="1541" xr:uid="{00000000-0005-0000-0000-0000A9080000}"/>
    <cellStyle name="Comma 4 2 3 6 2" xfId="3771" xr:uid="{00000000-0005-0000-0000-0000AA080000}"/>
    <cellStyle name="Comma 4 2 3 6 2 2" xfId="7994" xr:uid="{00000000-0005-0000-0000-0000AB080000}"/>
    <cellStyle name="Comma 4 2 3 6 2 2 2" xfId="16436" xr:uid="{145B3399-06CA-4385-9E39-449F10A728F2}"/>
    <cellStyle name="Comma 4 2 3 6 2 3" xfId="12218" xr:uid="{C9675C7D-7B71-4C47-8C9F-48EB3DA3561A}"/>
    <cellStyle name="Comma 4 2 3 6 3" xfId="5849" xr:uid="{00000000-0005-0000-0000-0000AC080000}"/>
    <cellStyle name="Comma 4 2 3 6 3 2" xfId="14291" xr:uid="{F3716417-CEB0-45DA-8B1A-2FD74BF9D34F}"/>
    <cellStyle name="Comma 4 2 3 6 4" xfId="10073" xr:uid="{4C4DE7B5-C48B-4425-8AD6-FA3F539E958E}"/>
    <cellStyle name="Comma 4 2 3 7" xfId="1955" xr:uid="{00000000-0005-0000-0000-0000AD080000}"/>
    <cellStyle name="Comma 4 2 3 7 2" xfId="4184" xr:uid="{00000000-0005-0000-0000-0000AE080000}"/>
    <cellStyle name="Comma 4 2 3 7 2 2" xfId="8407" xr:uid="{00000000-0005-0000-0000-0000AF080000}"/>
    <cellStyle name="Comma 4 2 3 7 2 2 2" xfId="16849" xr:uid="{6BAE8E9F-FD93-4828-B9B6-29C2BF22A0D7}"/>
    <cellStyle name="Comma 4 2 3 7 2 3" xfId="12631" xr:uid="{0DF6D22F-F9E0-44B7-9613-DFAD66E7C3A9}"/>
    <cellStyle name="Comma 4 2 3 7 3" xfId="6262" xr:uid="{00000000-0005-0000-0000-0000B0080000}"/>
    <cellStyle name="Comma 4 2 3 7 3 2" xfId="14704" xr:uid="{A29CC536-8E2B-49C5-A475-0D5E9BD7B06E}"/>
    <cellStyle name="Comma 4 2 3 7 4" xfId="10486" xr:uid="{78985BA2-F5CD-44C6-AB14-837854D4FDCE}"/>
    <cellStyle name="Comma 4 2 3 8" xfId="2390" xr:uid="{00000000-0005-0000-0000-0000B1080000}"/>
    <cellStyle name="Comma 4 2 3 8 2" xfId="6675" xr:uid="{00000000-0005-0000-0000-0000B2080000}"/>
    <cellStyle name="Comma 4 2 3 8 2 2" xfId="15117" xr:uid="{99A12CAF-BD18-4FA0-AA2D-EDDDF2BA02F9}"/>
    <cellStyle name="Comma 4 2 3 8 3" xfId="10899" xr:uid="{8492F69F-6751-4DA3-A1C0-A280BA2D45DA}"/>
    <cellStyle name="Comma 4 2 3 9" xfId="2373" xr:uid="{00000000-0005-0000-0000-0000B3080000}"/>
    <cellStyle name="Comma 4 2 4" xfId="140" xr:uid="{00000000-0005-0000-0000-0000B4080000}"/>
    <cellStyle name="Comma 4 2 4 10" xfId="4613" xr:uid="{00000000-0005-0000-0000-0000B5080000}"/>
    <cellStyle name="Comma 4 2 4 10 2" xfId="13055" xr:uid="{CDBBC20E-FFC9-4B93-963D-6B63A1E6EA59}"/>
    <cellStyle name="Comma 4 2 4 11" xfId="8837" xr:uid="{7884B2A4-7834-493F-92D6-1520D71EFAC1}"/>
    <cellStyle name="Comma 4 2 4 2" xfId="141" xr:uid="{00000000-0005-0000-0000-0000B6080000}"/>
    <cellStyle name="Comma 4 2 4 2 10" xfId="8838" xr:uid="{597976BC-6820-43F7-B37E-EB013CB97695}"/>
    <cellStyle name="Comma 4 2 4 2 2" xfId="679" xr:uid="{00000000-0005-0000-0000-0000B7080000}"/>
    <cellStyle name="Comma 4 2 4 2 2 2" xfId="2950" xr:uid="{00000000-0005-0000-0000-0000B8080000}"/>
    <cellStyle name="Comma 4 2 4 2 2 2 2" xfId="7173" xr:uid="{00000000-0005-0000-0000-0000B9080000}"/>
    <cellStyle name="Comma 4 2 4 2 2 2 2 2" xfId="15615" xr:uid="{E9D2E6A5-71C2-4E53-8BDB-E97B90ADF0A1}"/>
    <cellStyle name="Comma 4 2 4 2 2 2 3" xfId="11397" xr:uid="{9EB2FCF8-2E92-41C0-A2EB-10EA0FE1F295}"/>
    <cellStyle name="Comma 4 2 4 2 2 3" xfId="5028" xr:uid="{00000000-0005-0000-0000-0000BA080000}"/>
    <cellStyle name="Comma 4 2 4 2 2 3 2" xfId="13470" xr:uid="{0F798E4B-31F9-4252-BE57-F53F29119DD6}"/>
    <cellStyle name="Comma 4 2 4 2 2 4" xfId="9252" xr:uid="{3155AE79-7951-467F-9D47-B11D36F49EFA}"/>
    <cellStyle name="Comma 4 2 4 2 3" xfId="1132" xr:uid="{00000000-0005-0000-0000-0000BB080000}"/>
    <cellStyle name="Comma 4 2 4 2 3 2" xfId="3363" xr:uid="{00000000-0005-0000-0000-0000BC080000}"/>
    <cellStyle name="Comma 4 2 4 2 3 2 2" xfId="7586" xr:uid="{00000000-0005-0000-0000-0000BD080000}"/>
    <cellStyle name="Comma 4 2 4 2 3 2 2 2" xfId="16028" xr:uid="{05B633B0-A80D-439B-A408-0CB9FCE74B85}"/>
    <cellStyle name="Comma 4 2 4 2 3 2 3" xfId="11810" xr:uid="{F6B9E302-2B8D-47C2-B50F-F72A9CFBD62D}"/>
    <cellStyle name="Comma 4 2 4 2 3 3" xfId="5441" xr:uid="{00000000-0005-0000-0000-0000BE080000}"/>
    <cellStyle name="Comma 4 2 4 2 3 3 2" xfId="13883" xr:uid="{FE3BC26C-6B2A-4401-B1E7-5F1FD5195FFE}"/>
    <cellStyle name="Comma 4 2 4 2 3 4" xfId="9665" xr:uid="{1E5E5F48-6CB2-4D0B-99C2-0EEF694A9916}"/>
    <cellStyle name="Comma 4 2 4 2 4" xfId="1546" xr:uid="{00000000-0005-0000-0000-0000BF080000}"/>
    <cellStyle name="Comma 4 2 4 2 4 2" xfId="3776" xr:uid="{00000000-0005-0000-0000-0000C0080000}"/>
    <cellStyle name="Comma 4 2 4 2 4 2 2" xfId="7999" xr:uid="{00000000-0005-0000-0000-0000C1080000}"/>
    <cellStyle name="Comma 4 2 4 2 4 2 2 2" xfId="16441" xr:uid="{E1B2F37F-ED3E-46B9-9D14-3A67A599A6E4}"/>
    <cellStyle name="Comma 4 2 4 2 4 2 3" xfId="12223" xr:uid="{F34A3573-CBCE-4C91-B03B-FCCFF7656096}"/>
    <cellStyle name="Comma 4 2 4 2 4 3" xfId="5854" xr:uid="{00000000-0005-0000-0000-0000C2080000}"/>
    <cellStyle name="Comma 4 2 4 2 4 3 2" xfId="14296" xr:uid="{3995E3EC-CA35-4599-A6E3-77C658AB96CC}"/>
    <cellStyle name="Comma 4 2 4 2 4 4" xfId="10078" xr:uid="{843D61F4-5528-431F-BC37-E3540491C797}"/>
    <cellStyle name="Comma 4 2 4 2 5" xfId="1960" xr:uid="{00000000-0005-0000-0000-0000C3080000}"/>
    <cellStyle name="Comma 4 2 4 2 5 2" xfId="4189" xr:uid="{00000000-0005-0000-0000-0000C4080000}"/>
    <cellStyle name="Comma 4 2 4 2 5 2 2" xfId="8412" xr:uid="{00000000-0005-0000-0000-0000C5080000}"/>
    <cellStyle name="Comma 4 2 4 2 5 2 2 2" xfId="16854" xr:uid="{02D792D7-EABD-4000-AE9D-4327170E5C9D}"/>
    <cellStyle name="Comma 4 2 4 2 5 2 3" xfId="12636" xr:uid="{B5BFF6F8-E973-4001-9EC4-F28874E313C0}"/>
    <cellStyle name="Comma 4 2 4 2 5 3" xfId="6267" xr:uid="{00000000-0005-0000-0000-0000C6080000}"/>
    <cellStyle name="Comma 4 2 4 2 5 3 2" xfId="14709" xr:uid="{FFB12C0D-B25B-486B-8042-98DEE9BB42A7}"/>
    <cellStyle name="Comma 4 2 4 2 5 4" xfId="10491" xr:uid="{66C9BFBA-5413-4B29-9A79-67CF5054A368}"/>
    <cellStyle name="Comma 4 2 4 2 6" xfId="2395" xr:uid="{00000000-0005-0000-0000-0000C7080000}"/>
    <cellStyle name="Comma 4 2 4 2 6 2" xfId="6680" xr:uid="{00000000-0005-0000-0000-0000C8080000}"/>
    <cellStyle name="Comma 4 2 4 2 6 2 2" xfId="15122" xr:uid="{8C4621BC-04DA-4F00-B6F1-A565368B45C4}"/>
    <cellStyle name="Comma 4 2 4 2 6 3" xfId="10904" xr:uid="{3D41A0AA-EBAD-40D3-A4CF-2A0F6A12B4F6}"/>
    <cellStyle name="Comma 4 2 4 2 7" xfId="2368" xr:uid="{00000000-0005-0000-0000-0000C9080000}"/>
    <cellStyle name="Comma 4 2 4 2 8" xfId="2773" xr:uid="{00000000-0005-0000-0000-0000CA080000}"/>
    <cellStyle name="Comma 4 2 4 2 8 2" xfId="6997" xr:uid="{00000000-0005-0000-0000-0000CB080000}"/>
    <cellStyle name="Comma 4 2 4 2 8 2 2" xfId="15439" xr:uid="{4165C50A-3EF3-4FB8-8E71-7DD026D0873B}"/>
    <cellStyle name="Comma 4 2 4 2 8 3" xfId="11221" xr:uid="{27A0CD7F-C7A0-49D7-B570-7E9DDA5FDCCA}"/>
    <cellStyle name="Comma 4 2 4 2 9" xfId="4614" xr:uid="{00000000-0005-0000-0000-0000CC080000}"/>
    <cellStyle name="Comma 4 2 4 2 9 2" xfId="13056" xr:uid="{E6C03825-075D-47A0-A216-C658A3FF8E83}"/>
    <cellStyle name="Comma 4 2 4 3" xfId="678" xr:uid="{00000000-0005-0000-0000-0000CD080000}"/>
    <cellStyle name="Comma 4 2 4 3 2" xfId="2949" xr:uid="{00000000-0005-0000-0000-0000CE080000}"/>
    <cellStyle name="Comma 4 2 4 3 2 2" xfId="7172" xr:uid="{00000000-0005-0000-0000-0000CF080000}"/>
    <cellStyle name="Comma 4 2 4 3 2 2 2" xfId="15614" xr:uid="{F31BAE29-AD55-4A00-808B-AD008D2D6512}"/>
    <cellStyle name="Comma 4 2 4 3 2 3" xfId="11396" xr:uid="{D2F765A9-9F4C-48D4-8682-3F73319B379C}"/>
    <cellStyle name="Comma 4 2 4 3 3" xfId="5027" xr:uid="{00000000-0005-0000-0000-0000D0080000}"/>
    <cellStyle name="Comma 4 2 4 3 3 2" xfId="13469" xr:uid="{4AC4EF56-315F-462A-AC10-CAD75E20466B}"/>
    <cellStyle name="Comma 4 2 4 3 4" xfId="9251" xr:uid="{F8A0EC43-011B-436D-8783-BE768D5D2DE7}"/>
    <cellStyle name="Comma 4 2 4 4" xfId="1131" xr:uid="{00000000-0005-0000-0000-0000D1080000}"/>
    <cellStyle name="Comma 4 2 4 4 2" xfId="3362" xr:uid="{00000000-0005-0000-0000-0000D2080000}"/>
    <cellStyle name="Comma 4 2 4 4 2 2" xfId="7585" xr:uid="{00000000-0005-0000-0000-0000D3080000}"/>
    <cellStyle name="Comma 4 2 4 4 2 2 2" xfId="16027" xr:uid="{CA1B17E8-4D0A-4618-B102-1A9A7F4CC976}"/>
    <cellStyle name="Comma 4 2 4 4 2 3" xfId="11809" xr:uid="{93CFD279-BA0E-498F-A980-DB0258057C0D}"/>
    <cellStyle name="Comma 4 2 4 4 3" xfId="5440" xr:uid="{00000000-0005-0000-0000-0000D4080000}"/>
    <cellStyle name="Comma 4 2 4 4 3 2" xfId="13882" xr:uid="{D149D6E2-C9CF-4075-B7D6-4682F3ACA490}"/>
    <cellStyle name="Comma 4 2 4 4 4" xfId="9664" xr:uid="{0532FF06-D866-4ABD-8B6C-47503BE432FE}"/>
    <cellStyle name="Comma 4 2 4 5" xfId="1545" xr:uid="{00000000-0005-0000-0000-0000D5080000}"/>
    <cellStyle name="Comma 4 2 4 5 2" xfId="3775" xr:uid="{00000000-0005-0000-0000-0000D6080000}"/>
    <cellStyle name="Comma 4 2 4 5 2 2" xfId="7998" xr:uid="{00000000-0005-0000-0000-0000D7080000}"/>
    <cellStyle name="Comma 4 2 4 5 2 2 2" xfId="16440" xr:uid="{005437D5-9793-4BFE-9881-FBB7FAD27063}"/>
    <cellStyle name="Comma 4 2 4 5 2 3" xfId="12222" xr:uid="{2A53416C-F8EC-439D-9D01-F8BBDFDE0210}"/>
    <cellStyle name="Comma 4 2 4 5 3" xfId="5853" xr:uid="{00000000-0005-0000-0000-0000D8080000}"/>
    <cellStyle name="Comma 4 2 4 5 3 2" xfId="14295" xr:uid="{C4AD4A1B-B235-4EE6-A81F-1E36C79B9F64}"/>
    <cellStyle name="Comma 4 2 4 5 4" xfId="10077" xr:uid="{5D261007-4D87-4AB7-B12E-6C51C25AE3D1}"/>
    <cellStyle name="Comma 4 2 4 6" xfId="1959" xr:uid="{00000000-0005-0000-0000-0000D9080000}"/>
    <cellStyle name="Comma 4 2 4 6 2" xfId="4188" xr:uid="{00000000-0005-0000-0000-0000DA080000}"/>
    <cellStyle name="Comma 4 2 4 6 2 2" xfId="8411" xr:uid="{00000000-0005-0000-0000-0000DB080000}"/>
    <cellStyle name="Comma 4 2 4 6 2 2 2" xfId="16853" xr:uid="{C63483D7-5C32-4B61-A123-CA1093A66169}"/>
    <cellStyle name="Comma 4 2 4 6 2 3" xfId="12635" xr:uid="{5FBF20AE-A9CE-4818-8ECF-A31FACC5DCA3}"/>
    <cellStyle name="Comma 4 2 4 6 3" xfId="6266" xr:uid="{00000000-0005-0000-0000-0000DC080000}"/>
    <cellStyle name="Comma 4 2 4 6 3 2" xfId="14708" xr:uid="{C8EFB9BB-5320-4CE2-BCC3-EEAD839186E6}"/>
    <cellStyle name="Comma 4 2 4 6 4" xfId="10490" xr:uid="{1928A26D-E846-4B1A-9B5E-703593701B3B}"/>
    <cellStyle name="Comma 4 2 4 7" xfId="2394" xr:uid="{00000000-0005-0000-0000-0000DD080000}"/>
    <cellStyle name="Comma 4 2 4 7 2" xfId="6679" xr:uid="{00000000-0005-0000-0000-0000DE080000}"/>
    <cellStyle name="Comma 4 2 4 7 2 2" xfId="15121" xr:uid="{E082854F-B86A-491F-86CC-C5AAA1E79620}"/>
    <cellStyle name="Comma 4 2 4 7 3" xfId="10903" xr:uid="{0B7D2AB1-18E4-40FB-8CE5-263E23BD7E48}"/>
    <cellStyle name="Comma 4 2 4 8" xfId="2369" xr:uid="{00000000-0005-0000-0000-0000DF080000}"/>
    <cellStyle name="Comma 4 2 4 9" xfId="2772" xr:uid="{00000000-0005-0000-0000-0000E0080000}"/>
    <cellStyle name="Comma 4 2 4 9 2" xfId="6996" xr:uid="{00000000-0005-0000-0000-0000E1080000}"/>
    <cellStyle name="Comma 4 2 4 9 2 2" xfId="15438" xr:uid="{4FCB5C1E-482A-463B-835D-F27EF83AA16E}"/>
    <cellStyle name="Comma 4 2 4 9 3" xfId="11220" xr:uid="{8B50B984-51C2-4BCE-90AC-D3DFE89A6248}"/>
    <cellStyle name="Comma 4 2 5" xfId="142" xr:uid="{00000000-0005-0000-0000-0000E2080000}"/>
    <cellStyle name="Comma 4 2 5 10" xfId="8839" xr:uid="{86D6221F-F21A-4CE3-BDA3-2D74550E792B}"/>
    <cellStyle name="Comma 4 2 5 2" xfId="680" xr:uid="{00000000-0005-0000-0000-0000E3080000}"/>
    <cellStyle name="Comma 4 2 5 2 2" xfId="2951" xr:uid="{00000000-0005-0000-0000-0000E4080000}"/>
    <cellStyle name="Comma 4 2 5 2 2 2" xfId="7174" xr:uid="{00000000-0005-0000-0000-0000E5080000}"/>
    <cellStyle name="Comma 4 2 5 2 2 2 2" xfId="15616" xr:uid="{6E612412-18D7-445B-BDEE-85CE7C168778}"/>
    <cellStyle name="Comma 4 2 5 2 2 3" xfId="11398" xr:uid="{E42AAC34-3AA7-44D4-B756-63D46CCD3B43}"/>
    <cellStyle name="Comma 4 2 5 2 3" xfId="5029" xr:uid="{00000000-0005-0000-0000-0000E6080000}"/>
    <cellStyle name="Comma 4 2 5 2 3 2" xfId="13471" xr:uid="{D87BEBE6-BF25-493E-97E9-D8DA009D89A5}"/>
    <cellStyle name="Comma 4 2 5 2 4" xfId="9253" xr:uid="{0446B901-8EA2-4944-8148-40C79C8B577C}"/>
    <cellStyle name="Comma 4 2 5 3" xfId="1133" xr:uid="{00000000-0005-0000-0000-0000E7080000}"/>
    <cellStyle name="Comma 4 2 5 3 2" xfId="3364" xr:uid="{00000000-0005-0000-0000-0000E8080000}"/>
    <cellStyle name="Comma 4 2 5 3 2 2" xfId="7587" xr:uid="{00000000-0005-0000-0000-0000E9080000}"/>
    <cellStyle name="Comma 4 2 5 3 2 2 2" xfId="16029" xr:uid="{0903E11F-19A3-403E-A829-44DE9E23AAD9}"/>
    <cellStyle name="Comma 4 2 5 3 2 3" xfId="11811" xr:uid="{B539759E-8017-4796-A8B2-A55477C93F07}"/>
    <cellStyle name="Comma 4 2 5 3 3" xfId="5442" xr:uid="{00000000-0005-0000-0000-0000EA080000}"/>
    <cellStyle name="Comma 4 2 5 3 3 2" xfId="13884" xr:uid="{00DCE44A-9123-4603-A225-28346A5835EF}"/>
    <cellStyle name="Comma 4 2 5 3 4" xfId="9666" xr:uid="{20928BC1-54B4-42A3-845E-560BD677B646}"/>
    <cellStyle name="Comma 4 2 5 4" xfId="1547" xr:uid="{00000000-0005-0000-0000-0000EB080000}"/>
    <cellStyle name="Comma 4 2 5 4 2" xfId="3777" xr:uid="{00000000-0005-0000-0000-0000EC080000}"/>
    <cellStyle name="Comma 4 2 5 4 2 2" xfId="8000" xr:uid="{00000000-0005-0000-0000-0000ED080000}"/>
    <cellStyle name="Comma 4 2 5 4 2 2 2" xfId="16442" xr:uid="{5571A8D7-462B-443F-A4B4-90787E984C8C}"/>
    <cellStyle name="Comma 4 2 5 4 2 3" xfId="12224" xr:uid="{05C4968F-F9CD-4F75-9A8C-72A8A9AE8728}"/>
    <cellStyle name="Comma 4 2 5 4 3" xfId="5855" xr:uid="{00000000-0005-0000-0000-0000EE080000}"/>
    <cellStyle name="Comma 4 2 5 4 3 2" xfId="14297" xr:uid="{D71C2975-2205-4835-85C3-89A0ED6785B4}"/>
    <cellStyle name="Comma 4 2 5 4 4" xfId="10079" xr:uid="{DAA96298-9871-4212-A1C9-24AF710F097D}"/>
    <cellStyle name="Comma 4 2 5 5" xfId="1961" xr:uid="{00000000-0005-0000-0000-0000EF080000}"/>
    <cellStyle name="Comma 4 2 5 5 2" xfId="4190" xr:uid="{00000000-0005-0000-0000-0000F0080000}"/>
    <cellStyle name="Comma 4 2 5 5 2 2" xfId="8413" xr:uid="{00000000-0005-0000-0000-0000F1080000}"/>
    <cellStyle name="Comma 4 2 5 5 2 2 2" xfId="16855" xr:uid="{FC63373D-78AC-479B-AE67-C86FA6483CC3}"/>
    <cellStyle name="Comma 4 2 5 5 2 3" xfId="12637" xr:uid="{42BCA1A0-C683-4BB8-80A7-C65F47E16C2A}"/>
    <cellStyle name="Comma 4 2 5 5 3" xfId="6268" xr:uid="{00000000-0005-0000-0000-0000F2080000}"/>
    <cellStyle name="Comma 4 2 5 5 3 2" xfId="14710" xr:uid="{F6F71326-AAD2-4723-B241-6A24DDA8A3AB}"/>
    <cellStyle name="Comma 4 2 5 5 4" xfId="10492" xr:uid="{BCF59D4C-9DFC-47C7-A5C3-FB301B2707C6}"/>
    <cellStyle name="Comma 4 2 5 6" xfId="2396" xr:uid="{00000000-0005-0000-0000-0000F3080000}"/>
    <cellStyle name="Comma 4 2 5 6 2" xfId="6681" xr:uid="{00000000-0005-0000-0000-0000F4080000}"/>
    <cellStyle name="Comma 4 2 5 6 2 2" xfId="15123" xr:uid="{050BCAC5-4C84-43F8-9F23-87AFDCCEBE8B}"/>
    <cellStyle name="Comma 4 2 5 6 3" xfId="10905" xr:uid="{C665E119-A636-452A-B952-77E4835BF98B}"/>
    <cellStyle name="Comma 4 2 5 7" xfId="2367" xr:uid="{00000000-0005-0000-0000-0000F5080000}"/>
    <cellStyle name="Comma 4 2 5 8" xfId="2774" xr:uid="{00000000-0005-0000-0000-0000F6080000}"/>
    <cellStyle name="Comma 4 2 5 8 2" xfId="6998" xr:uid="{00000000-0005-0000-0000-0000F7080000}"/>
    <cellStyle name="Comma 4 2 5 8 2 2" xfId="15440" xr:uid="{2D7ABA9D-AE02-44C1-8C4A-E4524166E901}"/>
    <cellStyle name="Comma 4 2 5 8 3" xfId="11222" xr:uid="{6B085768-61E3-4AB3-ADB6-C0C916D5F487}"/>
    <cellStyle name="Comma 4 2 5 9" xfId="4615" xr:uid="{00000000-0005-0000-0000-0000F8080000}"/>
    <cellStyle name="Comma 4 2 5 9 2" xfId="13057" xr:uid="{C5F7197C-8355-4C34-9412-654EA66D9313}"/>
    <cellStyle name="Comma 4 2 6" xfId="143" xr:uid="{00000000-0005-0000-0000-0000F9080000}"/>
    <cellStyle name="Comma 4 2 6 10" xfId="8840" xr:uid="{D871542D-E2EE-482D-B852-03AA55FFD834}"/>
    <cellStyle name="Comma 4 2 6 2" xfId="681" xr:uid="{00000000-0005-0000-0000-0000FA080000}"/>
    <cellStyle name="Comma 4 2 6 2 2" xfId="2952" xr:uid="{00000000-0005-0000-0000-0000FB080000}"/>
    <cellStyle name="Comma 4 2 6 2 2 2" xfId="7175" xr:uid="{00000000-0005-0000-0000-0000FC080000}"/>
    <cellStyle name="Comma 4 2 6 2 2 2 2" xfId="15617" xr:uid="{E4717CB0-C65D-46C5-ADCC-E25EC17881C4}"/>
    <cellStyle name="Comma 4 2 6 2 2 3" xfId="11399" xr:uid="{C919E574-23FA-4E76-AB15-0FE3CC9D4C5F}"/>
    <cellStyle name="Comma 4 2 6 2 3" xfId="5030" xr:uid="{00000000-0005-0000-0000-0000FD080000}"/>
    <cellStyle name="Comma 4 2 6 2 3 2" xfId="13472" xr:uid="{1EBAB15D-119E-48EB-8C57-7F40FBE3BF20}"/>
    <cellStyle name="Comma 4 2 6 2 4" xfId="9254" xr:uid="{04BE02A5-7AA6-46F9-8C63-F9A66C651EFE}"/>
    <cellStyle name="Comma 4 2 6 3" xfId="1134" xr:uid="{00000000-0005-0000-0000-0000FE080000}"/>
    <cellStyle name="Comma 4 2 6 3 2" xfId="3365" xr:uid="{00000000-0005-0000-0000-0000FF080000}"/>
    <cellStyle name="Comma 4 2 6 3 2 2" xfId="7588" xr:uid="{00000000-0005-0000-0000-000000090000}"/>
    <cellStyle name="Comma 4 2 6 3 2 2 2" xfId="16030" xr:uid="{F0E18E56-D1EF-45D1-B20D-6FEDD5DCD478}"/>
    <cellStyle name="Comma 4 2 6 3 2 3" xfId="11812" xr:uid="{42CDC75D-545B-44B1-9754-9A7779925442}"/>
    <cellStyle name="Comma 4 2 6 3 3" xfId="5443" xr:uid="{00000000-0005-0000-0000-000001090000}"/>
    <cellStyle name="Comma 4 2 6 3 3 2" xfId="13885" xr:uid="{7F96A131-CC2A-4DB6-9B31-2009551EEA89}"/>
    <cellStyle name="Comma 4 2 6 3 4" xfId="9667" xr:uid="{95ABA5B5-684E-42C4-8777-CE7B561B13C5}"/>
    <cellStyle name="Comma 4 2 6 4" xfId="1548" xr:uid="{00000000-0005-0000-0000-000002090000}"/>
    <cellStyle name="Comma 4 2 6 4 2" xfId="3778" xr:uid="{00000000-0005-0000-0000-000003090000}"/>
    <cellStyle name="Comma 4 2 6 4 2 2" xfId="8001" xr:uid="{00000000-0005-0000-0000-000004090000}"/>
    <cellStyle name="Comma 4 2 6 4 2 2 2" xfId="16443" xr:uid="{63FA4702-92A6-4AB1-87AB-B0D7DED4D933}"/>
    <cellStyle name="Comma 4 2 6 4 2 3" xfId="12225" xr:uid="{5AAB877A-E137-4FB3-B1E2-8ABA0DC66756}"/>
    <cellStyle name="Comma 4 2 6 4 3" xfId="5856" xr:uid="{00000000-0005-0000-0000-000005090000}"/>
    <cellStyle name="Comma 4 2 6 4 3 2" xfId="14298" xr:uid="{F387A15B-828D-4DA8-A504-BC47547757BB}"/>
    <cellStyle name="Comma 4 2 6 4 4" xfId="10080" xr:uid="{0B26B1B1-26E0-4986-A5B9-0B9A807BDBDC}"/>
    <cellStyle name="Comma 4 2 6 5" xfId="1962" xr:uid="{00000000-0005-0000-0000-000006090000}"/>
    <cellStyle name="Comma 4 2 6 5 2" xfId="4191" xr:uid="{00000000-0005-0000-0000-000007090000}"/>
    <cellStyle name="Comma 4 2 6 5 2 2" xfId="8414" xr:uid="{00000000-0005-0000-0000-000008090000}"/>
    <cellStyle name="Comma 4 2 6 5 2 2 2" xfId="16856" xr:uid="{F8AF7302-5C4C-41AD-B5B8-52532F477A32}"/>
    <cellStyle name="Comma 4 2 6 5 2 3" xfId="12638" xr:uid="{4BC66368-1142-40ED-ACA5-B7A99BBBE972}"/>
    <cellStyle name="Comma 4 2 6 5 3" xfId="6269" xr:uid="{00000000-0005-0000-0000-000009090000}"/>
    <cellStyle name="Comma 4 2 6 5 3 2" xfId="14711" xr:uid="{8023D505-E224-49A1-BC05-F4FFF9E33C83}"/>
    <cellStyle name="Comma 4 2 6 5 4" xfId="10493" xr:uid="{8B604AAA-D8DE-45AB-B383-DF4DFC8F12A7}"/>
    <cellStyle name="Comma 4 2 6 6" xfId="2397" xr:uid="{00000000-0005-0000-0000-00000A090000}"/>
    <cellStyle name="Comma 4 2 6 6 2" xfId="6682" xr:uid="{00000000-0005-0000-0000-00000B090000}"/>
    <cellStyle name="Comma 4 2 6 6 2 2" xfId="15124" xr:uid="{F6FAFA99-2024-427C-948B-511BC3BAAF9C}"/>
    <cellStyle name="Comma 4 2 6 6 3" xfId="10906" xr:uid="{715E372F-0CB1-4F74-91C4-ECE85A3E101D}"/>
    <cellStyle name="Comma 4 2 6 7" xfId="2366" xr:uid="{00000000-0005-0000-0000-00000C090000}"/>
    <cellStyle name="Comma 4 2 6 8" xfId="2775" xr:uid="{00000000-0005-0000-0000-00000D090000}"/>
    <cellStyle name="Comma 4 2 6 8 2" xfId="6999" xr:uid="{00000000-0005-0000-0000-00000E090000}"/>
    <cellStyle name="Comma 4 2 6 8 2 2" xfId="15441" xr:uid="{2147178B-1EAD-4CF2-8A48-C709DA5665A9}"/>
    <cellStyle name="Comma 4 2 6 8 3" xfId="11223" xr:uid="{F50D5984-B08D-42EC-B816-1902763C3051}"/>
    <cellStyle name="Comma 4 2 6 9" xfId="4616" xr:uid="{00000000-0005-0000-0000-00000F090000}"/>
    <cellStyle name="Comma 4 2 6 9 2" xfId="13058" xr:uid="{CE61FEDF-8537-4770-9EEE-0ECBBBB65198}"/>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0 2 2" xfId="15442" xr:uid="{9B4856E9-B5D2-4132-B78F-4FC3BB4F8729}"/>
    <cellStyle name="Comma 4 3 2 10 3" xfId="11224" xr:uid="{6AECC1A9-7885-44BC-B9C0-93115E36AC1F}"/>
    <cellStyle name="Comma 4 3 2 11" xfId="4617" xr:uid="{00000000-0005-0000-0000-000014090000}"/>
    <cellStyle name="Comma 4 3 2 11 2" xfId="13059" xr:uid="{827AE60C-9C95-405F-941D-75203BF1B99D}"/>
    <cellStyle name="Comma 4 3 2 12" xfId="8841" xr:uid="{AE87AD64-3441-4211-8CDD-5DCB863285D0}"/>
    <cellStyle name="Comma 4 3 2 2" xfId="146" xr:uid="{00000000-0005-0000-0000-000015090000}"/>
    <cellStyle name="Comma 4 3 2 2 10" xfId="4618" xr:uid="{00000000-0005-0000-0000-000016090000}"/>
    <cellStyle name="Comma 4 3 2 2 10 2" xfId="13060" xr:uid="{E2D531E3-F5AF-4798-82D7-6029EC6B86EB}"/>
    <cellStyle name="Comma 4 3 2 2 11" xfId="8842" xr:uid="{368E3D11-C685-4490-936D-75B487526B29}"/>
    <cellStyle name="Comma 4 3 2 2 2" xfId="147" xr:uid="{00000000-0005-0000-0000-000017090000}"/>
    <cellStyle name="Comma 4 3 2 2 2 10" xfId="8843" xr:uid="{E719EBB8-8460-44BD-8D81-39073FFFEC76}"/>
    <cellStyle name="Comma 4 3 2 2 2 2" xfId="684" xr:uid="{00000000-0005-0000-0000-000018090000}"/>
    <cellStyle name="Comma 4 3 2 2 2 2 2" xfId="2955" xr:uid="{00000000-0005-0000-0000-000019090000}"/>
    <cellStyle name="Comma 4 3 2 2 2 2 2 2" xfId="7178" xr:uid="{00000000-0005-0000-0000-00001A090000}"/>
    <cellStyle name="Comma 4 3 2 2 2 2 2 2 2" xfId="15620" xr:uid="{98834B5C-5CB2-4345-AC2C-8BF4D9499238}"/>
    <cellStyle name="Comma 4 3 2 2 2 2 2 3" xfId="11402" xr:uid="{66E94A3E-8B02-4A50-8A54-FAAA96EF04BC}"/>
    <cellStyle name="Comma 4 3 2 2 2 2 3" xfId="5033" xr:uid="{00000000-0005-0000-0000-00001B090000}"/>
    <cellStyle name="Comma 4 3 2 2 2 2 3 2" xfId="13475" xr:uid="{645A5511-EB7A-4EB8-9508-985E8895DDAD}"/>
    <cellStyle name="Comma 4 3 2 2 2 2 4" xfId="9257" xr:uid="{6D6E8C60-B188-400A-BB1A-F7208A7A21F3}"/>
    <cellStyle name="Comma 4 3 2 2 2 3" xfId="1137" xr:uid="{00000000-0005-0000-0000-00001C090000}"/>
    <cellStyle name="Comma 4 3 2 2 2 3 2" xfId="3368" xr:uid="{00000000-0005-0000-0000-00001D090000}"/>
    <cellStyle name="Comma 4 3 2 2 2 3 2 2" xfId="7591" xr:uid="{00000000-0005-0000-0000-00001E090000}"/>
    <cellStyle name="Comma 4 3 2 2 2 3 2 2 2" xfId="16033" xr:uid="{7C9B1547-1A7E-49D0-924B-397DBE100C4D}"/>
    <cellStyle name="Comma 4 3 2 2 2 3 2 3" xfId="11815" xr:uid="{574E2CA0-491F-44EE-A391-EB6B59AC50C4}"/>
    <cellStyle name="Comma 4 3 2 2 2 3 3" xfId="5446" xr:uid="{00000000-0005-0000-0000-00001F090000}"/>
    <cellStyle name="Comma 4 3 2 2 2 3 3 2" xfId="13888" xr:uid="{F1A355AD-6681-4B65-B5A5-320797387CDB}"/>
    <cellStyle name="Comma 4 3 2 2 2 3 4" xfId="9670" xr:uid="{94797FA7-8010-49B4-86D2-10F5A24BCE5E}"/>
    <cellStyle name="Comma 4 3 2 2 2 4" xfId="1551" xr:uid="{00000000-0005-0000-0000-000020090000}"/>
    <cellStyle name="Comma 4 3 2 2 2 4 2" xfId="3781" xr:uid="{00000000-0005-0000-0000-000021090000}"/>
    <cellStyle name="Comma 4 3 2 2 2 4 2 2" xfId="8004" xr:uid="{00000000-0005-0000-0000-000022090000}"/>
    <cellStyle name="Comma 4 3 2 2 2 4 2 2 2" xfId="16446" xr:uid="{6239A7A1-F9DC-44C8-88B0-639F8A887D02}"/>
    <cellStyle name="Comma 4 3 2 2 2 4 2 3" xfId="12228" xr:uid="{F331C007-6746-4913-9116-8D17B373BF39}"/>
    <cellStyle name="Comma 4 3 2 2 2 4 3" xfId="5859" xr:uid="{00000000-0005-0000-0000-000023090000}"/>
    <cellStyle name="Comma 4 3 2 2 2 4 3 2" xfId="14301" xr:uid="{558ED0A3-7198-4349-B5FF-A5DB296D12E5}"/>
    <cellStyle name="Comma 4 3 2 2 2 4 4" xfId="10083" xr:uid="{AB6A4CDC-F636-4780-9896-6717D7BCBEB9}"/>
    <cellStyle name="Comma 4 3 2 2 2 5" xfId="1965" xr:uid="{00000000-0005-0000-0000-000024090000}"/>
    <cellStyle name="Comma 4 3 2 2 2 5 2" xfId="4194" xr:uid="{00000000-0005-0000-0000-000025090000}"/>
    <cellStyle name="Comma 4 3 2 2 2 5 2 2" xfId="8417" xr:uid="{00000000-0005-0000-0000-000026090000}"/>
    <cellStyle name="Comma 4 3 2 2 2 5 2 2 2" xfId="16859" xr:uid="{91412673-346B-4D17-8C4D-29270C265155}"/>
    <cellStyle name="Comma 4 3 2 2 2 5 2 3" xfId="12641" xr:uid="{49ACEBC8-4BD1-44C8-B59B-A2B33C0A3CD0}"/>
    <cellStyle name="Comma 4 3 2 2 2 5 3" xfId="6272" xr:uid="{00000000-0005-0000-0000-000027090000}"/>
    <cellStyle name="Comma 4 3 2 2 2 5 3 2" xfId="14714" xr:uid="{0A352BE7-5A4D-455C-8954-DD1F4E697C3C}"/>
    <cellStyle name="Comma 4 3 2 2 2 5 4" xfId="10496" xr:uid="{70A3A382-269B-4D0B-8C87-56564DBD1BA2}"/>
    <cellStyle name="Comma 4 3 2 2 2 6" xfId="2400" xr:uid="{00000000-0005-0000-0000-000028090000}"/>
    <cellStyle name="Comma 4 3 2 2 2 6 2" xfId="6685" xr:uid="{00000000-0005-0000-0000-000029090000}"/>
    <cellStyle name="Comma 4 3 2 2 2 6 2 2" xfId="15127" xr:uid="{6CD267FC-8B0A-4CF6-9B73-CCE35FB9CFC7}"/>
    <cellStyle name="Comma 4 3 2 2 2 6 3" xfId="10909" xr:uid="{D4D5145F-0370-42EB-B51C-87750AF3990C}"/>
    <cellStyle name="Comma 4 3 2 2 2 7" xfId="2363" xr:uid="{00000000-0005-0000-0000-00002A090000}"/>
    <cellStyle name="Comma 4 3 2 2 2 8" xfId="2778" xr:uid="{00000000-0005-0000-0000-00002B090000}"/>
    <cellStyle name="Comma 4 3 2 2 2 8 2" xfId="7002" xr:uid="{00000000-0005-0000-0000-00002C090000}"/>
    <cellStyle name="Comma 4 3 2 2 2 8 2 2" xfId="15444" xr:uid="{F4B5957A-0A23-453A-8301-80FCC08C8D29}"/>
    <cellStyle name="Comma 4 3 2 2 2 8 3" xfId="11226" xr:uid="{7EBD2427-20F1-4377-9CC2-B61772DBE8FE}"/>
    <cellStyle name="Comma 4 3 2 2 2 9" xfId="4619" xr:uid="{00000000-0005-0000-0000-00002D090000}"/>
    <cellStyle name="Comma 4 3 2 2 2 9 2" xfId="13061" xr:uid="{F2CC0272-2652-4E1D-B739-199A83E8B0D7}"/>
    <cellStyle name="Comma 4 3 2 2 3" xfId="683" xr:uid="{00000000-0005-0000-0000-00002E090000}"/>
    <cellStyle name="Comma 4 3 2 2 3 2" xfId="2954" xr:uid="{00000000-0005-0000-0000-00002F090000}"/>
    <cellStyle name="Comma 4 3 2 2 3 2 2" xfId="7177" xr:uid="{00000000-0005-0000-0000-000030090000}"/>
    <cellStyle name="Comma 4 3 2 2 3 2 2 2" xfId="15619" xr:uid="{5500D2A5-B2A8-4E92-B3B5-DFC837D7CA50}"/>
    <cellStyle name="Comma 4 3 2 2 3 2 3" xfId="11401" xr:uid="{F0871FA4-8E50-44A5-ADF2-1B3E919076EE}"/>
    <cellStyle name="Comma 4 3 2 2 3 3" xfId="5032" xr:uid="{00000000-0005-0000-0000-000031090000}"/>
    <cellStyle name="Comma 4 3 2 2 3 3 2" xfId="13474" xr:uid="{3F1DE3EA-8CC8-4408-8A43-B56DC99B89EE}"/>
    <cellStyle name="Comma 4 3 2 2 3 4" xfId="9256" xr:uid="{89EC8639-C468-496D-9173-42838A85B959}"/>
    <cellStyle name="Comma 4 3 2 2 4" xfId="1136" xr:uid="{00000000-0005-0000-0000-000032090000}"/>
    <cellStyle name="Comma 4 3 2 2 4 2" xfId="3367" xr:uid="{00000000-0005-0000-0000-000033090000}"/>
    <cellStyle name="Comma 4 3 2 2 4 2 2" xfId="7590" xr:uid="{00000000-0005-0000-0000-000034090000}"/>
    <cellStyle name="Comma 4 3 2 2 4 2 2 2" xfId="16032" xr:uid="{D4EF50CF-50AD-44AB-82B5-B6F57CE07939}"/>
    <cellStyle name="Comma 4 3 2 2 4 2 3" xfId="11814" xr:uid="{B9983AA9-8FFF-40C3-A7EF-8555593E967C}"/>
    <cellStyle name="Comma 4 3 2 2 4 3" xfId="5445" xr:uid="{00000000-0005-0000-0000-000035090000}"/>
    <cellStyle name="Comma 4 3 2 2 4 3 2" xfId="13887" xr:uid="{56AD5F26-7594-4779-80D6-D01576DA9D77}"/>
    <cellStyle name="Comma 4 3 2 2 4 4" xfId="9669" xr:uid="{F1D756CE-D3E3-4750-B663-E118A368186E}"/>
    <cellStyle name="Comma 4 3 2 2 5" xfId="1550" xr:uid="{00000000-0005-0000-0000-000036090000}"/>
    <cellStyle name="Comma 4 3 2 2 5 2" xfId="3780" xr:uid="{00000000-0005-0000-0000-000037090000}"/>
    <cellStyle name="Comma 4 3 2 2 5 2 2" xfId="8003" xr:uid="{00000000-0005-0000-0000-000038090000}"/>
    <cellStyle name="Comma 4 3 2 2 5 2 2 2" xfId="16445" xr:uid="{4F03ECA5-1B1B-453A-9EEC-21FAB7EB5715}"/>
    <cellStyle name="Comma 4 3 2 2 5 2 3" xfId="12227" xr:uid="{789FD500-B98C-4BBE-A2F0-5E9921DA49FF}"/>
    <cellStyle name="Comma 4 3 2 2 5 3" xfId="5858" xr:uid="{00000000-0005-0000-0000-000039090000}"/>
    <cellStyle name="Comma 4 3 2 2 5 3 2" xfId="14300" xr:uid="{4CB36B05-5444-4522-B48F-B02FC27FEBAE}"/>
    <cellStyle name="Comma 4 3 2 2 5 4" xfId="10082" xr:uid="{7192BB87-6ADA-407E-90A2-C23E10A6C457}"/>
    <cellStyle name="Comma 4 3 2 2 6" xfId="1964" xr:uid="{00000000-0005-0000-0000-00003A090000}"/>
    <cellStyle name="Comma 4 3 2 2 6 2" xfId="4193" xr:uid="{00000000-0005-0000-0000-00003B090000}"/>
    <cellStyle name="Comma 4 3 2 2 6 2 2" xfId="8416" xr:uid="{00000000-0005-0000-0000-00003C090000}"/>
    <cellStyle name="Comma 4 3 2 2 6 2 2 2" xfId="16858" xr:uid="{42724713-24C6-43F3-B3FE-1032EE394663}"/>
    <cellStyle name="Comma 4 3 2 2 6 2 3" xfId="12640" xr:uid="{C251E4E7-B394-4EF8-806D-F714EF90D471}"/>
    <cellStyle name="Comma 4 3 2 2 6 3" xfId="6271" xr:uid="{00000000-0005-0000-0000-00003D090000}"/>
    <cellStyle name="Comma 4 3 2 2 6 3 2" xfId="14713" xr:uid="{4ECBA411-6E8E-4124-8FFC-6EA503CB30AF}"/>
    <cellStyle name="Comma 4 3 2 2 6 4" xfId="10495" xr:uid="{933F1E55-CACE-4128-BE4D-9E4E51BD8FEC}"/>
    <cellStyle name="Comma 4 3 2 2 7" xfId="2399" xr:uid="{00000000-0005-0000-0000-00003E090000}"/>
    <cellStyle name="Comma 4 3 2 2 7 2" xfId="6684" xr:uid="{00000000-0005-0000-0000-00003F090000}"/>
    <cellStyle name="Comma 4 3 2 2 7 2 2" xfId="15126" xr:uid="{4EDECC07-19BC-443E-9E80-5EED23D74896}"/>
    <cellStyle name="Comma 4 3 2 2 7 3" xfId="10908" xr:uid="{9BD9C01C-6941-4150-8147-81ADCFBB3DBC}"/>
    <cellStyle name="Comma 4 3 2 2 8" xfId="2364" xr:uid="{00000000-0005-0000-0000-000040090000}"/>
    <cellStyle name="Comma 4 3 2 2 9" xfId="2777" xr:uid="{00000000-0005-0000-0000-000041090000}"/>
    <cellStyle name="Comma 4 3 2 2 9 2" xfId="7001" xr:uid="{00000000-0005-0000-0000-000042090000}"/>
    <cellStyle name="Comma 4 3 2 2 9 2 2" xfId="15443" xr:uid="{9F4AA5D8-D4CF-439E-BDAA-72B383AC0ED7}"/>
    <cellStyle name="Comma 4 3 2 2 9 3" xfId="11225" xr:uid="{E1EB3A46-27A0-4985-9A54-C20BD9059D97}"/>
    <cellStyle name="Comma 4 3 2 3" xfId="148" xr:uid="{00000000-0005-0000-0000-000043090000}"/>
    <cellStyle name="Comma 4 3 2 3 10" xfId="8844" xr:uid="{ADEF95E4-3FF8-4F95-B437-5BB728470E59}"/>
    <cellStyle name="Comma 4 3 2 3 2" xfId="685" xr:uid="{00000000-0005-0000-0000-000044090000}"/>
    <cellStyle name="Comma 4 3 2 3 2 2" xfId="2956" xr:uid="{00000000-0005-0000-0000-000045090000}"/>
    <cellStyle name="Comma 4 3 2 3 2 2 2" xfId="7179" xr:uid="{00000000-0005-0000-0000-000046090000}"/>
    <cellStyle name="Comma 4 3 2 3 2 2 2 2" xfId="15621" xr:uid="{540A960D-A4DE-4CB9-B4D9-5791F6870E84}"/>
    <cellStyle name="Comma 4 3 2 3 2 2 3" xfId="11403" xr:uid="{2052627F-87D7-437D-81E7-6D83D42210EF}"/>
    <cellStyle name="Comma 4 3 2 3 2 3" xfId="5034" xr:uid="{00000000-0005-0000-0000-000047090000}"/>
    <cellStyle name="Comma 4 3 2 3 2 3 2" xfId="13476" xr:uid="{9336A055-C4B6-424F-A2AE-B78DC2D69C14}"/>
    <cellStyle name="Comma 4 3 2 3 2 4" xfId="9258" xr:uid="{48B3DD14-37AB-4B86-8E6A-6BA350ED10DE}"/>
    <cellStyle name="Comma 4 3 2 3 3" xfId="1138" xr:uid="{00000000-0005-0000-0000-000048090000}"/>
    <cellStyle name="Comma 4 3 2 3 3 2" xfId="3369" xr:uid="{00000000-0005-0000-0000-000049090000}"/>
    <cellStyle name="Comma 4 3 2 3 3 2 2" xfId="7592" xr:uid="{00000000-0005-0000-0000-00004A090000}"/>
    <cellStyle name="Comma 4 3 2 3 3 2 2 2" xfId="16034" xr:uid="{B4D9F0B0-605D-4D0F-AC43-A61CE0A019C6}"/>
    <cellStyle name="Comma 4 3 2 3 3 2 3" xfId="11816" xr:uid="{7D9AF3AA-F50F-4AD1-8ADA-451460ABA293}"/>
    <cellStyle name="Comma 4 3 2 3 3 3" xfId="5447" xr:uid="{00000000-0005-0000-0000-00004B090000}"/>
    <cellStyle name="Comma 4 3 2 3 3 3 2" xfId="13889" xr:uid="{972694E3-41E8-4F69-BEC1-B2F0847CF3A4}"/>
    <cellStyle name="Comma 4 3 2 3 3 4" xfId="9671" xr:uid="{03B74AD7-4509-4824-A4DE-FDA6051A257B}"/>
    <cellStyle name="Comma 4 3 2 3 4" xfId="1552" xr:uid="{00000000-0005-0000-0000-00004C090000}"/>
    <cellStyle name="Comma 4 3 2 3 4 2" xfId="3782" xr:uid="{00000000-0005-0000-0000-00004D090000}"/>
    <cellStyle name="Comma 4 3 2 3 4 2 2" xfId="8005" xr:uid="{00000000-0005-0000-0000-00004E090000}"/>
    <cellStyle name="Comma 4 3 2 3 4 2 2 2" xfId="16447" xr:uid="{B82A6DD3-B42D-47EC-83A8-75F3A8B42229}"/>
    <cellStyle name="Comma 4 3 2 3 4 2 3" xfId="12229" xr:uid="{1116125D-DA95-49DA-A4D7-05C6E21627D6}"/>
    <cellStyle name="Comma 4 3 2 3 4 3" xfId="5860" xr:uid="{00000000-0005-0000-0000-00004F090000}"/>
    <cellStyle name="Comma 4 3 2 3 4 3 2" xfId="14302" xr:uid="{5FDFD610-F090-4384-AB1A-B344AAEC626E}"/>
    <cellStyle name="Comma 4 3 2 3 4 4" xfId="10084" xr:uid="{45699076-8B81-486C-B8AC-F8C0529CDD2D}"/>
    <cellStyle name="Comma 4 3 2 3 5" xfId="1966" xr:uid="{00000000-0005-0000-0000-000050090000}"/>
    <cellStyle name="Comma 4 3 2 3 5 2" xfId="4195" xr:uid="{00000000-0005-0000-0000-000051090000}"/>
    <cellStyle name="Comma 4 3 2 3 5 2 2" xfId="8418" xr:uid="{00000000-0005-0000-0000-000052090000}"/>
    <cellStyle name="Comma 4 3 2 3 5 2 2 2" xfId="16860" xr:uid="{68EA90C1-F466-46AE-9071-94CD5C038BC7}"/>
    <cellStyle name="Comma 4 3 2 3 5 2 3" xfId="12642" xr:uid="{F7285015-6B3D-4DF8-9F5B-06DDA0539D16}"/>
    <cellStyle name="Comma 4 3 2 3 5 3" xfId="6273" xr:uid="{00000000-0005-0000-0000-000053090000}"/>
    <cellStyle name="Comma 4 3 2 3 5 3 2" xfId="14715" xr:uid="{329ADE8E-D4CB-428C-9A47-7E12BEBF6CE0}"/>
    <cellStyle name="Comma 4 3 2 3 5 4" xfId="10497" xr:uid="{6770E4AE-2279-45E4-9C2D-0765180C66CE}"/>
    <cellStyle name="Comma 4 3 2 3 6" xfId="2401" xr:uid="{00000000-0005-0000-0000-000054090000}"/>
    <cellStyle name="Comma 4 3 2 3 6 2" xfId="6686" xr:uid="{00000000-0005-0000-0000-000055090000}"/>
    <cellStyle name="Comma 4 3 2 3 6 2 2" xfId="15128" xr:uid="{0F5C4D35-EEA6-4C85-B9B5-E491D1FBB933}"/>
    <cellStyle name="Comma 4 3 2 3 6 3" xfId="10910" xr:uid="{9F38A9CB-E53D-4495-8CD3-4DA21B869957}"/>
    <cellStyle name="Comma 4 3 2 3 7" xfId="2362" xr:uid="{00000000-0005-0000-0000-000056090000}"/>
    <cellStyle name="Comma 4 3 2 3 8" xfId="2779" xr:uid="{00000000-0005-0000-0000-000057090000}"/>
    <cellStyle name="Comma 4 3 2 3 8 2" xfId="7003" xr:uid="{00000000-0005-0000-0000-000058090000}"/>
    <cellStyle name="Comma 4 3 2 3 8 2 2" xfId="15445" xr:uid="{F302EE19-7520-415E-AAD3-09594868B092}"/>
    <cellStyle name="Comma 4 3 2 3 8 3" xfId="11227" xr:uid="{59785FCD-5026-46FC-900A-E240E4A45980}"/>
    <cellStyle name="Comma 4 3 2 3 9" xfId="4620" xr:uid="{00000000-0005-0000-0000-000059090000}"/>
    <cellStyle name="Comma 4 3 2 3 9 2" xfId="13062" xr:uid="{2D49B9EF-E27E-4075-B764-8104CDD0C085}"/>
    <cellStyle name="Comma 4 3 2 4" xfId="682" xr:uid="{00000000-0005-0000-0000-00005A090000}"/>
    <cellStyle name="Comma 4 3 2 4 2" xfId="2953" xr:uid="{00000000-0005-0000-0000-00005B090000}"/>
    <cellStyle name="Comma 4 3 2 4 2 2" xfId="7176" xr:uid="{00000000-0005-0000-0000-00005C090000}"/>
    <cellStyle name="Comma 4 3 2 4 2 2 2" xfId="15618" xr:uid="{6D9345BC-8078-4C49-ACE9-B4232D13D138}"/>
    <cellStyle name="Comma 4 3 2 4 2 3" xfId="11400" xr:uid="{358609B4-010A-4189-8A61-874CBEDF9CBB}"/>
    <cellStyle name="Comma 4 3 2 4 3" xfId="5031" xr:uid="{00000000-0005-0000-0000-00005D090000}"/>
    <cellStyle name="Comma 4 3 2 4 3 2" xfId="13473" xr:uid="{34F5D219-6540-4128-990D-6429D307C6FD}"/>
    <cellStyle name="Comma 4 3 2 4 4" xfId="9255" xr:uid="{3F82F386-C114-43BA-B186-8371DE8CAB7B}"/>
    <cellStyle name="Comma 4 3 2 5" xfId="1135" xr:uid="{00000000-0005-0000-0000-00005E090000}"/>
    <cellStyle name="Comma 4 3 2 5 2" xfId="3366" xr:uid="{00000000-0005-0000-0000-00005F090000}"/>
    <cellStyle name="Comma 4 3 2 5 2 2" xfId="7589" xr:uid="{00000000-0005-0000-0000-000060090000}"/>
    <cellStyle name="Comma 4 3 2 5 2 2 2" xfId="16031" xr:uid="{2B807448-39FA-4C42-B605-19475EE00634}"/>
    <cellStyle name="Comma 4 3 2 5 2 3" xfId="11813" xr:uid="{85EA4A77-553B-477D-8D47-C9CD254883AF}"/>
    <cellStyle name="Comma 4 3 2 5 3" xfId="5444" xr:uid="{00000000-0005-0000-0000-000061090000}"/>
    <cellStyle name="Comma 4 3 2 5 3 2" xfId="13886" xr:uid="{69BD8101-D6CB-4A5C-B52D-BA18F3F2CD7A}"/>
    <cellStyle name="Comma 4 3 2 5 4" xfId="9668" xr:uid="{5FBCF0A4-E228-4C01-A2F0-40A81D6A1B2B}"/>
    <cellStyle name="Comma 4 3 2 6" xfId="1549" xr:uid="{00000000-0005-0000-0000-000062090000}"/>
    <cellStyle name="Comma 4 3 2 6 2" xfId="3779" xr:uid="{00000000-0005-0000-0000-000063090000}"/>
    <cellStyle name="Comma 4 3 2 6 2 2" xfId="8002" xr:uid="{00000000-0005-0000-0000-000064090000}"/>
    <cellStyle name="Comma 4 3 2 6 2 2 2" xfId="16444" xr:uid="{A6EAB7CE-ADAD-41D2-B4E6-441E464BB1F3}"/>
    <cellStyle name="Comma 4 3 2 6 2 3" xfId="12226" xr:uid="{4F3A1E76-E519-4822-B851-1ADE36879835}"/>
    <cellStyle name="Comma 4 3 2 6 3" xfId="5857" xr:uid="{00000000-0005-0000-0000-000065090000}"/>
    <cellStyle name="Comma 4 3 2 6 3 2" xfId="14299" xr:uid="{DCD06D5D-682F-47D8-97E0-4A55D92A93DB}"/>
    <cellStyle name="Comma 4 3 2 6 4" xfId="10081" xr:uid="{574EE396-C98A-420D-BC6A-B8D6C0BBEC03}"/>
    <cellStyle name="Comma 4 3 2 7" xfId="1963" xr:uid="{00000000-0005-0000-0000-000066090000}"/>
    <cellStyle name="Comma 4 3 2 7 2" xfId="4192" xr:uid="{00000000-0005-0000-0000-000067090000}"/>
    <cellStyle name="Comma 4 3 2 7 2 2" xfId="8415" xr:uid="{00000000-0005-0000-0000-000068090000}"/>
    <cellStyle name="Comma 4 3 2 7 2 2 2" xfId="16857" xr:uid="{45516A6A-6F9F-49D2-9470-283510B4F977}"/>
    <cellStyle name="Comma 4 3 2 7 2 3" xfId="12639" xr:uid="{60CF48D0-288C-4F0A-ACB7-DB73359B4E54}"/>
    <cellStyle name="Comma 4 3 2 7 3" xfId="6270" xr:uid="{00000000-0005-0000-0000-000069090000}"/>
    <cellStyle name="Comma 4 3 2 7 3 2" xfId="14712" xr:uid="{CEFA85C9-D52C-4C1D-99D6-1A09C4E812E4}"/>
    <cellStyle name="Comma 4 3 2 7 4" xfId="10494" xr:uid="{75F99EFB-EF18-4CEE-AC84-77500BE67621}"/>
    <cellStyle name="Comma 4 3 2 8" xfId="2398" xr:uid="{00000000-0005-0000-0000-00006A090000}"/>
    <cellStyle name="Comma 4 3 2 8 2" xfId="6683" xr:uid="{00000000-0005-0000-0000-00006B090000}"/>
    <cellStyle name="Comma 4 3 2 8 2 2" xfId="15125" xr:uid="{BEDE8F3F-E51F-4F17-A035-026B3D9A4FFF}"/>
    <cellStyle name="Comma 4 3 2 8 3" xfId="10907" xr:uid="{4051A0C9-6492-48E5-91FD-021B6E9B1277}"/>
    <cellStyle name="Comma 4 3 2 9" xfId="2365" xr:uid="{00000000-0005-0000-0000-00006C090000}"/>
    <cellStyle name="Comma 4 3 3" xfId="149" xr:uid="{00000000-0005-0000-0000-00006D090000}"/>
    <cellStyle name="Comma 4 3 3 10" xfId="4621" xr:uid="{00000000-0005-0000-0000-00006E090000}"/>
    <cellStyle name="Comma 4 3 3 10 2" xfId="13063" xr:uid="{86C5BC89-0451-4777-ACDD-42BADC402813}"/>
    <cellStyle name="Comma 4 3 3 11" xfId="8845" xr:uid="{4A1D681A-6EEE-4741-9C5C-10DDC741D3F7}"/>
    <cellStyle name="Comma 4 3 3 2" xfId="150" xr:uid="{00000000-0005-0000-0000-00006F090000}"/>
    <cellStyle name="Comma 4 3 3 2 10" xfId="8846" xr:uid="{5A835BC5-D274-4F79-B307-2EE9D63E43FA}"/>
    <cellStyle name="Comma 4 3 3 2 2" xfId="687" xr:uid="{00000000-0005-0000-0000-000070090000}"/>
    <cellStyle name="Comma 4 3 3 2 2 2" xfId="2958" xr:uid="{00000000-0005-0000-0000-000071090000}"/>
    <cellStyle name="Comma 4 3 3 2 2 2 2" xfId="7181" xr:uid="{00000000-0005-0000-0000-000072090000}"/>
    <cellStyle name="Comma 4 3 3 2 2 2 2 2" xfId="15623" xr:uid="{E614E1D0-6044-400E-9BFB-7F1DF7DF88D0}"/>
    <cellStyle name="Comma 4 3 3 2 2 2 3" xfId="11405" xr:uid="{F651A6BC-8A5E-4A72-A205-4E4C63BA9F99}"/>
    <cellStyle name="Comma 4 3 3 2 2 3" xfId="5036" xr:uid="{00000000-0005-0000-0000-000073090000}"/>
    <cellStyle name="Comma 4 3 3 2 2 3 2" xfId="13478" xr:uid="{BB25D5EB-BA82-409F-B465-F84737F321B2}"/>
    <cellStyle name="Comma 4 3 3 2 2 4" xfId="9260" xr:uid="{F1426EB3-FD7D-4E50-9AA0-76D49B386B5B}"/>
    <cellStyle name="Comma 4 3 3 2 3" xfId="1140" xr:uid="{00000000-0005-0000-0000-000074090000}"/>
    <cellStyle name="Comma 4 3 3 2 3 2" xfId="3371" xr:uid="{00000000-0005-0000-0000-000075090000}"/>
    <cellStyle name="Comma 4 3 3 2 3 2 2" xfId="7594" xr:uid="{00000000-0005-0000-0000-000076090000}"/>
    <cellStyle name="Comma 4 3 3 2 3 2 2 2" xfId="16036" xr:uid="{DB19FBCD-505A-4947-A4D6-8EAF44BCD4C5}"/>
    <cellStyle name="Comma 4 3 3 2 3 2 3" xfId="11818" xr:uid="{41C357D5-FD72-445E-9F9A-085064E28D69}"/>
    <cellStyle name="Comma 4 3 3 2 3 3" xfId="5449" xr:uid="{00000000-0005-0000-0000-000077090000}"/>
    <cellStyle name="Comma 4 3 3 2 3 3 2" xfId="13891" xr:uid="{D4F5BD49-F299-4AFE-8669-600BAFB0348B}"/>
    <cellStyle name="Comma 4 3 3 2 3 4" xfId="9673" xr:uid="{C2FC8B64-542A-43FA-8416-EAF77762FF08}"/>
    <cellStyle name="Comma 4 3 3 2 4" xfId="1554" xr:uid="{00000000-0005-0000-0000-000078090000}"/>
    <cellStyle name="Comma 4 3 3 2 4 2" xfId="3784" xr:uid="{00000000-0005-0000-0000-000079090000}"/>
    <cellStyle name="Comma 4 3 3 2 4 2 2" xfId="8007" xr:uid="{00000000-0005-0000-0000-00007A090000}"/>
    <cellStyle name="Comma 4 3 3 2 4 2 2 2" xfId="16449" xr:uid="{6753D414-0457-44ED-B844-685915486901}"/>
    <cellStyle name="Comma 4 3 3 2 4 2 3" xfId="12231" xr:uid="{EEE72CD4-EC9B-47AE-B3DA-4C46123C889A}"/>
    <cellStyle name="Comma 4 3 3 2 4 3" xfId="5862" xr:uid="{00000000-0005-0000-0000-00007B090000}"/>
    <cellStyle name="Comma 4 3 3 2 4 3 2" xfId="14304" xr:uid="{393665E5-016B-4302-BBB7-198253703CA7}"/>
    <cellStyle name="Comma 4 3 3 2 4 4" xfId="10086" xr:uid="{58497AC1-B44A-4036-92AE-558E978A3DB1}"/>
    <cellStyle name="Comma 4 3 3 2 5" xfId="1968" xr:uid="{00000000-0005-0000-0000-00007C090000}"/>
    <cellStyle name="Comma 4 3 3 2 5 2" xfId="4197" xr:uid="{00000000-0005-0000-0000-00007D090000}"/>
    <cellStyle name="Comma 4 3 3 2 5 2 2" xfId="8420" xr:uid="{00000000-0005-0000-0000-00007E090000}"/>
    <cellStyle name="Comma 4 3 3 2 5 2 2 2" xfId="16862" xr:uid="{CC7373B4-9898-4DEF-85EC-7322E32ADCB3}"/>
    <cellStyle name="Comma 4 3 3 2 5 2 3" xfId="12644" xr:uid="{10E5F0E2-BAB8-41A5-BF6C-8DD962DF6298}"/>
    <cellStyle name="Comma 4 3 3 2 5 3" xfId="6275" xr:uid="{00000000-0005-0000-0000-00007F090000}"/>
    <cellStyle name="Comma 4 3 3 2 5 3 2" xfId="14717" xr:uid="{5B79D3F4-230D-49F1-A67E-A12630E54AAD}"/>
    <cellStyle name="Comma 4 3 3 2 5 4" xfId="10499" xr:uid="{A32F5FDD-A796-42CB-8544-E497F6CF2DF7}"/>
    <cellStyle name="Comma 4 3 3 2 6" xfId="2403" xr:uid="{00000000-0005-0000-0000-000080090000}"/>
    <cellStyle name="Comma 4 3 3 2 6 2" xfId="6688" xr:uid="{00000000-0005-0000-0000-000081090000}"/>
    <cellStyle name="Comma 4 3 3 2 6 2 2" xfId="15130" xr:uid="{4D28B583-49A3-4361-9FD2-B8DD5312B8AE}"/>
    <cellStyle name="Comma 4 3 3 2 6 3" xfId="10912" xr:uid="{9932D1B0-8ECC-46A4-A964-D4B58BAC11FF}"/>
    <cellStyle name="Comma 4 3 3 2 7" xfId="2360" xr:uid="{00000000-0005-0000-0000-000082090000}"/>
    <cellStyle name="Comma 4 3 3 2 8" xfId="2781" xr:uid="{00000000-0005-0000-0000-000083090000}"/>
    <cellStyle name="Comma 4 3 3 2 8 2" xfId="7005" xr:uid="{00000000-0005-0000-0000-000084090000}"/>
    <cellStyle name="Comma 4 3 3 2 8 2 2" xfId="15447" xr:uid="{1A209BC4-5B1A-48DB-B6FD-A1EC1AFD8637}"/>
    <cellStyle name="Comma 4 3 3 2 8 3" xfId="11229" xr:uid="{6FBB0509-4882-4286-B8E8-2B38139BE159}"/>
    <cellStyle name="Comma 4 3 3 2 9" xfId="4622" xr:uid="{00000000-0005-0000-0000-000085090000}"/>
    <cellStyle name="Comma 4 3 3 2 9 2" xfId="13064" xr:uid="{E044B40D-2AC6-44A8-BE10-2F55A36B8F34}"/>
    <cellStyle name="Comma 4 3 3 3" xfId="686" xr:uid="{00000000-0005-0000-0000-000086090000}"/>
    <cellStyle name="Comma 4 3 3 3 2" xfId="2957" xr:uid="{00000000-0005-0000-0000-000087090000}"/>
    <cellStyle name="Comma 4 3 3 3 2 2" xfId="7180" xr:uid="{00000000-0005-0000-0000-000088090000}"/>
    <cellStyle name="Comma 4 3 3 3 2 2 2" xfId="15622" xr:uid="{C1EAC5BB-B043-49CE-93E4-ADD0C71C24A2}"/>
    <cellStyle name="Comma 4 3 3 3 2 3" xfId="11404" xr:uid="{F84C01BE-CF4B-45E4-B97C-A1CE3858BC55}"/>
    <cellStyle name="Comma 4 3 3 3 3" xfId="5035" xr:uid="{00000000-0005-0000-0000-000089090000}"/>
    <cellStyle name="Comma 4 3 3 3 3 2" xfId="13477" xr:uid="{E0F383CE-6CA5-4839-93CE-C703A5FAFEBF}"/>
    <cellStyle name="Comma 4 3 3 3 4" xfId="9259" xr:uid="{B4A4A5A5-AB45-4FE7-B38A-B138BF9188E7}"/>
    <cellStyle name="Comma 4 3 3 4" xfId="1139" xr:uid="{00000000-0005-0000-0000-00008A090000}"/>
    <cellStyle name="Comma 4 3 3 4 2" xfId="3370" xr:uid="{00000000-0005-0000-0000-00008B090000}"/>
    <cellStyle name="Comma 4 3 3 4 2 2" xfId="7593" xr:uid="{00000000-0005-0000-0000-00008C090000}"/>
    <cellStyle name="Comma 4 3 3 4 2 2 2" xfId="16035" xr:uid="{415F2470-5898-4A6A-997E-E3216315753C}"/>
    <cellStyle name="Comma 4 3 3 4 2 3" xfId="11817" xr:uid="{66AFFC69-79AA-4885-B8F9-9B6105C70721}"/>
    <cellStyle name="Comma 4 3 3 4 3" xfId="5448" xr:uid="{00000000-0005-0000-0000-00008D090000}"/>
    <cellStyle name="Comma 4 3 3 4 3 2" xfId="13890" xr:uid="{868163FB-FA6E-47D6-94A7-BCD0202EA1AE}"/>
    <cellStyle name="Comma 4 3 3 4 4" xfId="9672" xr:uid="{8DCD74F9-01CE-4DBE-AA9B-0DE4B309DF46}"/>
    <cellStyle name="Comma 4 3 3 5" xfId="1553" xr:uid="{00000000-0005-0000-0000-00008E090000}"/>
    <cellStyle name="Comma 4 3 3 5 2" xfId="3783" xr:uid="{00000000-0005-0000-0000-00008F090000}"/>
    <cellStyle name="Comma 4 3 3 5 2 2" xfId="8006" xr:uid="{00000000-0005-0000-0000-000090090000}"/>
    <cellStyle name="Comma 4 3 3 5 2 2 2" xfId="16448" xr:uid="{463F661B-B2F8-4619-A566-C372FD368A4E}"/>
    <cellStyle name="Comma 4 3 3 5 2 3" xfId="12230" xr:uid="{AE0B7E43-1052-41A2-BC8D-81E4B459453C}"/>
    <cellStyle name="Comma 4 3 3 5 3" xfId="5861" xr:uid="{00000000-0005-0000-0000-000091090000}"/>
    <cellStyle name="Comma 4 3 3 5 3 2" xfId="14303" xr:uid="{1A4C86FE-BE52-4A04-B6A5-6387C5959BBF}"/>
    <cellStyle name="Comma 4 3 3 5 4" xfId="10085" xr:uid="{0FD49F91-40B5-47C9-A135-2573745C9CA7}"/>
    <cellStyle name="Comma 4 3 3 6" xfId="1967" xr:uid="{00000000-0005-0000-0000-000092090000}"/>
    <cellStyle name="Comma 4 3 3 6 2" xfId="4196" xr:uid="{00000000-0005-0000-0000-000093090000}"/>
    <cellStyle name="Comma 4 3 3 6 2 2" xfId="8419" xr:uid="{00000000-0005-0000-0000-000094090000}"/>
    <cellStyle name="Comma 4 3 3 6 2 2 2" xfId="16861" xr:uid="{B46B8C60-47F3-4E38-9311-A16DB989776B}"/>
    <cellStyle name="Comma 4 3 3 6 2 3" xfId="12643" xr:uid="{BAB47DE6-C223-4031-84AC-6FEDE579EF4F}"/>
    <cellStyle name="Comma 4 3 3 6 3" xfId="6274" xr:uid="{00000000-0005-0000-0000-000095090000}"/>
    <cellStyle name="Comma 4 3 3 6 3 2" xfId="14716" xr:uid="{9C4B3EB1-6956-4A28-849F-0AE325157520}"/>
    <cellStyle name="Comma 4 3 3 6 4" xfId="10498" xr:uid="{20D4F736-DD1D-4E6C-9FD5-22BB90B1166E}"/>
    <cellStyle name="Comma 4 3 3 7" xfId="2402" xr:uid="{00000000-0005-0000-0000-000096090000}"/>
    <cellStyle name="Comma 4 3 3 7 2" xfId="6687" xr:uid="{00000000-0005-0000-0000-000097090000}"/>
    <cellStyle name="Comma 4 3 3 7 2 2" xfId="15129" xr:uid="{834D1A2A-7A3B-4E20-8B45-43B1D14B7265}"/>
    <cellStyle name="Comma 4 3 3 7 3" xfId="10911" xr:uid="{C64D1AD0-3EA3-41F6-80CE-E7B412A928CB}"/>
    <cellStyle name="Comma 4 3 3 8" xfId="2361" xr:uid="{00000000-0005-0000-0000-000098090000}"/>
    <cellStyle name="Comma 4 3 3 9" xfId="2780" xr:uid="{00000000-0005-0000-0000-000099090000}"/>
    <cellStyle name="Comma 4 3 3 9 2" xfId="7004" xr:uid="{00000000-0005-0000-0000-00009A090000}"/>
    <cellStyle name="Comma 4 3 3 9 2 2" xfId="15446" xr:uid="{410B9E43-FDA8-4BCB-BE9B-6B612A4DC1BA}"/>
    <cellStyle name="Comma 4 3 3 9 3" xfId="11228" xr:uid="{716BF2F0-0EF3-4CF5-8F39-C8A7F42CA7E8}"/>
    <cellStyle name="Comma 4 3 4" xfId="151" xr:uid="{00000000-0005-0000-0000-00009B090000}"/>
    <cellStyle name="Comma 4 3 4 10" xfId="8847" xr:uid="{EA63528A-C254-4799-98EB-F0347623F9CE}"/>
    <cellStyle name="Comma 4 3 4 2" xfId="688" xr:uid="{00000000-0005-0000-0000-00009C090000}"/>
    <cellStyle name="Comma 4 3 4 2 2" xfId="2959" xr:uid="{00000000-0005-0000-0000-00009D090000}"/>
    <cellStyle name="Comma 4 3 4 2 2 2" xfId="7182" xr:uid="{00000000-0005-0000-0000-00009E090000}"/>
    <cellStyle name="Comma 4 3 4 2 2 2 2" xfId="15624" xr:uid="{8595E074-CD3F-4292-9FD2-D148F5C39535}"/>
    <cellStyle name="Comma 4 3 4 2 2 3" xfId="11406" xr:uid="{212AA849-CEAD-4A34-B510-15B1405109B4}"/>
    <cellStyle name="Comma 4 3 4 2 3" xfId="5037" xr:uid="{00000000-0005-0000-0000-00009F090000}"/>
    <cellStyle name="Comma 4 3 4 2 3 2" xfId="13479" xr:uid="{5862AEA1-4BAF-47AE-B7AD-C686EC46243E}"/>
    <cellStyle name="Comma 4 3 4 2 4" xfId="9261" xr:uid="{27AEBE0B-DCD5-4203-AE0B-90C0A941284B}"/>
    <cellStyle name="Comma 4 3 4 3" xfId="1141" xr:uid="{00000000-0005-0000-0000-0000A0090000}"/>
    <cellStyle name="Comma 4 3 4 3 2" xfId="3372" xr:uid="{00000000-0005-0000-0000-0000A1090000}"/>
    <cellStyle name="Comma 4 3 4 3 2 2" xfId="7595" xr:uid="{00000000-0005-0000-0000-0000A2090000}"/>
    <cellStyle name="Comma 4 3 4 3 2 2 2" xfId="16037" xr:uid="{78807ECC-B73D-4919-965A-77DFADB807B0}"/>
    <cellStyle name="Comma 4 3 4 3 2 3" xfId="11819" xr:uid="{8B54761D-EAAE-4836-B3B6-FF9CC83DB7D4}"/>
    <cellStyle name="Comma 4 3 4 3 3" xfId="5450" xr:uid="{00000000-0005-0000-0000-0000A3090000}"/>
    <cellStyle name="Comma 4 3 4 3 3 2" xfId="13892" xr:uid="{B847DE47-5765-4FD5-B58E-91C5D5F453FB}"/>
    <cellStyle name="Comma 4 3 4 3 4" xfId="9674" xr:uid="{0F712522-FA91-48C1-BE3E-05A623519BE9}"/>
    <cellStyle name="Comma 4 3 4 4" xfId="1555" xr:uid="{00000000-0005-0000-0000-0000A4090000}"/>
    <cellStyle name="Comma 4 3 4 4 2" xfId="3785" xr:uid="{00000000-0005-0000-0000-0000A5090000}"/>
    <cellStyle name="Comma 4 3 4 4 2 2" xfId="8008" xr:uid="{00000000-0005-0000-0000-0000A6090000}"/>
    <cellStyle name="Comma 4 3 4 4 2 2 2" xfId="16450" xr:uid="{CDC0B8C7-C9A5-4E86-8464-170A4546F99C}"/>
    <cellStyle name="Comma 4 3 4 4 2 3" xfId="12232" xr:uid="{4A147CAA-FBBB-44BA-B7C8-899BA2B5AFE9}"/>
    <cellStyle name="Comma 4 3 4 4 3" xfId="5863" xr:uid="{00000000-0005-0000-0000-0000A7090000}"/>
    <cellStyle name="Comma 4 3 4 4 3 2" xfId="14305" xr:uid="{A8F7F71C-2016-4B15-81BB-41EF3F8EC6B1}"/>
    <cellStyle name="Comma 4 3 4 4 4" xfId="10087" xr:uid="{4CBE7A86-4D24-4BCC-9EB2-93030CF90EBA}"/>
    <cellStyle name="Comma 4 3 4 5" xfId="1969" xr:uid="{00000000-0005-0000-0000-0000A8090000}"/>
    <cellStyle name="Comma 4 3 4 5 2" xfId="4198" xr:uid="{00000000-0005-0000-0000-0000A9090000}"/>
    <cellStyle name="Comma 4 3 4 5 2 2" xfId="8421" xr:uid="{00000000-0005-0000-0000-0000AA090000}"/>
    <cellStyle name="Comma 4 3 4 5 2 2 2" xfId="16863" xr:uid="{5FC63764-96B4-4B2C-B6E2-3319A437ECF6}"/>
    <cellStyle name="Comma 4 3 4 5 2 3" xfId="12645" xr:uid="{482EB67E-2D05-4777-A20E-CE7137A2161F}"/>
    <cellStyle name="Comma 4 3 4 5 3" xfId="6276" xr:uid="{00000000-0005-0000-0000-0000AB090000}"/>
    <cellStyle name="Comma 4 3 4 5 3 2" xfId="14718" xr:uid="{EED2166D-49A0-41C3-B09D-EE70C4EE8219}"/>
    <cellStyle name="Comma 4 3 4 5 4" xfId="10500" xr:uid="{94ED82F6-B520-449B-8DAD-0D5D8AE31F29}"/>
    <cellStyle name="Comma 4 3 4 6" xfId="2404" xr:uid="{00000000-0005-0000-0000-0000AC090000}"/>
    <cellStyle name="Comma 4 3 4 6 2" xfId="6689" xr:uid="{00000000-0005-0000-0000-0000AD090000}"/>
    <cellStyle name="Comma 4 3 4 6 2 2" xfId="15131" xr:uid="{DB7D7024-3DA4-4A8B-8C0A-AF02F838C482}"/>
    <cellStyle name="Comma 4 3 4 6 3" xfId="10913" xr:uid="{2030F8F4-EF37-4FAC-A90C-4F95516687EF}"/>
    <cellStyle name="Comma 4 3 4 7" xfId="2700" xr:uid="{00000000-0005-0000-0000-0000AE090000}"/>
    <cellStyle name="Comma 4 3 4 8" xfId="2782" xr:uid="{00000000-0005-0000-0000-0000AF090000}"/>
    <cellStyle name="Comma 4 3 4 8 2" xfId="7006" xr:uid="{00000000-0005-0000-0000-0000B0090000}"/>
    <cellStyle name="Comma 4 3 4 8 2 2" xfId="15448" xr:uid="{EACFBDAC-462C-4776-B307-EC5AAB8DA420}"/>
    <cellStyle name="Comma 4 3 4 8 3" xfId="11230" xr:uid="{AFA2CB06-069F-42F0-A57B-6250DB1CAD5A}"/>
    <cellStyle name="Comma 4 3 4 9" xfId="4623" xr:uid="{00000000-0005-0000-0000-0000B1090000}"/>
    <cellStyle name="Comma 4 3 4 9 2" xfId="13065" xr:uid="{2AAAAA55-0E1B-4485-905A-DEB48F2EC8AB}"/>
    <cellStyle name="Comma 4 3 5" xfId="152" xr:uid="{00000000-0005-0000-0000-0000B2090000}"/>
    <cellStyle name="Comma 4 3 5 10" xfId="8848" xr:uid="{3CD23F83-C665-41F4-8377-A789A2E35C41}"/>
    <cellStyle name="Comma 4 3 5 2" xfId="689" xr:uid="{00000000-0005-0000-0000-0000B3090000}"/>
    <cellStyle name="Comma 4 3 5 2 2" xfId="2960" xr:uid="{00000000-0005-0000-0000-0000B4090000}"/>
    <cellStyle name="Comma 4 3 5 2 2 2" xfId="7183" xr:uid="{00000000-0005-0000-0000-0000B5090000}"/>
    <cellStyle name="Comma 4 3 5 2 2 2 2" xfId="15625" xr:uid="{AFC8E8E1-449F-4874-9660-E397838FB2F6}"/>
    <cellStyle name="Comma 4 3 5 2 2 3" xfId="11407" xr:uid="{EF8850F2-734A-4437-BDD6-8DCDC3C7D118}"/>
    <cellStyle name="Comma 4 3 5 2 3" xfId="5038" xr:uid="{00000000-0005-0000-0000-0000B6090000}"/>
    <cellStyle name="Comma 4 3 5 2 3 2" xfId="13480" xr:uid="{844B6C8D-C168-4B0C-A79E-6E30A33A2A38}"/>
    <cellStyle name="Comma 4 3 5 2 4" xfId="9262" xr:uid="{06C7C39C-92AF-4873-BCB6-FA86069B5C5C}"/>
    <cellStyle name="Comma 4 3 5 3" xfId="1142" xr:uid="{00000000-0005-0000-0000-0000B7090000}"/>
    <cellStyle name="Comma 4 3 5 3 2" xfId="3373" xr:uid="{00000000-0005-0000-0000-0000B8090000}"/>
    <cellStyle name="Comma 4 3 5 3 2 2" xfId="7596" xr:uid="{00000000-0005-0000-0000-0000B9090000}"/>
    <cellStyle name="Comma 4 3 5 3 2 2 2" xfId="16038" xr:uid="{AAC7876F-E15A-46E9-A659-D75A116B0501}"/>
    <cellStyle name="Comma 4 3 5 3 2 3" xfId="11820" xr:uid="{099FF2D2-BE58-4FF3-8550-472C088F5B7A}"/>
    <cellStyle name="Comma 4 3 5 3 3" xfId="5451" xr:uid="{00000000-0005-0000-0000-0000BA090000}"/>
    <cellStyle name="Comma 4 3 5 3 3 2" xfId="13893" xr:uid="{21335C69-93A6-4BDC-8FC5-39B8BFD66C7B}"/>
    <cellStyle name="Comma 4 3 5 3 4" xfId="9675" xr:uid="{46A38284-C0EC-4E01-935E-D4D986CAEE54}"/>
    <cellStyle name="Comma 4 3 5 4" xfId="1556" xr:uid="{00000000-0005-0000-0000-0000BB090000}"/>
    <cellStyle name="Comma 4 3 5 4 2" xfId="3786" xr:uid="{00000000-0005-0000-0000-0000BC090000}"/>
    <cellStyle name="Comma 4 3 5 4 2 2" xfId="8009" xr:uid="{00000000-0005-0000-0000-0000BD090000}"/>
    <cellStyle name="Comma 4 3 5 4 2 2 2" xfId="16451" xr:uid="{528F0EE3-C3D7-43A3-AB91-9A9F14764844}"/>
    <cellStyle name="Comma 4 3 5 4 2 3" xfId="12233" xr:uid="{58AEF572-14E2-4C19-AEA3-EC4E7BF02B21}"/>
    <cellStyle name="Comma 4 3 5 4 3" xfId="5864" xr:uid="{00000000-0005-0000-0000-0000BE090000}"/>
    <cellStyle name="Comma 4 3 5 4 3 2" xfId="14306" xr:uid="{9481B83C-B6A5-462A-A8E8-00963B466168}"/>
    <cellStyle name="Comma 4 3 5 4 4" xfId="10088" xr:uid="{398A3590-B5D9-4D8C-B3BD-3FB54FCE016E}"/>
    <cellStyle name="Comma 4 3 5 5" xfId="1970" xr:uid="{00000000-0005-0000-0000-0000BF090000}"/>
    <cellStyle name="Comma 4 3 5 5 2" xfId="4199" xr:uid="{00000000-0005-0000-0000-0000C0090000}"/>
    <cellStyle name="Comma 4 3 5 5 2 2" xfId="8422" xr:uid="{00000000-0005-0000-0000-0000C1090000}"/>
    <cellStyle name="Comma 4 3 5 5 2 2 2" xfId="16864" xr:uid="{3004B0E5-11EC-4857-9133-ED766965531F}"/>
    <cellStyle name="Comma 4 3 5 5 2 3" xfId="12646" xr:uid="{F44DAEC6-4FF2-4C5C-86E4-C288B7890512}"/>
    <cellStyle name="Comma 4 3 5 5 3" xfId="6277" xr:uid="{00000000-0005-0000-0000-0000C2090000}"/>
    <cellStyle name="Comma 4 3 5 5 3 2" xfId="14719" xr:uid="{1E2DEEAB-DB88-4D94-BD23-A5BA36F042B0}"/>
    <cellStyle name="Comma 4 3 5 5 4" xfId="10501" xr:uid="{EE2DA469-2582-416C-BECF-BE608A835CA8}"/>
    <cellStyle name="Comma 4 3 5 6" xfId="2405" xr:uid="{00000000-0005-0000-0000-0000C3090000}"/>
    <cellStyle name="Comma 4 3 5 6 2" xfId="6690" xr:uid="{00000000-0005-0000-0000-0000C4090000}"/>
    <cellStyle name="Comma 4 3 5 6 2 2" xfId="15132" xr:uid="{F16D4AA6-99A8-4FAC-AC80-A03D0F26C19B}"/>
    <cellStyle name="Comma 4 3 5 6 3" xfId="10914" xr:uid="{98621C85-1181-4C15-A07F-6E937E94D662}"/>
    <cellStyle name="Comma 4 3 5 7" xfId="2701" xr:uid="{00000000-0005-0000-0000-0000C5090000}"/>
    <cellStyle name="Comma 4 3 5 8" xfId="2783" xr:uid="{00000000-0005-0000-0000-0000C6090000}"/>
    <cellStyle name="Comma 4 3 5 8 2" xfId="7007" xr:uid="{00000000-0005-0000-0000-0000C7090000}"/>
    <cellStyle name="Comma 4 3 5 8 2 2" xfId="15449" xr:uid="{79ED2BF8-0FA3-42D4-8F61-181EACCC6B09}"/>
    <cellStyle name="Comma 4 3 5 8 3" xfId="11231" xr:uid="{A9EB3184-6D37-44A9-9EB1-B45B9C0457D8}"/>
    <cellStyle name="Comma 4 3 5 9" xfId="4624" xr:uid="{00000000-0005-0000-0000-0000C8090000}"/>
    <cellStyle name="Comma 4 3 5 9 2" xfId="13066" xr:uid="{4B0AEBCA-3863-4839-B64D-9F356897C347}"/>
    <cellStyle name="Comma 4 4" xfId="153" xr:uid="{00000000-0005-0000-0000-0000C9090000}"/>
    <cellStyle name="Comma 4 4 10" xfId="2784" xr:uid="{00000000-0005-0000-0000-0000CA090000}"/>
    <cellStyle name="Comma 4 4 10 2" xfId="7008" xr:uid="{00000000-0005-0000-0000-0000CB090000}"/>
    <cellStyle name="Comma 4 4 10 2 2" xfId="15450" xr:uid="{153DD5BF-09E7-4F16-A2AD-DDCD5E3A84ED}"/>
    <cellStyle name="Comma 4 4 10 3" xfId="11232" xr:uid="{CD86E066-7B5D-4D4B-8F07-AE911F62150A}"/>
    <cellStyle name="Comma 4 4 11" xfId="4625" xr:uid="{00000000-0005-0000-0000-0000CC090000}"/>
    <cellStyle name="Comma 4 4 11 2" xfId="13067" xr:uid="{A363CC33-4601-46EF-871F-1D550058A676}"/>
    <cellStyle name="Comma 4 4 12" xfId="8849" xr:uid="{9442FE8E-E14B-45D6-8C15-9344C09B1199}"/>
    <cellStyle name="Comma 4 4 2" xfId="154" xr:uid="{00000000-0005-0000-0000-0000CD090000}"/>
    <cellStyle name="Comma 4 4 2 10" xfId="4626" xr:uid="{00000000-0005-0000-0000-0000CE090000}"/>
    <cellStyle name="Comma 4 4 2 10 2" xfId="13068" xr:uid="{4DF88DFB-5B1B-41BC-8DEA-40971BDD444C}"/>
    <cellStyle name="Comma 4 4 2 11" xfId="8850" xr:uid="{C2287205-B6EE-4D3A-9ED5-A6125B89BC2C}"/>
    <cellStyle name="Comma 4 4 2 2" xfId="155" xr:uid="{00000000-0005-0000-0000-0000CF090000}"/>
    <cellStyle name="Comma 4 4 2 2 10" xfId="8851" xr:uid="{EC7FA4DF-3E63-43FD-9D7D-94998FCD0E72}"/>
    <cellStyle name="Comma 4 4 2 2 2" xfId="692" xr:uid="{00000000-0005-0000-0000-0000D0090000}"/>
    <cellStyle name="Comma 4 4 2 2 2 2" xfId="2963" xr:uid="{00000000-0005-0000-0000-0000D1090000}"/>
    <cellStyle name="Comma 4 4 2 2 2 2 2" xfId="7186" xr:uid="{00000000-0005-0000-0000-0000D2090000}"/>
    <cellStyle name="Comma 4 4 2 2 2 2 2 2" xfId="15628" xr:uid="{8CF60DAF-1CEE-4501-B305-69879DEB6203}"/>
    <cellStyle name="Comma 4 4 2 2 2 2 3" xfId="11410" xr:uid="{9CDA2DAA-7774-4EE9-88A9-42F573043951}"/>
    <cellStyle name="Comma 4 4 2 2 2 3" xfId="5041" xr:uid="{00000000-0005-0000-0000-0000D3090000}"/>
    <cellStyle name="Comma 4 4 2 2 2 3 2" xfId="13483" xr:uid="{A0498F91-B82B-4144-A59D-B17D09F42CB7}"/>
    <cellStyle name="Comma 4 4 2 2 2 4" xfId="9265" xr:uid="{3C8F7878-F92B-48DA-9148-0E15D777E782}"/>
    <cellStyle name="Comma 4 4 2 2 3" xfId="1145" xr:uid="{00000000-0005-0000-0000-0000D4090000}"/>
    <cellStyle name="Comma 4 4 2 2 3 2" xfId="3376" xr:uid="{00000000-0005-0000-0000-0000D5090000}"/>
    <cellStyle name="Comma 4 4 2 2 3 2 2" xfId="7599" xr:uid="{00000000-0005-0000-0000-0000D6090000}"/>
    <cellStyle name="Comma 4 4 2 2 3 2 2 2" xfId="16041" xr:uid="{4DB098F0-EDE9-4D0C-8A59-EEA4CAD4FC01}"/>
    <cellStyle name="Comma 4 4 2 2 3 2 3" xfId="11823" xr:uid="{3CF50D7D-1DAB-4F70-A410-3BC218FFC3AF}"/>
    <cellStyle name="Comma 4 4 2 2 3 3" xfId="5454" xr:uid="{00000000-0005-0000-0000-0000D7090000}"/>
    <cellStyle name="Comma 4 4 2 2 3 3 2" xfId="13896" xr:uid="{272D2C08-AFE1-43FE-98D3-E78754A39E50}"/>
    <cellStyle name="Comma 4 4 2 2 3 4" xfId="9678" xr:uid="{DA00DDF3-F899-4DEC-A16F-E16EB589B170}"/>
    <cellStyle name="Comma 4 4 2 2 4" xfId="1559" xr:uid="{00000000-0005-0000-0000-0000D8090000}"/>
    <cellStyle name="Comma 4 4 2 2 4 2" xfId="3789" xr:uid="{00000000-0005-0000-0000-0000D9090000}"/>
    <cellStyle name="Comma 4 4 2 2 4 2 2" xfId="8012" xr:uid="{00000000-0005-0000-0000-0000DA090000}"/>
    <cellStyle name="Comma 4 4 2 2 4 2 2 2" xfId="16454" xr:uid="{9E189310-3080-4D27-9AB0-5A6E8220563A}"/>
    <cellStyle name="Comma 4 4 2 2 4 2 3" xfId="12236" xr:uid="{3E801B08-830F-4F90-AEA3-F6E25970F3AD}"/>
    <cellStyle name="Comma 4 4 2 2 4 3" xfId="5867" xr:uid="{00000000-0005-0000-0000-0000DB090000}"/>
    <cellStyle name="Comma 4 4 2 2 4 3 2" xfId="14309" xr:uid="{EFE17D7F-FC7E-45CB-A608-5B52B804BEB5}"/>
    <cellStyle name="Comma 4 4 2 2 4 4" xfId="10091" xr:uid="{3FCF75DC-FD51-41E4-81DF-7D789B8B0281}"/>
    <cellStyle name="Comma 4 4 2 2 5" xfId="1973" xr:uid="{00000000-0005-0000-0000-0000DC090000}"/>
    <cellStyle name="Comma 4 4 2 2 5 2" xfId="4202" xr:uid="{00000000-0005-0000-0000-0000DD090000}"/>
    <cellStyle name="Comma 4 4 2 2 5 2 2" xfId="8425" xr:uid="{00000000-0005-0000-0000-0000DE090000}"/>
    <cellStyle name="Comma 4 4 2 2 5 2 2 2" xfId="16867" xr:uid="{70BD1B73-20B5-4796-8628-7081B7D0C273}"/>
    <cellStyle name="Comma 4 4 2 2 5 2 3" xfId="12649" xr:uid="{EA11DF44-2C8C-4216-B4A0-FCCA0983DED0}"/>
    <cellStyle name="Comma 4 4 2 2 5 3" xfId="6280" xr:uid="{00000000-0005-0000-0000-0000DF090000}"/>
    <cellStyle name="Comma 4 4 2 2 5 3 2" xfId="14722" xr:uid="{A442E8B1-D0F9-43A2-9904-5DCF886C33F1}"/>
    <cellStyle name="Comma 4 4 2 2 5 4" xfId="10504" xr:uid="{B405133C-2879-4E7F-867F-033F0818893D}"/>
    <cellStyle name="Comma 4 4 2 2 6" xfId="2408" xr:uid="{00000000-0005-0000-0000-0000E0090000}"/>
    <cellStyle name="Comma 4 4 2 2 6 2" xfId="6693" xr:uid="{00000000-0005-0000-0000-0000E1090000}"/>
    <cellStyle name="Comma 4 4 2 2 6 2 2" xfId="15135" xr:uid="{870C8F33-A497-4E32-B98A-C8FF437496AB}"/>
    <cellStyle name="Comma 4 4 2 2 6 3" xfId="10917" xr:uid="{6B44D4BE-3E72-4F2D-AA8F-F678E8ABCFB1}"/>
    <cellStyle name="Comma 4 4 2 2 7" xfId="2704" xr:uid="{00000000-0005-0000-0000-0000E2090000}"/>
    <cellStyle name="Comma 4 4 2 2 8" xfId="2786" xr:uid="{00000000-0005-0000-0000-0000E3090000}"/>
    <cellStyle name="Comma 4 4 2 2 8 2" xfId="7010" xr:uid="{00000000-0005-0000-0000-0000E4090000}"/>
    <cellStyle name="Comma 4 4 2 2 8 2 2" xfId="15452" xr:uid="{2D96F13B-35FE-4A0A-92ED-4295FEF3FA32}"/>
    <cellStyle name="Comma 4 4 2 2 8 3" xfId="11234" xr:uid="{3BD8FE36-ABC4-4C7A-B7A2-CBA027A1F46F}"/>
    <cellStyle name="Comma 4 4 2 2 9" xfId="4627" xr:uid="{00000000-0005-0000-0000-0000E5090000}"/>
    <cellStyle name="Comma 4 4 2 2 9 2" xfId="13069" xr:uid="{7EF56CA4-47B2-4089-B609-06F417451AF8}"/>
    <cellStyle name="Comma 4 4 2 3" xfId="691" xr:uid="{00000000-0005-0000-0000-0000E6090000}"/>
    <cellStyle name="Comma 4 4 2 3 2" xfId="2962" xr:uid="{00000000-0005-0000-0000-0000E7090000}"/>
    <cellStyle name="Comma 4 4 2 3 2 2" xfId="7185" xr:uid="{00000000-0005-0000-0000-0000E8090000}"/>
    <cellStyle name="Comma 4 4 2 3 2 2 2" xfId="15627" xr:uid="{3C224682-F811-4AAA-A506-C1FB86FA9E36}"/>
    <cellStyle name="Comma 4 4 2 3 2 3" xfId="11409" xr:uid="{FE0FF613-FD5F-41D9-BD69-25D1AE767422}"/>
    <cellStyle name="Comma 4 4 2 3 3" xfId="5040" xr:uid="{00000000-0005-0000-0000-0000E9090000}"/>
    <cellStyle name="Comma 4 4 2 3 3 2" xfId="13482" xr:uid="{4202CC0E-15E2-4AFD-BA0A-DCC5BED47192}"/>
    <cellStyle name="Comma 4 4 2 3 4" xfId="9264" xr:uid="{94F80158-4669-4E0A-A709-7A04D3A3D5BA}"/>
    <cellStyle name="Comma 4 4 2 4" xfId="1144" xr:uid="{00000000-0005-0000-0000-0000EA090000}"/>
    <cellStyle name="Comma 4 4 2 4 2" xfId="3375" xr:uid="{00000000-0005-0000-0000-0000EB090000}"/>
    <cellStyle name="Comma 4 4 2 4 2 2" xfId="7598" xr:uid="{00000000-0005-0000-0000-0000EC090000}"/>
    <cellStyle name="Comma 4 4 2 4 2 2 2" xfId="16040" xr:uid="{117F1CC1-B308-4DD9-8CAF-7F5B7584EEE0}"/>
    <cellStyle name="Comma 4 4 2 4 2 3" xfId="11822" xr:uid="{02AE24E2-4F8E-4C60-87F7-CDB680236476}"/>
    <cellStyle name="Comma 4 4 2 4 3" xfId="5453" xr:uid="{00000000-0005-0000-0000-0000ED090000}"/>
    <cellStyle name="Comma 4 4 2 4 3 2" xfId="13895" xr:uid="{F7048D21-0764-478B-9428-B60B69880A97}"/>
    <cellStyle name="Comma 4 4 2 4 4" xfId="9677" xr:uid="{70601062-C18B-45D8-8BF6-29FD26926134}"/>
    <cellStyle name="Comma 4 4 2 5" xfId="1558" xr:uid="{00000000-0005-0000-0000-0000EE090000}"/>
    <cellStyle name="Comma 4 4 2 5 2" xfId="3788" xr:uid="{00000000-0005-0000-0000-0000EF090000}"/>
    <cellStyle name="Comma 4 4 2 5 2 2" xfId="8011" xr:uid="{00000000-0005-0000-0000-0000F0090000}"/>
    <cellStyle name="Comma 4 4 2 5 2 2 2" xfId="16453" xr:uid="{E0F56739-D389-4873-B93C-D9CD04D98047}"/>
    <cellStyle name="Comma 4 4 2 5 2 3" xfId="12235" xr:uid="{40FB14EF-80C1-48EE-AE3D-08913AC3A07B}"/>
    <cellStyle name="Comma 4 4 2 5 3" xfId="5866" xr:uid="{00000000-0005-0000-0000-0000F1090000}"/>
    <cellStyle name="Comma 4 4 2 5 3 2" xfId="14308" xr:uid="{95E6662A-5468-47C5-94B2-C8AD74A0A0BC}"/>
    <cellStyle name="Comma 4 4 2 5 4" xfId="10090" xr:uid="{196A362C-1C8F-4C28-96D0-52809AB921E5}"/>
    <cellStyle name="Comma 4 4 2 6" xfId="1972" xr:uid="{00000000-0005-0000-0000-0000F2090000}"/>
    <cellStyle name="Comma 4 4 2 6 2" xfId="4201" xr:uid="{00000000-0005-0000-0000-0000F3090000}"/>
    <cellStyle name="Comma 4 4 2 6 2 2" xfId="8424" xr:uid="{00000000-0005-0000-0000-0000F4090000}"/>
    <cellStyle name="Comma 4 4 2 6 2 2 2" xfId="16866" xr:uid="{7325FAA7-A592-4EF6-B73A-52C008EBD65F}"/>
    <cellStyle name="Comma 4 4 2 6 2 3" xfId="12648" xr:uid="{00842DE0-4465-4D8F-BB65-EAD3667B4FAC}"/>
    <cellStyle name="Comma 4 4 2 6 3" xfId="6279" xr:uid="{00000000-0005-0000-0000-0000F5090000}"/>
    <cellStyle name="Comma 4 4 2 6 3 2" xfId="14721" xr:uid="{E7B80364-BAB4-431B-831B-CEB243A77556}"/>
    <cellStyle name="Comma 4 4 2 6 4" xfId="10503" xr:uid="{E97CFDD8-E625-47DE-B3C8-CC18C649B858}"/>
    <cellStyle name="Comma 4 4 2 7" xfId="2407" xr:uid="{00000000-0005-0000-0000-0000F6090000}"/>
    <cellStyle name="Comma 4 4 2 7 2" xfId="6692" xr:uid="{00000000-0005-0000-0000-0000F7090000}"/>
    <cellStyle name="Comma 4 4 2 7 2 2" xfId="15134" xr:uid="{8B2EA60B-E55C-4087-A0BB-96A26F82A6B1}"/>
    <cellStyle name="Comma 4 4 2 7 3" xfId="10916" xr:uid="{A407F331-6640-446F-94FF-212112BACCF3}"/>
    <cellStyle name="Comma 4 4 2 8" xfId="2703" xr:uid="{00000000-0005-0000-0000-0000F8090000}"/>
    <cellStyle name="Comma 4 4 2 9" xfId="2785" xr:uid="{00000000-0005-0000-0000-0000F9090000}"/>
    <cellStyle name="Comma 4 4 2 9 2" xfId="7009" xr:uid="{00000000-0005-0000-0000-0000FA090000}"/>
    <cellStyle name="Comma 4 4 2 9 2 2" xfId="15451" xr:uid="{B4363BCE-B6F8-47CD-95B2-B4EE86E1EF7E}"/>
    <cellStyle name="Comma 4 4 2 9 3" xfId="11233" xr:uid="{7CF2B937-E88C-4111-9316-B9D5FA5204BC}"/>
    <cellStyle name="Comma 4 4 3" xfId="156" xr:uid="{00000000-0005-0000-0000-0000FB090000}"/>
    <cellStyle name="Comma 4 4 3 10" xfId="8852" xr:uid="{A5CB935A-ED15-4FF2-BBC3-C57BA7E98052}"/>
    <cellStyle name="Comma 4 4 3 2" xfId="693" xr:uid="{00000000-0005-0000-0000-0000FC090000}"/>
    <cellStyle name="Comma 4 4 3 2 2" xfId="2964" xr:uid="{00000000-0005-0000-0000-0000FD090000}"/>
    <cellStyle name="Comma 4 4 3 2 2 2" xfId="7187" xr:uid="{00000000-0005-0000-0000-0000FE090000}"/>
    <cellStyle name="Comma 4 4 3 2 2 2 2" xfId="15629" xr:uid="{2960BE00-294B-4305-AFA4-DDD0E2DE3437}"/>
    <cellStyle name="Comma 4 4 3 2 2 3" xfId="11411" xr:uid="{032BDFF6-C30A-4874-BC8E-253BADD61EB0}"/>
    <cellStyle name="Comma 4 4 3 2 3" xfId="5042" xr:uid="{00000000-0005-0000-0000-0000FF090000}"/>
    <cellStyle name="Comma 4 4 3 2 3 2" xfId="13484" xr:uid="{1EAFA5BE-3DA8-4C6E-892D-08481EE6E1E9}"/>
    <cellStyle name="Comma 4 4 3 2 4" xfId="9266" xr:uid="{38EAF1B1-9CF5-42E0-9D4D-555059DDDEE9}"/>
    <cellStyle name="Comma 4 4 3 3" xfId="1146" xr:uid="{00000000-0005-0000-0000-0000000A0000}"/>
    <cellStyle name="Comma 4 4 3 3 2" xfId="3377" xr:uid="{00000000-0005-0000-0000-0000010A0000}"/>
    <cellStyle name="Comma 4 4 3 3 2 2" xfId="7600" xr:uid="{00000000-0005-0000-0000-0000020A0000}"/>
    <cellStyle name="Comma 4 4 3 3 2 2 2" xfId="16042" xr:uid="{CE75E547-E73D-4F55-916E-1319849EA09E}"/>
    <cellStyle name="Comma 4 4 3 3 2 3" xfId="11824" xr:uid="{B9909998-31ED-4B28-AE32-C6D0FA94EC27}"/>
    <cellStyle name="Comma 4 4 3 3 3" xfId="5455" xr:uid="{00000000-0005-0000-0000-0000030A0000}"/>
    <cellStyle name="Comma 4 4 3 3 3 2" xfId="13897" xr:uid="{68430DA2-E6AC-474E-A2DD-15998D4AB235}"/>
    <cellStyle name="Comma 4 4 3 3 4" xfId="9679" xr:uid="{90F6D3F6-5A36-4FA1-8F0B-58D6BE52DE27}"/>
    <cellStyle name="Comma 4 4 3 4" xfId="1560" xr:uid="{00000000-0005-0000-0000-0000040A0000}"/>
    <cellStyle name="Comma 4 4 3 4 2" xfId="3790" xr:uid="{00000000-0005-0000-0000-0000050A0000}"/>
    <cellStyle name="Comma 4 4 3 4 2 2" xfId="8013" xr:uid="{00000000-0005-0000-0000-0000060A0000}"/>
    <cellStyle name="Comma 4 4 3 4 2 2 2" xfId="16455" xr:uid="{22B6F7BD-191C-418F-9081-6B30B232471E}"/>
    <cellStyle name="Comma 4 4 3 4 2 3" xfId="12237" xr:uid="{5BE31068-A9FC-499B-B109-0400B167C48F}"/>
    <cellStyle name="Comma 4 4 3 4 3" xfId="5868" xr:uid="{00000000-0005-0000-0000-0000070A0000}"/>
    <cellStyle name="Comma 4 4 3 4 3 2" xfId="14310" xr:uid="{488E7877-1ACC-49FA-A145-93E36F5BAB88}"/>
    <cellStyle name="Comma 4 4 3 4 4" xfId="10092" xr:uid="{F681623D-89EF-4E16-8411-4D91D72A3A7B}"/>
    <cellStyle name="Comma 4 4 3 5" xfId="1974" xr:uid="{00000000-0005-0000-0000-0000080A0000}"/>
    <cellStyle name="Comma 4 4 3 5 2" xfId="4203" xr:uid="{00000000-0005-0000-0000-0000090A0000}"/>
    <cellStyle name="Comma 4 4 3 5 2 2" xfId="8426" xr:uid="{00000000-0005-0000-0000-00000A0A0000}"/>
    <cellStyle name="Comma 4 4 3 5 2 2 2" xfId="16868" xr:uid="{926C0FBE-12C8-47FC-B559-FB0BBDD5BFC4}"/>
    <cellStyle name="Comma 4 4 3 5 2 3" xfId="12650" xr:uid="{5EF66B3A-8169-4AD1-8DFE-4ADE4F7827A1}"/>
    <cellStyle name="Comma 4 4 3 5 3" xfId="6281" xr:uid="{00000000-0005-0000-0000-00000B0A0000}"/>
    <cellStyle name="Comma 4 4 3 5 3 2" xfId="14723" xr:uid="{71B46130-1B8F-475D-9E1F-277672719B45}"/>
    <cellStyle name="Comma 4 4 3 5 4" xfId="10505" xr:uid="{9B3D8814-DC89-4E60-AE8D-66B4E86844B5}"/>
    <cellStyle name="Comma 4 4 3 6" xfId="2409" xr:uid="{00000000-0005-0000-0000-00000C0A0000}"/>
    <cellStyle name="Comma 4 4 3 6 2" xfId="6694" xr:uid="{00000000-0005-0000-0000-00000D0A0000}"/>
    <cellStyle name="Comma 4 4 3 6 2 2" xfId="15136" xr:uid="{99ED608E-5B9D-47E4-8E92-20C715BBDE73}"/>
    <cellStyle name="Comma 4 4 3 6 3" xfId="10918" xr:uid="{FBFC5307-36DB-4AB7-AE32-22EA812BFD26}"/>
    <cellStyle name="Comma 4 4 3 7" xfId="2705" xr:uid="{00000000-0005-0000-0000-00000E0A0000}"/>
    <cellStyle name="Comma 4 4 3 8" xfId="2787" xr:uid="{00000000-0005-0000-0000-00000F0A0000}"/>
    <cellStyle name="Comma 4 4 3 8 2" xfId="7011" xr:uid="{00000000-0005-0000-0000-0000100A0000}"/>
    <cellStyle name="Comma 4 4 3 8 2 2" xfId="15453" xr:uid="{FC088865-D902-4DFF-AB24-1EFAC81A983B}"/>
    <cellStyle name="Comma 4 4 3 8 3" xfId="11235" xr:uid="{1E1E1E79-2F27-43AE-B85A-94949881584C}"/>
    <cellStyle name="Comma 4 4 3 9" xfId="4628" xr:uid="{00000000-0005-0000-0000-0000110A0000}"/>
    <cellStyle name="Comma 4 4 3 9 2" xfId="13070" xr:uid="{55EEB4BC-B9ED-4C8F-84D6-2D5E222DC876}"/>
    <cellStyle name="Comma 4 4 4" xfId="690" xr:uid="{00000000-0005-0000-0000-0000120A0000}"/>
    <cellStyle name="Comma 4 4 4 2" xfId="2961" xr:uid="{00000000-0005-0000-0000-0000130A0000}"/>
    <cellStyle name="Comma 4 4 4 2 2" xfId="7184" xr:uid="{00000000-0005-0000-0000-0000140A0000}"/>
    <cellStyle name="Comma 4 4 4 2 2 2" xfId="15626" xr:uid="{7FD505D0-929C-457D-8285-44A5F628C342}"/>
    <cellStyle name="Comma 4 4 4 2 3" xfId="11408" xr:uid="{4CB9C2F5-6226-4021-845C-70F981827598}"/>
    <cellStyle name="Comma 4 4 4 3" xfId="5039" xr:uid="{00000000-0005-0000-0000-0000150A0000}"/>
    <cellStyle name="Comma 4 4 4 3 2" xfId="13481" xr:uid="{7E0F5CC4-82C1-4C27-A4C0-12210F23A276}"/>
    <cellStyle name="Comma 4 4 4 4" xfId="9263" xr:uid="{C6E359E4-9BD5-42C3-9D35-AB4FECDB03F4}"/>
    <cellStyle name="Comma 4 4 5" xfId="1143" xr:uid="{00000000-0005-0000-0000-0000160A0000}"/>
    <cellStyle name="Comma 4 4 5 2" xfId="3374" xr:uid="{00000000-0005-0000-0000-0000170A0000}"/>
    <cellStyle name="Comma 4 4 5 2 2" xfId="7597" xr:uid="{00000000-0005-0000-0000-0000180A0000}"/>
    <cellStyle name="Comma 4 4 5 2 2 2" xfId="16039" xr:uid="{9DCFA2EA-BA29-4A39-8E6B-6E75D545EBAA}"/>
    <cellStyle name="Comma 4 4 5 2 3" xfId="11821" xr:uid="{945EA7E2-CFD7-4988-B0E5-858E97E365C3}"/>
    <cellStyle name="Comma 4 4 5 3" xfId="5452" xr:uid="{00000000-0005-0000-0000-0000190A0000}"/>
    <cellStyle name="Comma 4 4 5 3 2" xfId="13894" xr:uid="{655D6C70-C48A-46DE-890F-84137EC60242}"/>
    <cellStyle name="Comma 4 4 5 4" xfId="9676" xr:uid="{885A6440-FF90-4010-86F6-610BABFF701D}"/>
    <cellStyle name="Comma 4 4 6" xfId="1557" xr:uid="{00000000-0005-0000-0000-00001A0A0000}"/>
    <cellStyle name="Comma 4 4 6 2" xfId="3787" xr:uid="{00000000-0005-0000-0000-00001B0A0000}"/>
    <cellStyle name="Comma 4 4 6 2 2" xfId="8010" xr:uid="{00000000-0005-0000-0000-00001C0A0000}"/>
    <cellStyle name="Comma 4 4 6 2 2 2" xfId="16452" xr:uid="{95183263-640C-4847-B136-0A29774A3378}"/>
    <cellStyle name="Comma 4 4 6 2 3" xfId="12234" xr:uid="{40E0CA02-95E5-4BA3-BAF4-BFB72E7B8AA3}"/>
    <cellStyle name="Comma 4 4 6 3" xfId="5865" xr:uid="{00000000-0005-0000-0000-00001D0A0000}"/>
    <cellStyle name="Comma 4 4 6 3 2" xfId="14307" xr:uid="{29A9B8F4-8DD6-4E37-9D89-B877661ED9D9}"/>
    <cellStyle name="Comma 4 4 6 4" xfId="10089" xr:uid="{19495692-6F9F-41B3-83E9-17569909199F}"/>
    <cellStyle name="Comma 4 4 7" xfId="1971" xr:uid="{00000000-0005-0000-0000-00001E0A0000}"/>
    <cellStyle name="Comma 4 4 7 2" xfId="4200" xr:uid="{00000000-0005-0000-0000-00001F0A0000}"/>
    <cellStyle name="Comma 4 4 7 2 2" xfId="8423" xr:uid="{00000000-0005-0000-0000-0000200A0000}"/>
    <cellStyle name="Comma 4 4 7 2 2 2" xfId="16865" xr:uid="{F0805D4B-31EA-45E8-8ED7-63D5949DC7E2}"/>
    <cellStyle name="Comma 4 4 7 2 3" xfId="12647" xr:uid="{6BB3AAB6-64E2-4202-BCF9-9B84963FCF01}"/>
    <cellStyle name="Comma 4 4 7 3" xfId="6278" xr:uid="{00000000-0005-0000-0000-0000210A0000}"/>
    <cellStyle name="Comma 4 4 7 3 2" xfId="14720" xr:uid="{5E262A6B-A74B-485B-B2D1-F29664DF76B2}"/>
    <cellStyle name="Comma 4 4 7 4" xfId="10502" xr:uid="{A5729D92-59B6-4691-BC2A-5C07D60FE2E5}"/>
    <cellStyle name="Comma 4 4 8" xfId="2406" xr:uid="{00000000-0005-0000-0000-0000220A0000}"/>
    <cellStyle name="Comma 4 4 8 2" xfId="6691" xr:uid="{00000000-0005-0000-0000-0000230A0000}"/>
    <cellStyle name="Comma 4 4 8 2 2" xfId="15133" xr:uid="{8D2E84FA-CEBC-4E6E-A525-47CE62A2B57B}"/>
    <cellStyle name="Comma 4 4 8 3" xfId="10915" xr:uid="{E7AEB4BD-EB38-4490-8776-8FD0341F6EF0}"/>
    <cellStyle name="Comma 4 4 9" xfId="2702" xr:uid="{00000000-0005-0000-0000-0000240A0000}"/>
    <cellStyle name="Comma 4 5" xfId="157" xr:uid="{00000000-0005-0000-0000-0000250A0000}"/>
    <cellStyle name="Comma 4 5 10" xfId="4629" xr:uid="{00000000-0005-0000-0000-0000260A0000}"/>
    <cellStyle name="Comma 4 5 10 2" xfId="13071" xr:uid="{19883997-A6FE-4468-BF68-1309AA001E0A}"/>
    <cellStyle name="Comma 4 5 11" xfId="8853" xr:uid="{FBA7F405-8799-4B6B-967D-F7B34C1AF103}"/>
    <cellStyle name="Comma 4 5 2" xfId="158" xr:uid="{00000000-0005-0000-0000-0000270A0000}"/>
    <cellStyle name="Comma 4 5 2 10" xfId="8854" xr:uid="{8FC6A183-49A7-48FF-8778-2BC4FBC81942}"/>
    <cellStyle name="Comma 4 5 2 2" xfId="695" xr:uid="{00000000-0005-0000-0000-0000280A0000}"/>
    <cellStyle name="Comma 4 5 2 2 2" xfId="2966" xr:uid="{00000000-0005-0000-0000-0000290A0000}"/>
    <cellStyle name="Comma 4 5 2 2 2 2" xfId="7189" xr:uid="{00000000-0005-0000-0000-00002A0A0000}"/>
    <cellStyle name="Comma 4 5 2 2 2 2 2" xfId="15631" xr:uid="{EFAE4EE8-CD1B-4CF8-B759-AE5EC81761DA}"/>
    <cellStyle name="Comma 4 5 2 2 2 3" xfId="11413" xr:uid="{218BD8E4-13B6-49AF-8162-511AC8BF5B25}"/>
    <cellStyle name="Comma 4 5 2 2 3" xfId="5044" xr:uid="{00000000-0005-0000-0000-00002B0A0000}"/>
    <cellStyle name="Comma 4 5 2 2 3 2" xfId="13486" xr:uid="{0639C21D-0B86-4E24-A50E-6FB28690F9FA}"/>
    <cellStyle name="Comma 4 5 2 2 4" xfId="9268" xr:uid="{AAC6A420-BB23-4792-BAD3-3CFE47A6D322}"/>
    <cellStyle name="Comma 4 5 2 3" xfId="1148" xr:uid="{00000000-0005-0000-0000-00002C0A0000}"/>
    <cellStyle name="Comma 4 5 2 3 2" xfId="3379" xr:uid="{00000000-0005-0000-0000-00002D0A0000}"/>
    <cellStyle name="Comma 4 5 2 3 2 2" xfId="7602" xr:uid="{00000000-0005-0000-0000-00002E0A0000}"/>
    <cellStyle name="Comma 4 5 2 3 2 2 2" xfId="16044" xr:uid="{FAB0E988-C231-4FB0-8422-1FC0ED4A836F}"/>
    <cellStyle name="Comma 4 5 2 3 2 3" xfId="11826" xr:uid="{B9A071F8-9200-43E5-93DF-D4C8B2CC79AE}"/>
    <cellStyle name="Comma 4 5 2 3 3" xfId="5457" xr:uid="{00000000-0005-0000-0000-00002F0A0000}"/>
    <cellStyle name="Comma 4 5 2 3 3 2" xfId="13899" xr:uid="{44D161ED-4A97-4314-A8B8-C716233EFA4A}"/>
    <cellStyle name="Comma 4 5 2 3 4" xfId="9681" xr:uid="{41466A91-415D-4806-84C5-4AC820C0A504}"/>
    <cellStyle name="Comma 4 5 2 4" xfId="1562" xr:uid="{00000000-0005-0000-0000-0000300A0000}"/>
    <cellStyle name="Comma 4 5 2 4 2" xfId="3792" xr:uid="{00000000-0005-0000-0000-0000310A0000}"/>
    <cellStyle name="Comma 4 5 2 4 2 2" xfId="8015" xr:uid="{00000000-0005-0000-0000-0000320A0000}"/>
    <cellStyle name="Comma 4 5 2 4 2 2 2" xfId="16457" xr:uid="{CEB27CEF-4851-479D-8FD0-59283D5F2B85}"/>
    <cellStyle name="Comma 4 5 2 4 2 3" xfId="12239" xr:uid="{4841943B-CF93-4C9E-886C-384ED7FE8F62}"/>
    <cellStyle name="Comma 4 5 2 4 3" xfId="5870" xr:uid="{00000000-0005-0000-0000-0000330A0000}"/>
    <cellStyle name="Comma 4 5 2 4 3 2" xfId="14312" xr:uid="{AD65C491-9F7C-4B01-BD3D-7D14AE02D771}"/>
    <cellStyle name="Comma 4 5 2 4 4" xfId="10094" xr:uid="{2CE2EAF1-DA96-4C51-8167-666F6B50A8D6}"/>
    <cellStyle name="Comma 4 5 2 5" xfId="1976" xr:uid="{00000000-0005-0000-0000-0000340A0000}"/>
    <cellStyle name="Comma 4 5 2 5 2" xfId="4205" xr:uid="{00000000-0005-0000-0000-0000350A0000}"/>
    <cellStyle name="Comma 4 5 2 5 2 2" xfId="8428" xr:uid="{00000000-0005-0000-0000-0000360A0000}"/>
    <cellStyle name="Comma 4 5 2 5 2 2 2" xfId="16870" xr:uid="{1ABE954C-EF9D-48A1-A818-6B711117EDE0}"/>
    <cellStyle name="Comma 4 5 2 5 2 3" xfId="12652" xr:uid="{91D6CC69-782D-44A9-AF9B-61B55BD7FA74}"/>
    <cellStyle name="Comma 4 5 2 5 3" xfId="6283" xr:uid="{00000000-0005-0000-0000-0000370A0000}"/>
    <cellStyle name="Comma 4 5 2 5 3 2" xfId="14725" xr:uid="{4E264081-A821-487E-A968-589DF551FDC5}"/>
    <cellStyle name="Comma 4 5 2 5 4" xfId="10507" xr:uid="{3C423D48-31EB-4AC4-A25B-15B933B2EADF}"/>
    <cellStyle name="Comma 4 5 2 6" xfId="2411" xr:uid="{00000000-0005-0000-0000-0000380A0000}"/>
    <cellStyle name="Comma 4 5 2 6 2" xfId="6696" xr:uid="{00000000-0005-0000-0000-0000390A0000}"/>
    <cellStyle name="Comma 4 5 2 6 2 2" xfId="15138" xr:uid="{F3696042-79B7-4AC5-A721-1671B415585A}"/>
    <cellStyle name="Comma 4 5 2 6 3" xfId="10920" xr:uid="{7FD21841-53D8-4251-B701-AAB756F2569C}"/>
    <cellStyle name="Comma 4 5 2 7" xfId="2707" xr:uid="{00000000-0005-0000-0000-00003A0A0000}"/>
    <cellStyle name="Comma 4 5 2 8" xfId="2789" xr:uid="{00000000-0005-0000-0000-00003B0A0000}"/>
    <cellStyle name="Comma 4 5 2 8 2" xfId="7013" xr:uid="{00000000-0005-0000-0000-00003C0A0000}"/>
    <cellStyle name="Comma 4 5 2 8 2 2" xfId="15455" xr:uid="{140EC774-367C-4C1D-9194-14CF809F0295}"/>
    <cellStyle name="Comma 4 5 2 8 3" xfId="11237" xr:uid="{22C7C643-780F-4F4C-BD86-458A20F8F80F}"/>
    <cellStyle name="Comma 4 5 2 9" xfId="4630" xr:uid="{00000000-0005-0000-0000-00003D0A0000}"/>
    <cellStyle name="Comma 4 5 2 9 2" xfId="13072" xr:uid="{70A4FC16-9445-46B5-9201-AAEEE3FA5F97}"/>
    <cellStyle name="Comma 4 5 3" xfId="694" xr:uid="{00000000-0005-0000-0000-00003E0A0000}"/>
    <cellStyle name="Comma 4 5 3 2" xfId="2965" xr:uid="{00000000-0005-0000-0000-00003F0A0000}"/>
    <cellStyle name="Comma 4 5 3 2 2" xfId="7188" xr:uid="{00000000-0005-0000-0000-0000400A0000}"/>
    <cellStyle name="Comma 4 5 3 2 2 2" xfId="15630" xr:uid="{09D02D6D-38CE-4C7B-8283-831B71BC22DA}"/>
    <cellStyle name="Comma 4 5 3 2 3" xfId="11412" xr:uid="{98DC8B48-4673-46EE-906F-8D3BFD769225}"/>
    <cellStyle name="Comma 4 5 3 3" xfId="5043" xr:uid="{00000000-0005-0000-0000-0000410A0000}"/>
    <cellStyle name="Comma 4 5 3 3 2" xfId="13485" xr:uid="{6C6D2BAF-C951-470B-8149-E99AFDBCA9E2}"/>
    <cellStyle name="Comma 4 5 3 4" xfId="9267" xr:uid="{CC9EF871-0DE7-48A8-BABE-E0E02D264F5B}"/>
    <cellStyle name="Comma 4 5 4" xfId="1147" xr:uid="{00000000-0005-0000-0000-0000420A0000}"/>
    <cellStyle name="Comma 4 5 4 2" xfId="3378" xr:uid="{00000000-0005-0000-0000-0000430A0000}"/>
    <cellStyle name="Comma 4 5 4 2 2" xfId="7601" xr:uid="{00000000-0005-0000-0000-0000440A0000}"/>
    <cellStyle name="Comma 4 5 4 2 2 2" xfId="16043" xr:uid="{DD8DC3CA-64E1-4983-B505-DC8A38A2A3DA}"/>
    <cellStyle name="Comma 4 5 4 2 3" xfId="11825" xr:uid="{013DAA98-4B59-408E-B4E4-DBC3F74D98CB}"/>
    <cellStyle name="Comma 4 5 4 3" xfId="5456" xr:uid="{00000000-0005-0000-0000-0000450A0000}"/>
    <cellStyle name="Comma 4 5 4 3 2" xfId="13898" xr:uid="{E4A42EC2-3304-4FC6-B90B-BF53E665DE31}"/>
    <cellStyle name="Comma 4 5 4 4" xfId="9680" xr:uid="{83FFB5F4-33DC-4A1D-942A-33B9F276DDF3}"/>
    <cellStyle name="Comma 4 5 5" xfId="1561" xr:uid="{00000000-0005-0000-0000-0000460A0000}"/>
    <cellStyle name="Comma 4 5 5 2" xfId="3791" xr:uid="{00000000-0005-0000-0000-0000470A0000}"/>
    <cellStyle name="Comma 4 5 5 2 2" xfId="8014" xr:uid="{00000000-0005-0000-0000-0000480A0000}"/>
    <cellStyle name="Comma 4 5 5 2 2 2" xfId="16456" xr:uid="{05169538-C7A8-4330-B15C-CF8195BD15DD}"/>
    <cellStyle name="Comma 4 5 5 2 3" xfId="12238" xr:uid="{D0354042-9383-4835-B1BC-7F2234BA371E}"/>
    <cellStyle name="Comma 4 5 5 3" xfId="5869" xr:uid="{00000000-0005-0000-0000-0000490A0000}"/>
    <cellStyle name="Comma 4 5 5 3 2" xfId="14311" xr:uid="{D83CEFE1-EEA9-4B63-AE84-89DD7A20FFC9}"/>
    <cellStyle name="Comma 4 5 5 4" xfId="10093" xr:uid="{A79D232F-07F2-4B3E-8FDA-C61F934481A4}"/>
    <cellStyle name="Comma 4 5 6" xfId="1975" xr:uid="{00000000-0005-0000-0000-00004A0A0000}"/>
    <cellStyle name="Comma 4 5 6 2" xfId="4204" xr:uid="{00000000-0005-0000-0000-00004B0A0000}"/>
    <cellStyle name="Comma 4 5 6 2 2" xfId="8427" xr:uid="{00000000-0005-0000-0000-00004C0A0000}"/>
    <cellStyle name="Comma 4 5 6 2 2 2" xfId="16869" xr:uid="{3BBE50F8-8D67-4EB0-8A99-74FA17BC7613}"/>
    <cellStyle name="Comma 4 5 6 2 3" xfId="12651" xr:uid="{ECC43D44-1F0D-448E-A6EC-E6C23EFB28DF}"/>
    <cellStyle name="Comma 4 5 6 3" xfId="6282" xr:uid="{00000000-0005-0000-0000-00004D0A0000}"/>
    <cellStyle name="Comma 4 5 6 3 2" xfId="14724" xr:uid="{98131655-AECC-43F6-84DF-4286408FCB13}"/>
    <cellStyle name="Comma 4 5 6 4" xfId="10506" xr:uid="{5FBB8A84-2A49-4041-97E1-41C7D3F7ED74}"/>
    <cellStyle name="Comma 4 5 7" xfId="2410" xr:uid="{00000000-0005-0000-0000-00004E0A0000}"/>
    <cellStyle name="Comma 4 5 7 2" xfId="6695" xr:uid="{00000000-0005-0000-0000-00004F0A0000}"/>
    <cellStyle name="Comma 4 5 7 2 2" xfId="15137" xr:uid="{04A4970E-4FE0-4154-BA8D-8F56CC955DDA}"/>
    <cellStyle name="Comma 4 5 7 3" xfId="10919" xr:uid="{B339DC4B-2200-4B3F-9175-563936476B92}"/>
    <cellStyle name="Comma 4 5 8" xfId="2706" xr:uid="{00000000-0005-0000-0000-0000500A0000}"/>
    <cellStyle name="Comma 4 5 9" xfId="2788" xr:uid="{00000000-0005-0000-0000-0000510A0000}"/>
    <cellStyle name="Comma 4 5 9 2" xfId="7012" xr:uid="{00000000-0005-0000-0000-0000520A0000}"/>
    <cellStyle name="Comma 4 5 9 2 2" xfId="15454" xr:uid="{8E5BA023-A802-4043-8A85-2C6A7251AA54}"/>
    <cellStyle name="Comma 4 5 9 3" xfId="11236" xr:uid="{98DA6FB4-25CD-4033-86B8-9CEF2945D1D6}"/>
    <cellStyle name="Comma 4 6" xfId="159" xr:uid="{00000000-0005-0000-0000-0000530A0000}"/>
    <cellStyle name="Comma 4 6 10" xfId="8855" xr:uid="{B55015D5-7974-4D9B-80BA-4F5307597935}"/>
    <cellStyle name="Comma 4 6 2" xfId="696" xr:uid="{00000000-0005-0000-0000-0000540A0000}"/>
    <cellStyle name="Comma 4 6 2 2" xfId="2967" xr:uid="{00000000-0005-0000-0000-0000550A0000}"/>
    <cellStyle name="Comma 4 6 2 2 2" xfId="7190" xr:uid="{00000000-0005-0000-0000-0000560A0000}"/>
    <cellStyle name="Comma 4 6 2 2 2 2" xfId="15632" xr:uid="{666265DB-26B8-466E-8CE8-B784DA0382AC}"/>
    <cellStyle name="Comma 4 6 2 2 3" xfId="11414" xr:uid="{B1C23D81-DE00-4142-BC47-D37F55ADCD09}"/>
    <cellStyle name="Comma 4 6 2 3" xfId="5045" xr:uid="{00000000-0005-0000-0000-0000570A0000}"/>
    <cellStyle name="Comma 4 6 2 3 2" xfId="13487" xr:uid="{CE77FB42-7743-4F37-B0FF-1F4A36FEEEE5}"/>
    <cellStyle name="Comma 4 6 2 4" xfId="9269" xr:uid="{4E1D5F97-19F7-4870-9756-7D021C7F6985}"/>
    <cellStyle name="Comma 4 6 3" xfId="1149" xr:uid="{00000000-0005-0000-0000-0000580A0000}"/>
    <cellStyle name="Comma 4 6 3 2" xfId="3380" xr:uid="{00000000-0005-0000-0000-0000590A0000}"/>
    <cellStyle name="Comma 4 6 3 2 2" xfId="7603" xr:uid="{00000000-0005-0000-0000-00005A0A0000}"/>
    <cellStyle name="Comma 4 6 3 2 2 2" xfId="16045" xr:uid="{D1F96347-C31D-434A-B9A0-1361308A18BC}"/>
    <cellStyle name="Comma 4 6 3 2 3" xfId="11827" xr:uid="{0A935D56-33C2-40E9-AAFA-28E0803A355B}"/>
    <cellStyle name="Comma 4 6 3 3" xfId="5458" xr:uid="{00000000-0005-0000-0000-00005B0A0000}"/>
    <cellStyle name="Comma 4 6 3 3 2" xfId="13900" xr:uid="{80862110-C5AD-4768-9A68-55961C71BC4A}"/>
    <cellStyle name="Comma 4 6 3 4" xfId="9682" xr:uid="{A7F90F5F-7E21-41D2-AF53-1A9A6BA4E923}"/>
    <cellStyle name="Comma 4 6 4" xfId="1563" xr:uid="{00000000-0005-0000-0000-00005C0A0000}"/>
    <cellStyle name="Comma 4 6 4 2" xfId="3793" xr:uid="{00000000-0005-0000-0000-00005D0A0000}"/>
    <cellStyle name="Comma 4 6 4 2 2" xfId="8016" xr:uid="{00000000-0005-0000-0000-00005E0A0000}"/>
    <cellStyle name="Comma 4 6 4 2 2 2" xfId="16458" xr:uid="{26B513A0-E9C4-49DA-84BF-604FE76D088C}"/>
    <cellStyle name="Comma 4 6 4 2 3" xfId="12240" xr:uid="{91C068B2-60F9-4BF8-914F-874CA96C5476}"/>
    <cellStyle name="Comma 4 6 4 3" xfId="5871" xr:uid="{00000000-0005-0000-0000-00005F0A0000}"/>
    <cellStyle name="Comma 4 6 4 3 2" xfId="14313" xr:uid="{A3D6E585-DE89-4FA7-ADF5-98BB826E01AD}"/>
    <cellStyle name="Comma 4 6 4 4" xfId="10095" xr:uid="{4322464D-A170-43A8-ACD9-5CB081F4BB9F}"/>
    <cellStyle name="Comma 4 6 5" xfId="1977" xr:uid="{00000000-0005-0000-0000-0000600A0000}"/>
    <cellStyle name="Comma 4 6 5 2" xfId="4206" xr:uid="{00000000-0005-0000-0000-0000610A0000}"/>
    <cellStyle name="Comma 4 6 5 2 2" xfId="8429" xr:uid="{00000000-0005-0000-0000-0000620A0000}"/>
    <cellStyle name="Comma 4 6 5 2 2 2" xfId="16871" xr:uid="{E76C12EA-9BEF-44E5-ABF8-D79ADD375FC9}"/>
    <cellStyle name="Comma 4 6 5 2 3" xfId="12653" xr:uid="{F5887D4B-0E0C-4796-AF35-79A0C836DFB0}"/>
    <cellStyle name="Comma 4 6 5 3" xfId="6284" xr:uid="{00000000-0005-0000-0000-0000630A0000}"/>
    <cellStyle name="Comma 4 6 5 3 2" xfId="14726" xr:uid="{EC600CBC-D61E-4162-AB33-738BC022022E}"/>
    <cellStyle name="Comma 4 6 5 4" xfId="10508" xr:uid="{02ABD56B-A0A5-41AC-AE41-D5AD394E8401}"/>
    <cellStyle name="Comma 4 6 6" xfId="2412" xr:uid="{00000000-0005-0000-0000-0000640A0000}"/>
    <cellStyle name="Comma 4 6 6 2" xfId="6697" xr:uid="{00000000-0005-0000-0000-0000650A0000}"/>
    <cellStyle name="Comma 4 6 6 2 2" xfId="15139" xr:uid="{5F163467-0449-439B-9C4E-DF8D2F80AAE7}"/>
    <cellStyle name="Comma 4 6 6 3" xfId="10921" xr:uid="{30B28F9A-E46B-45B6-A17E-28C2974F2F34}"/>
    <cellStyle name="Comma 4 6 7" xfId="2708" xr:uid="{00000000-0005-0000-0000-0000660A0000}"/>
    <cellStyle name="Comma 4 6 8" xfId="2790" xr:uid="{00000000-0005-0000-0000-0000670A0000}"/>
    <cellStyle name="Comma 4 6 8 2" xfId="7014" xr:uid="{00000000-0005-0000-0000-0000680A0000}"/>
    <cellStyle name="Comma 4 6 8 2 2" xfId="15456" xr:uid="{8701DF31-A7A5-4D83-A011-E8084859FC29}"/>
    <cellStyle name="Comma 4 6 8 3" xfId="11238" xr:uid="{92F76AF4-E0AD-4E09-9436-BCEF66B2BF8B}"/>
    <cellStyle name="Comma 4 6 9" xfId="4631" xr:uid="{00000000-0005-0000-0000-0000690A0000}"/>
    <cellStyle name="Comma 4 6 9 2" xfId="13073" xr:uid="{85288F43-445C-4CB6-B431-6DE9D1F01DF4}"/>
    <cellStyle name="Comma 4 7" xfId="160" xr:uid="{00000000-0005-0000-0000-00006A0A0000}"/>
    <cellStyle name="Comma 4 7 10" xfId="8856" xr:uid="{81FF475E-B9D3-4153-9FC1-7A01F647D4C2}"/>
    <cellStyle name="Comma 4 7 2" xfId="697" xr:uid="{00000000-0005-0000-0000-00006B0A0000}"/>
    <cellStyle name="Comma 4 7 2 2" xfId="2968" xr:uid="{00000000-0005-0000-0000-00006C0A0000}"/>
    <cellStyle name="Comma 4 7 2 2 2" xfId="7191" xr:uid="{00000000-0005-0000-0000-00006D0A0000}"/>
    <cellStyle name="Comma 4 7 2 2 2 2" xfId="15633" xr:uid="{6BA8C7C7-B94F-4C2D-9620-17FECB9079B2}"/>
    <cellStyle name="Comma 4 7 2 2 3" xfId="11415" xr:uid="{4988AFCE-9A38-40E6-9D86-5D56A5ACF940}"/>
    <cellStyle name="Comma 4 7 2 3" xfId="5046" xr:uid="{00000000-0005-0000-0000-00006E0A0000}"/>
    <cellStyle name="Comma 4 7 2 3 2" xfId="13488" xr:uid="{B8B8B3FE-3E43-4929-9A56-06DFAD769D57}"/>
    <cellStyle name="Comma 4 7 2 4" xfId="9270" xr:uid="{A056C80A-B597-4170-96C3-2FFBAA1F1597}"/>
    <cellStyle name="Comma 4 7 3" xfId="1150" xr:uid="{00000000-0005-0000-0000-00006F0A0000}"/>
    <cellStyle name="Comma 4 7 3 2" xfId="3381" xr:uid="{00000000-0005-0000-0000-0000700A0000}"/>
    <cellStyle name="Comma 4 7 3 2 2" xfId="7604" xr:uid="{00000000-0005-0000-0000-0000710A0000}"/>
    <cellStyle name="Comma 4 7 3 2 2 2" xfId="16046" xr:uid="{B740F966-2DBF-4F81-B0CC-FCC7A5682F97}"/>
    <cellStyle name="Comma 4 7 3 2 3" xfId="11828" xr:uid="{95AEF29A-947E-47E1-863E-7F1897F69293}"/>
    <cellStyle name="Comma 4 7 3 3" xfId="5459" xr:uid="{00000000-0005-0000-0000-0000720A0000}"/>
    <cellStyle name="Comma 4 7 3 3 2" xfId="13901" xr:uid="{D859C700-A5C1-4987-812F-49CC70719937}"/>
    <cellStyle name="Comma 4 7 3 4" xfId="9683" xr:uid="{DB6B199A-7B94-4896-9627-C73D593287C3}"/>
    <cellStyle name="Comma 4 7 4" xfId="1564" xr:uid="{00000000-0005-0000-0000-0000730A0000}"/>
    <cellStyle name="Comma 4 7 4 2" xfId="3794" xr:uid="{00000000-0005-0000-0000-0000740A0000}"/>
    <cellStyle name="Comma 4 7 4 2 2" xfId="8017" xr:uid="{00000000-0005-0000-0000-0000750A0000}"/>
    <cellStyle name="Comma 4 7 4 2 2 2" xfId="16459" xr:uid="{2BB4E879-99E9-4E36-9895-2D90D67F1C67}"/>
    <cellStyle name="Comma 4 7 4 2 3" xfId="12241" xr:uid="{5AB4D681-32C1-4021-AB7F-4418C403BC1C}"/>
    <cellStyle name="Comma 4 7 4 3" xfId="5872" xr:uid="{00000000-0005-0000-0000-0000760A0000}"/>
    <cellStyle name="Comma 4 7 4 3 2" xfId="14314" xr:uid="{CBAFE4A9-7EBD-4D0B-8B9A-FE4B7044F24F}"/>
    <cellStyle name="Comma 4 7 4 4" xfId="10096" xr:uid="{2A20483D-F585-40AA-BC04-7A1D60EFF093}"/>
    <cellStyle name="Comma 4 7 5" xfId="1978" xr:uid="{00000000-0005-0000-0000-0000770A0000}"/>
    <cellStyle name="Comma 4 7 5 2" xfId="4207" xr:uid="{00000000-0005-0000-0000-0000780A0000}"/>
    <cellStyle name="Comma 4 7 5 2 2" xfId="8430" xr:uid="{00000000-0005-0000-0000-0000790A0000}"/>
    <cellStyle name="Comma 4 7 5 2 2 2" xfId="16872" xr:uid="{9313D101-D6AE-4D2E-ADC0-5BE321E7D09F}"/>
    <cellStyle name="Comma 4 7 5 2 3" xfId="12654" xr:uid="{C59EE344-A0A6-4F1D-85DF-D20172B0C355}"/>
    <cellStyle name="Comma 4 7 5 3" xfId="6285" xr:uid="{00000000-0005-0000-0000-00007A0A0000}"/>
    <cellStyle name="Comma 4 7 5 3 2" xfId="14727" xr:uid="{D66E9ED1-5879-42C3-BE40-408FD5447AD1}"/>
    <cellStyle name="Comma 4 7 5 4" xfId="10509" xr:uid="{98910DE3-B058-4B6F-B75B-A0EE4F9CDE71}"/>
    <cellStyle name="Comma 4 7 6" xfId="2413" xr:uid="{00000000-0005-0000-0000-00007B0A0000}"/>
    <cellStyle name="Comma 4 7 6 2" xfId="6698" xr:uid="{00000000-0005-0000-0000-00007C0A0000}"/>
    <cellStyle name="Comma 4 7 6 2 2" xfId="15140" xr:uid="{D23925DE-0A18-49B8-9364-818F0F4BCEB7}"/>
    <cellStyle name="Comma 4 7 6 3" xfId="10922" xr:uid="{D6EC221B-5801-47B3-AF27-B986ADD8A913}"/>
    <cellStyle name="Comma 4 7 7" xfId="2709" xr:uid="{00000000-0005-0000-0000-00007D0A0000}"/>
    <cellStyle name="Comma 4 7 8" xfId="2791" xr:uid="{00000000-0005-0000-0000-00007E0A0000}"/>
    <cellStyle name="Comma 4 7 8 2" xfId="7015" xr:uid="{00000000-0005-0000-0000-00007F0A0000}"/>
    <cellStyle name="Comma 4 7 8 2 2" xfId="15457" xr:uid="{11EB577C-C247-4ABC-91EC-CAB475C744E8}"/>
    <cellStyle name="Comma 4 7 8 3" xfId="11239" xr:uid="{9AB53E25-191C-4565-9B7C-C9151342A766}"/>
    <cellStyle name="Comma 4 7 9" xfId="4632" xr:uid="{00000000-0005-0000-0000-0000800A0000}"/>
    <cellStyle name="Comma 4 7 9 2" xfId="13074" xr:uid="{4D7831ED-25E9-4216-8796-5FCA7E1C0B31}"/>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omma 7 2" xfId="12942" xr:uid="{91876608-18D7-4869-97FE-DE3BB179F5F6}"/>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2 2" xfId="17159" xr:uid="{FD153156-B9DB-4F9D-B42C-A4C9E3B96B41}"/>
    <cellStyle name="Currency 14 3" xfId="8720" xr:uid="{729B09A7-2394-4D7C-912C-1471FB3455A3}"/>
    <cellStyle name="Currency 14 3 2" xfId="8724" xr:uid="{1945FB0F-31EC-4D98-B64C-BAFBADA341A1}"/>
    <cellStyle name="Currency 14 3 2 2" xfId="8727" xr:uid="{03BA8DEE-11D2-406B-B26D-8EE163916FB0}"/>
    <cellStyle name="Currency 14 3 2 2 2" xfId="17168" xr:uid="{A3E6A4D2-4EB9-4C84-A2B0-21D8E3139810}"/>
    <cellStyle name="Currency 14 3 2 3" xfId="17165" xr:uid="{4AB2A05E-5321-46AB-B220-89F165C263BC}"/>
    <cellStyle name="Currency 14 3 3" xfId="17162" xr:uid="{FED97FF0-F2F7-49E4-A839-15A5B3393D12}"/>
    <cellStyle name="Currency 14 4" xfId="12945" xr:uid="{DBF556D8-4654-4E66-AB30-61C4FAC2DF39}"/>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0 2 2" xfId="15458" xr:uid="{B2E7176D-C8AB-4793-83B7-7C730970A5BA}"/>
    <cellStyle name="Currency 3 2 2 10 3" xfId="11240" xr:uid="{37E4DB84-3AF4-45B8-8BDB-7C91731F81A7}"/>
    <cellStyle name="Currency 3 2 2 11" xfId="4633" xr:uid="{00000000-0005-0000-0000-0000A50A0000}"/>
    <cellStyle name="Currency 3 2 2 11 2" xfId="13075" xr:uid="{6C7F4F2D-D2AB-4806-B7F6-553F655EBEA4}"/>
    <cellStyle name="Currency 3 2 2 12" xfId="8857" xr:uid="{80D5FA26-EBC5-404C-A71D-CEE5527FB0CE}"/>
    <cellStyle name="Currency 3 2 2 2" xfId="179" xr:uid="{00000000-0005-0000-0000-0000A60A0000}"/>
    <cellStyle name="Currency 3 2 2 2 10" xfId="4634" xr:uid="{00000000-0005-0000-0000-0000A70A0000}"/>
    <cellStyle name="Currency 3 2 2 2 10 2" xfId="13076" xr:uid="{2877ADFF-495D-424E-8C26-A8E2570759D0}"/>
    <cellStyle name="Currency 3 2 2 2 11" xfId="8858" xr:uid="{5D2247C7-D210-4810-B7AD-A5506E400FA0}"/>
    <cellStyle name="Currency 3 2 2 2 2" xfId="180" xr:uid="{00000000-0005-0000-0000-0000A80A0000}"/>
    <cellStyle name="Currency 3 2 2 2 2 10" xfId="8859" xr:uid="{50DE0CBF-4D6B-452A-ABB2-D559836B6994}"/>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2 2 2" xfId="15636" xr:uid="{4842388A-3B44-432A-BB4B-312D2705433E}"/>
    <cellStyle name="Currency 3 2 2 2 2 2 2 3" xfId="11418" xr:uid="{1367D610-A2EA-44DB-9022-BCA3DEC1306E}"/>
    <cellStyle name="Currency 3 2 2 2 2 2 3" xfId="5049" xr:uid="{00000000-0005-0000-0000-0000AC0A0000}"/>
    <cellStyle name="Currency 3 2 2 2 2 2 3 2" xfId="13491" xr:uid="{05DF5CDF-84AD-4994-AAB3-20C3E899BD99}"/>
    <cellStyle name="Currency 3 2 2 2 2 2 4" xfId="9273" xr:uid="{B1A68B12-BF7B-4CD0-8A08-514526361B0A}"/>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2 2 2" xfId="16049" xr:uid="{502EFE57-A5C7-492D-A87F-3F4FC4F5F977}"/>
    <cellStyle name="Currency 3 2 2 2 2 3 2 3" xfId="11831" xr:uid="{0904D7C8-0DEA-46D0-BAF6-BD34A4FC49EA}"/>
    <cellStyle name="Currency 3 2 2 2 2 3 3" xfId="5462" xr:uid="{00000000-0005-0000-0000-0000B00A0000}"/>
    <cellStyle name="Currency 3 2 2 2 2 3 3 2" xfId="13904" xr:uid="{9E4FC87B-62F6-4DA7-B1F8-AC5726B9E860}"/>
    <cellStyle name="Currency 3 2 2 2 2 3 4" xfId="9686" xr:uid="{A486BC79-449C-42E7-8413-B14B84E23B1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2 2 2" xfId="16462" xr:uid="{C6D44B24-8672-41A5-B9BF-78078BC226ED}"/>
    <cellStyle name="Currency 3 2 2 2 2 4 2 3" xfId="12244" xr:uid="{DC7210DC-B094-468E-A63C-E6260698A71F}"/>
    <cellStyle name="Currency 3 2 2 2 2 4 3" xfId="5875" xr:uid="{00000000-0005-0000-0000-0000B40A0000}"/>
    <cellStyle name="Currency 3 2 2 2 2 4 3 2" xfId="14317" xr:uid="{878D9182-4816-4416-9512-672677C84BF7}"/>
    <cellStyle name="Currency 3 2 2 2 2 4 4" xfId="10099" xr:uid="{3ED93B9E-36F0-4EA6-99CB-00357BEE10DE}"/>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2 2 2" xfId="16875" xr:uid="{2EB5F938-56C2-4122-83BD-DDFF98E87F59}"/>
    <cellStyle name="Currency 3 2 2 2 2 5 2 3" xfId="12657" xr:uid="{63AA4DC9-4CF9-4529-AA62-E5493181B9F7}"/>
    <cellStyle name="Currency 3 2 2 2 2 5 3" xfId="6288" xr:uid="{00000000-0005-0000-0000-0000B80A0000}"/>
    <cellStyle name="Currency 3 2 2 2 2 5 3 2" xfId="14730" xr:uid="{FD355522-F8E6-4AF0-A7CB-749E8A3AF6CE}"/>
    <cellStyle name="Currency 3 2 2 2 2 5 4" xfId="10512" xr:uid="{6BD405B1-155F-439D-ACD5-93100D6C96C1}"/>
    <cellStyle name="Currency 3 2 2 2 2 6" xfId="2416" xr:uid="{00000000-0005-0000-0000-0000B90A0000}"/>
    <cellStyle name="Currency 3 2 2 2 2 6 2" xfId="6701" xr:uid="{00000000-0005-0000-0000-0000BA0A0000}"/>
    <cellStyle name="Currency 3 2 2 2 2 6 2 2" xfId="15143" xr:uid="{8B6CAED5-F8B6-4964-AFD3-BE94E9E02286}"/>
    <cellStyle name="Currency 3 2 2 2 2 6 3" xfId="10925" xr:uid="{F9793784-0721-45B7-95B7-27D94D0D2957}"/>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8 2 2" xfId="15460" xr:uid="{0244FC9A-131D-472F-9BBD-17B083BBCFFF}"/>
    <cellStyle name="Currency 3 2 2 2 2 8 3" xfId="11242" xr:uid="{2CA9F4F9-41DC-432C-9C2F-8C0B499D59DD}"/>
    <cellStyle name="Currency 3 2 2 2 2 9" xfId="4635" xr:uid="{00000000-0005-0000-0000-0000BE0A0000}"/>
    <cellStyle name="Currency 3 2 2 2 2 9 2" xfId="13077" xr:uid="{03BDCDD4-1961-4486-BCDE-43E2AE0A6442}"/>
    <cellStyle name="Currency 3 2 2 2 3" xfId="709" xr:uid="{00000000-0005-0000-0000-0000BF0A0000}"/>
    <cellStyle name="Currency 3 2 2 2 3 2" xfId="2970" xr:uid="{00000000-0005-0000-0000-0000C00A0000}"/>
    <cellStyle name="Currency 3 2 2 2 3 2 2" xfId="7193" xr:uid="{00000000-0005-0000-0000-0000C10A0000}"/>
    <cellStyle name="Currency 3 2 2 2 3 2 2 2" xfId="15635" xr:uid="{CE033B61-EA0F-47CB-94A8-CE0572FC2BA0}"/>
    <cellStyle name="Currency 3 2 2 2 3 2 3" xfId="11417" xr:uid="{E3278249-D8A5-4800-AE12-275A5CB38942}"/>
    <cellStyle name="Currency 3 2 2 2 3 3" xfId="5048" xr:uid="{00000000-0005-0000-0000-0000C20A0000}"/>
    <cellStyle name="Currency 3 2 2 2 3 3 2" xfId="13490" xr:uid="{460C7E16-42EB-482B-A8C6-6CB549C78CE2}"/>
    <cellStyle name="Currency 3 2 2 2 3 4" xfId="9272" xr:uid="{74BE2538-9523-4625-9E06-DB67D0818C88}"/>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2 2 2" xfId="16048" xr:uid="{F74AD23D-58C8-4397-A6CB-2CE16C9F4575}"/>
    <cellStyle name="Currency 3 2 2 2 4 2 3" xfId="11830" xr:uid="{F0AD0D43-F6DF-4875-A1EC-FF31CD274303}"/>
    <cellStyle name="Currency 3 2 2 2 4 3" xfId="5461" xr:uid="{00000000-0005-0000-0000-0000C60A0000}"/>
    <cellStyle name="Currency 3 2 2 2 4 3 2" xfId="13903" xr:uid="{02FDF557-1864-4CF3-AB5D-2DC7F11F854D}"/>
    <cellStyle name="Currency 3 2 2 2 4 4" xfId="9685" xr:uid="{14FA7806-8829-440F-B827-3F11DB2308F1}"/>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2 2 2" xfId="16461" xr:uid="{068B72BD-221D-4B0F-9F93-6E696908ED45}"/>
    <cellStyle name="Currency 3 2 2 2 5 2 3" xfId="12243" xr:uid="{6A71F9E9-0404-4BFF-8D5C-BDB20F1994F8}"/>
    <cellStyle name="Currency 3 2 2 2 5 3" xfId="5874" xr:uid="{00000000-0005-0000-0000-0000CA0A0000}"/>
    <cellStyle name="Currency 3 2 2 2 5 3 2" xfId="14316" xr:uid="{A05F1284-0544-4F16-8FAA-C4E234B6E9C3}"/>
    <cellStyle name="Currency 3 2 2 2 5 4" xfId="10098" xr:uid="{684B74A3-791D-491A-BD3E-B1B182321C4F}"/>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2 2 2" xfId="16874" xr:uid="{2CE333D3-A8E2-4C62-A00D-4AEB05102FE9}"/>
    <cellStyle name="Currency 3 2 2 2 6 2 3" xfId="12656" xr:uid="{033D27F7-FDCB-4B2C-9445-835E43835CD2}"/>
    <cellStyle name="Currency 3 2 2 2 6 3" xfId="6287" xr:uid="{00000000-0005-0000-0000-0000CE0A0000}"/>
    <cellStyle name="Currency 3 2 2 2 6 3 2" xfId="14729" xr:uid="{8883DA56-0799-4173-81BC-6368AE3B2757}"/>
    <cellStyle name="Currency 3 2 2 2 6 4" xfId="10511" xr:uid="{1D4D6952-F2CC-4662-B081-4C36CCA3E7C7}"/>
    <cellStyle name="Currency 3 2 2 2 7" xfId="2415" xr:uid="{00000000-0005-0000-0000-0000CF0A0000}"/>
    <cellStyle name="Currency 3 2 2 2 7 2" xfId="6700" xr:uid="{00000000-0005-0000-0000-0000D00A0000}"/>
    <cellStyle name="Currency 3 2 2 2 7 2 2" xfId="15142" xr:uid="{27815DB4-9F9E-44FE-A793-6410E85D841C}"/>
    <cellStyle name="Currency 3 2 2 2 7 3" xfId="10924" xr:uid="{B17778BF-B351-4EAF-841A-AAD530879840}"/>
    <cellStyle name="Currency 3 2 2 2 8" xfId="2712" xr:uid="{00000000-0005-0000-0000-0000D10A0000}"/>
    <cellStyle name="Currency 3 2 2 2 9" xfId="2793" xr:uid="{00000000-0005-0000-0000-0000D20A0000}"/>
    <cellStyle name="Currency 3 2 2 2 9 2" xfId="7017" xr:uid="{00000000-0005-0000-0000-0000D30A0000}"/>
    <cellStyle name="Currency 3 2 2 2 9 2 2" xfId="15459" xr:uid="{F9449264-D977-4EA4-9D07-DE823723D806}"/>
    <cellStyle name="Currency 3 2 2 2 9 3" xfId="11241" xr:uid="{F7FA1C12-D67C-4F9C-9671-2B6F38165294}"/>
    <cellStyle name="Currency 3 2 2 3" xfId="181" xr:uid="{00000000-0005-0000-0000-0000D40A0000}"/>
    <cellStyle name="Currency 3 2 2 3 10" xfId="8860" xr:uid="{8C4D0731-ECA1-40BE-B39C-6F868A1FDF93}"/>
    <cellStyle name="Currency 3 2 2 3 2" xfId="711" xr:uid="{00000000-0005-0000-0000-0000D50A0000}"/>
    <cellStyle name="Currency 3 2 2 3 2 2" xfId="2972" xr:uid="{00000000-0005-0000-0000-0000D60A0000}"/>
    <cellStyle name="Currency 3 2 2 3 2 2 2" xfId="7195" xr:uid="{00000000-0005-0000-0000-0000D70A0000}"/>
    <cellStyle name="Currency 3 2 2 3 2 2 2 2" xfId="15637" xr:uid="{9F919EE1-AD8C-4F99-B669-5BCE2BBA55D1}"/>
    <cellStyle name="Currency 3 2 2 3 2 2 3" xfId="11419" xr:uid="{D4DDB7EE-895D-4F16-AEF1-6E063F135D0C}"/>
    <cellStyle name="Currency 3 2 2 3 2 3" xfId="5050" xr:uid="{00000000-0005-0000-0000-0000D80A0000}"/>
    <cellStyle name="Currency 3 2 2 3 2 3 2" xfId="13492" xr:uid="{375BC9D1-50A6-4679-BC29-DA4B367CEEAB}"/>
    <cellStyle name="Currency 3 2 2 3 2 4" xfId="9274" xr:uid="{5AC50C61-199C-40A9-A964-FC8FEDCE5D14}"/>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2 2 2" xfId="16050" xr:uid="{11176110-9AEB-46EC-AD78-E97AD3F8A407}"/>
    <cellStyle name="Currency 3 2 2 3 3 2 3" xfId="11832" xr:uid="{77248AE3-6BAC-4620-BD69-FBD701C53907}"/>
    <cellStyle name="Currency 3 2 2 3 3 3" xfId="5463" xr:uid="{00000000-0005-0000-0000-0000DC0A0000}"/>
    <cellStyle name="Currency 3 2 2 3 3 3 2" xfId="13905" xr:uid="{8CC8CC9E-3CEE-40E0-A2F2-95FB60678D26}"/>
    <cellStyle name="Currency 3 2 2 3 3 4" xfId="9687" xr:uid="{CBE74D86-F53C-45EC-86E4-31C50C6497ED}"/>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2 2 2" xfId="16463" xr:uid="{A0CB6481-CC82-4AEE-A6BD-E45819BC7923}"/>
    <cellStyle name="Currency 3 2 2 3 4 2 3" xfId="12245" xr:uid="{7E0C1CB7-9817-4316-A415-BEAE1813C40A}"/>
    <cellStyle name="Currency 3 2 2 3 4 3" xfId="5876" xr:uid="{00000000-0005-0000-0000-0000E00A0000}"/>
    <cellStyle name="Currency 3 2 2 3 4 3 2" xfId="14318" xr:uid="{1BC55DB2-B6BC-45BC-8AA6-E8563DA2D92A}"/>
    <cellStyle name="Currency 3 2 2 3 4 4" xfId="10100" xr:uid="{24D7038C-4C00-4498-B03E-6476269ACAC1}"/>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2 2 2" xfId="16876" xr:uid="{A89A5467-2420-403F-94DD-C7F1C5F86A2B}"/>
    <cellStyle name="Currency 3 2 2 3 5 2 3" xfId="12658" xr:uid="{56729B03-2D87-4765-BE34-27CF00B3E9D0}"/>
    <cellStyle name="Currency 3 2 2 3 5 3" xfId="6289" xr:uid="{00000000-0005-0000-0000-0000E40A0000}"/>
    <cellStyle name="Currency 3 2 2 3 5 3 2" xfId="14731" xr:uid="{54AB20B6-6B19-4C92-A1F0-C08DAFC90A54}"/>
    <cellStyle name="Currency 3 2 2 3 5 4" xfId="10513" xr:uid="{23F096A2-8BCC-437F-BAC7-C68919882C2E}"/>
    <cellStyle name="Currency 3 2 2 3 6" xfId="2417" xr:uid="{00000000-0005-0000-0000-0000E50A0000}"/>
    <cellStyle name="Currency 3 2 2 3 6 2" xfId="6702" xr:uid="{00000000-0005-0000-0000-0000E60A0000}"/>
    <cellStyle name="Currency 3 2 2 3 6 2 2" xfId="15144" xr:uid="{D08B8CDB-3575-469A-A068-EC2A27D4F915}"/>
    <cellStyle name="Currency 3 2 2 3 6 3" xfId="10926" xr:uid="{9A82276E-A84D-43C8-8CA8-3AEF56A2BA24}"/>
    <cellStyle name="Currency 3 2 2 3 7" xfId="2714" xr:uid="{00000000-0005-0000-0000-0000E70A0000}"/>
    <cellStyle name="Currency 3 2 2 3 8" xfId="2795" xr:uid="{00000000-0005-0000-0000-0000E80A0000}"/>
    <cellStyle name="Currency 3 2 2 3 8 2" xfId="7019" xr:uid="{00000000-0005-0000-0000-0000E90A0000}"/>
    <cellStyle name="Currency 3 2 2 3 8 2 2" xfId="15461" xr:uid="{381D3535-78C5-454D-AE99-B95475268878}"/>
    <cellStyle name="Currency 3 2 2 3 8 3" xfId="11243" xr:uid="{68A38BAD-342B-40FC-BF72-353C6BAE919D}"/>
    <cellStyle name="Currency 3 2 2 3 9" xfId="4636" xr:uid="{00000000-0005-0000-0000-0000EA0A0000}"/>
    <cellStyle name="Currency 3 2 2 3 9 2" xfId="13078" xr:uid="{54A9ECBE-7083-4903-85E1-9182E00E9C00}"/>
    <cellStyle name="Currency 3 2 2 4" xfId="708" xr:uid="{00000000-0005-0000-0000-0000EB0A0000}"/>
    <cellStyle name="Currency 3 2 2 4 2" xfId="2969" xr:uid="{00000000-0005-0000-0000-0000EC0A0000}"/>
    <cellStyle name="Currency 3 2 2 4 2 2" xfId="7192" xr:uid="{00000000-0005-0000-0000-0000ED0A0000}"/>
    <cellStyle name="Currency 3 2 2 4 2 2 2" xfId="15634" xr:uid="{3242E848-AF07-43EC-8A8C-B1DD596A7722}"/>
    <cellStyle name="Currency 3 2 2 4 2 3" xfId="11416" xr:uid="{1C583716-DED4-4244-8A86-B065F21BD812}"/>
    <cellStyle name="Currency 3 2 2 4 3" xfId="5047" xr:uid="{00000000-0005-0000-0000-0000EE0A0000}"/>
    <cellStyle name="Currency 3 2 2 4 3 2" xfId="13489" xr:uid="{A48A6C98-7239-4365-B045-F13AEFE1BE1F}"/>
    <cellStyle name="Currency 3 2 2 4 4" xfId="9271" xr:uid="{50033AE7-36FB-4DDE-823F-CA54275EBE86}"/>
    <cellStyle name="Currency 3 2 2 5" xfId="1151" xr:uid="{00000000-0005-0000-0000-0000EF0A0000}"/>
    <cellStyle name="Currency 3 2 2 5 2" xfId="3382" xr:uid="{00000000-0005-0000-0000-0000F00A0000}"/>
    <cellStyle name="Currency 3 2 2 5 2 2" xfId="7605" xr:uid="{00000000-0005-0000-0000-0000F10A0000}"/>
    <cellStyle name="Currency 3 2 2 5 2 2 2" xfId="16047" xr:uid="{B9D1C5AB-9F0D-4063-8449-556C297B7038}"/>
    <cellStyle name="Currency 3 2 2 5 2 3" xfId="11829" xr:uid="{0BF282AC-EA8D-402B-91D1-F21850822C10}"/>
    <cellStyle name="Currency 3 2 2 5 3" xfId="5460" xr:uid="{00000000-0005-0000-0000-0000F20A0000}"/>
    <cellStyle name="Currency 3 2 2 5 3 2" xfId="13902" xr:uid="{DB7C02EB-9ACD-4780-AEB5-D197EE6838FE}"/>
    <cellStyle name="Currency 3 2 2 5 4" xfId="9684" xr:uid="{EC77227E-9D0E-4D12-8CB0-D8D9DB4C9D62}"/>
    <cellStyle name="Currency 3 2 2 6" xfId="1565" xr:uid="{00000000-0005-0000-0000-0000F30A0000}"/>
    <cellStyle name="Currency 3 2 2 6 2" xfId="3795" xr:uid="{00000000-0005-0000-0000-0000F40A0000}"/>
    <cellStyle name="Currency 3 2 2 6 2 2" xfId="8018" xr:uid="{00000000-0005-0000-0000-0000F50A0000}"/>
    <cellStyle name="Currency 3 2 2 6 2 2 2" xfId="16460" xr:uid="{66BD60AE-C322-4D95-A206-120208AB93A8}"/>
    <cellStyle name="Currency 3 2 2 6 2 3" xfId="12242" xr:uid="{A1026711-F801-437C-A505-9C96C6FEF388}"/>
    <cellStyle name="Currency 3 2 2 6 3" xfId="5873" xr:uid="{00000000-0005-0000-0000-0000F60A0000}"/>
    <cellStyle name="Currency 3 2 2 6 3 2" xfId="14315" xr:uid="{B399A60C-9D16-4115-B293-280D368B3ABB}"/>
    <cellStyle name="Currency 3 2 2 6 4" xfId="10097" xr:uid="{B5A3BE4E-E8F5-4F64-BEEA-2B218A291E51}"/>
    <cellStyle name="Currency 3 2 2 7" xfId="1979" xr:uid="{00000000-0005-0000-0000-0000F70A0000}"/>
    <cellStyle name="Currency 3 2 2 7 2" xfId="4208" xr:uid="{00000000-0005-0000-0000-0000F80A0000}"/>
    <cellStyle name="Currency 3 2 2 7 2 2" xfId="8431" xr:uid="{00000000-0005-0000-0000-0000F90A0000}"/>
    <cellStyle name="Currency 3 2 2 7 2 2 2" xfId="16873" xr:uid="{54B3EE21-B8FB-4361-9C37-B3C7CE7FB957}"/>
    <cellStyle name="Currency 3 2 2 7 2 3" xfId="12655" xr:uid="{86ECA00A-FEE3-4CEA-B5FA-62D627E8B3F2}"/>
    <cellStyle name="Currency 3 2 2 7 3" xfId="6286" xr:uid="{00000000-0005-0000-0000-0000FA0A0000}"/>
    <cellStyle name="Currency 3 2 2 7 3 2" xfId="14728" xr:uid="{7C27A7AA-85A5-41CD-98E4-A6549AAD853B}"/>
    <cellStyle name="Currency 3 2 2 7 4" xfId="10510" xr:uid="{F903D6C2-7005-4856-9949-C964E641AEAC}"/>
    <cellStyle name="Currency 3 2 2 8" xfId="2414" xr:uid="{00000000-0005-0000-0000-0000FB0A0000}"/>
    <cellStyle name="Currency 3 2 2 8 2" xfId="6699" xr:uid="{00000000-0005-0000-0000-0000FC0A0000}"/>
    <cellStyle name="Currency 3 2 2 8 2 2" xfId="15141" xr:uid="{260B5D90-AF90-48D8-865F-BA6522824E6A}"/>
    <cellStyle name="Currency 3 2 2 8 3" xfId="10923" xr:uid="{5C8B26A2-1B9D-4CBD-8ABE-B468722F50AC}"/>
    <cellStyle name="Currency 3 2 2 9" xfId="2711" xr:uid="{00000000-0005-0000-0000-0000FD0A0000}"/>
    <cellStyle name="Currency 3 2 3" xfId="182" xr:uid="{00000000-0005-0000-0000-0000FE0A0000}"/>
    <cellStyle name="Currency 3 2 3 10" xfId="4637" xr:uid="{00000000-0005-0000-0000-0000FF0A0000}"/>
    <cellStyle name="Currency 3 2 3 10 2" xfId="13079" xr:uid="{6D1174E2-C509-46CA-9A2B-5CC6DCC83FFC}"/>
    <cellStyle name="Currency 3 2 3 11" xfId="8861" xr:uid="{1F295AC6-25EE-4927-A0D3-733EF29E08A8}"/>
    <cellStyle name="Currency 3 2 3 2" xfId="183" xr:uid="{00000000-0005-0000-0000-0000000B0000}"/>
    <cellStyle name="Currency 3 2 3 2 10" xfId="8862" xr:uid="{D9539904-13B5-4FF7-9318-354D5C02531B}"/>
    <cellStyle name="Currency 3 2 3 2 2" xfId="713" xr:uid="{00000000-0005-0000-0000-0000010B0000}"/>
    <cellStyle name="Currency 3 2 3 2 2 2" xfId="2974" xr:uid="{00000000-0005-0000-0000-0000020B0000}"/>
    <cellStyle name="Currency 3 2 3 2 2 2 2" xfId="7197" xr:uid="{00000000-0005-0000-0000-0000030B0000}"/>
    <cellStyle name="Currency 3 2 3 2 2 2 2 2" xfId="15639" xr:uid="{52EAE177-5798-4E9E-86E9-2244531FEB0B}"/>
    <cellStyle name="Currency 3 2 3 2 2 2 3" xfId="11421" xr:uid="{F2838618-A2DB-4645-B865-DE373E9F1556}"/>
    <cellStyle name="Currency 3 2 3 2 2 3" xfId="5052" xr:uid="{00000000-0005-0000-0000-0000040B0000}"/>
    <cellStyle name="Currency 3 2 3 2 2 3 2" xfId="13494" xr:uid="{64C58B2E-56FE-45D3-8E38-A795D052BDA9}"/>
    <cellStyle name="Currency 3 2 3 2 2 4" xfId="9276" xr:uid="{C4E8079A-35F6-4D54-B738-B5297B14A3EA}"/>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2 2 2" xfId="16052" xr:uid="{0F224C68-41F4-4A89-A4C0-CA051293CA07}"/>
    <cellStyle name="Currency 3 2 3 2 3 2 3" xfId="11834" xr:uid="{5D217ED6-6473-4BE6-9029-2367D5175EAB}"/>
    <cellStyle name="Currency 3 2 3 2 3 3" xfId="5465" xr:uid="{00000000-0005-0000-0000-0000080B0000}"/>
    <cellStyle name="Currency 3 2 3 2 3 3 2" xfId="13907" xr:uid="{60CA0391-75A8-4F5E-8255-ADAC3148ABC7}"/>
    <cellStyle name="Currency 3 2 3 2 3 4" xfId="9689" xr:uid="{56120858-6C69-495D-B030-B4990B37EA79}"/>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2 2 2" xfId="16465" xr:uid="{47C8184A-ADAB-4A6A-89E0-67372AE0681B}"/>
    <cellStyle name="Currency 3 2 3 2 4 2 3" xfId="12247" xr:uid="{1A22BC4D-3B17-440D-96FA-85DDD96957A5}"/>
    <cellStyle name="Currency 3 2 3 2 4 3" xfId="5878" xr:uid="{00000000-0005-0000-0000-00000C0B0000}"/>
    <cellStyle name="Currency 3 2 3 2 4 3 2" xfId="14320" xr:uid="{FC70F67A-76CF-4E7F-A234-63DCFBB8AC69}"/>
    <cellStyle name="Currency 3 2 3 2 4 4" xfId="10102" xr:uid="{E9CBF523-97CE-416B-9C7D-2E3068DA994B}"/>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2 2 2" xfId="16878" xr:uid="{D331A24D-2629-4441-B299-7B9F6FFA5971}"/>
    <cellStyle name="Currency 3 2 3 2 5 2 3" xfId="12660" xr:uid="{5A4289A3-F4D3-47BA-8A3B-0EFF8009D369}"/>
    <cellStyle name="Currency 3 2 3 2 5 3" xfId="6291" xr:uid="{00000000-0005-0000-0000-0000100B0000}"/>
    <cellStyle name="Currency 3 2 3 2 5 3 2" xfId="14733" xr:uid="{D8C5DC92-5F6E-472F-B394-EC80545D3B0E}"/>
    <cellStyle name="Currency 3 2 3 2 5 4" xfId="10515" xr:uid="{428886C5-F16F-42CF-BABD-4F2321F2629B}"/>
    <cellStyle name="Currency 3 2 3 2 6" xfId="2419" xr:uid="{00000000-0005-0000-0000-0000110B0000}"/>
    <cellStyle name="Currency 3 2 3 2 6 2" xfId="6704" xr:uid="{00000000-0005-0000-0000-0000120B0000}"/>
    <cellStyle name="Currency 3 2 3 2 6 2 2" xfId="15146" xr:uid="{848992AF-C573-44F9-85FC-7298C35CA79B}"/>
    <cellStyle name="Currency 3 2 3 2 6 3" xfId="10928" xr:uid="{712B7434-87F4-4653-BAB1-9E3D62C2A60D}"/>
    <cellStyle name="Currency 3 2 3 2 7" xfId="2716" xr:uid="{00000000-0005-0000-0000-0000130B0000}"/>
    <cellStyle name="Currency 3 2 3 2 8" xfId="2797" xr:uid="{00000000-0005-0000-0000-0000140B0000}"/>
    <cellStyle name="Currency 3 2 3 2 8 2" xfId="7021" xr:uid="{00000000-0005-0000-0000-0000150B0000}"/>
    <cellStyle name="Currency 3 2 3 2 8 2 2" xfId="15463" xr:uid="{CE0A65F4-5039-4783-B3B5-76F27D52C3EB}"/>
    <cellStyle name="Currency 3 2 3 2 8 3" xfId="11245" xr:uid="{FCD988BF-A8EB-4486-8DA8-F5DB15D46BCF}"/>
    <cellStyle name="Currency 3 2 3 2 9" xfId="4638" xr:uid="{00000000-0005-0000-0000-0000160B0000}"/>
    <cellStyle name="Currency 3 2 3 2 9 2" xfId="13080" xr:uid="{3C5CACE5-718E-45B6-A162-653FE506CB73}"/>
    <cellStyle name="Currency 3 2 3 3" xfId="712" xr:uid="{00000000-0005-0000-0000-0000170B0000}"/>
    <cellStyle name="Currency 3 2 3 3 2" xfId="2973" xr:uid="{00000000-0005-0000-0000-0000180B0000}"/>
    <cellStyle name="Currency 3 2 3 3 2 2" xfId="7196" xr:uid="{00000000-0005-0000-0000-0000190B0000}"/>
    <cellStyle name="Currency 3 2 3 3 2 2 2" xfId="15638" xr:uid="{74E502A0-2629-4630-809E-98E97335317D}"/>
    <cellStyle name="Currency 3 2 3 3 2 3" xfId="11420" xr:uid="{3B32F336-17F0-4685-BE81-520DFCA6A0C1}"/>
    <cellStyle name="Currency 3 2 3 3 3" xfId="5051" xr:uid="{00000000-0005-0000-0000-00001A0B0000}"/>
    <cellStyle name="Currency 3 2 3 3 3 2" xfId="13493" xr:uid="{D2FD187F-9668-43A5-9CAD-B921F07F5FCE}"/>
    <cellStyle name="Currency 3 2 3 3 4" xfId="9275" xr:uid="{FB1548AB-0D3A-4953-9981-11B720E3B5F6}"/>
    <cellStyle name="Currency 3 2 3 4" xfId="1155" xr:uid="{00000000-0005-0000-0000-00001B0B0000}"/>
    <cellStyle name="Currency 3 2 3 4 2" xfId="3386" xr:uid="{00000000-0005-0000-0000-00001C0B0000}"/>
    <cellStyle name="Currency 3 2 3 4 2 2" xfId="7609" xr:uid="{00000000-0005-0000-0000-00001D0B0000}"/>
    <cellStyle name="Currency 3 2 3 4 2 2 2" xfId="16051" xr:uid="{03B5A35F-4940-47B6-940E-EAB137B72A4C}"/>
    <cellStyle name="Currency 3 2 3 4 2 3" xfId="11833" xr:uid="{FDF6E549-32D6-4B69-BC6D-E05951FB629D}"/>
    <cellStyle name="Currency 3 2 3 4 3" xfId="5464" xr:uid="{00000000-0005-0000-0000-00001E0B0000}"/>
    <cellStyle name="Currency 3 2 3 4 3 2" xfId="13906" xr:uid="{A152D0CA-9B95-4295-B7A8-4CBDDD7542AB}"/>
    <cellStyle name="Currency 3 2 3 4 4" xfId="9688" xr:uid="{6F8B142F-2DC0-428C-B6B4-540D6A42C7D4}"/>
    <cellStyle name="Currency 3 2 3 5" xfId="1569" xr:uid="{00000000-0005-0000-0000-00001F0B0000}"/>
    <cellStyle name="Currency 3 2 3 5 2" xfId="3799" xr:uid="{00000000-0005-0000-0000-0000200B0000}"/>
    <cellStyle name="Currency 3 2 3 5 2 2" xfId="8022" xr:uid="{00000000-0005-0000-0000-0000210B0000}"/>
    <cellStyle name="Currency 3 2 3 5 2 2 2" xfId="16464" xr:uid="{1CF37FF2-A647-4A39-9BE7-4FB019AEA113}"/>
    <cellStyle name="Currency 3 2 3 5 2 3" xfId="12246" xr:uid="{7ADB337E-8405-4270-A33E-A687FEEB43B9}"/>
    <cellStyle name="Currency 3 2 3 5 3" xfId="5877" xr:uid="{00000000-0005-0000-0000-0000220B0000}"/>
    <cellStyle name="Currency 3 2 3 5 3 2" xfId="14319" xr:uid="{74B070A5-7A18-4517-8B90-0BD7BFAE6832}"/>
    <cellStyle name="Currency 3 2 3 5 4" xfId="10101" xr:uid="{7496CD18-6856-4626-8188-D7413B920D8A}"/>
    <cellStyle name="Currency 3 2 3 6" xfId="1983" xr:uid="{00000000-0005-0000-0000-0000230B0000}"/>
    <cellStyle name="Currency 3 2 3 6 2" xfId="4212" xr:uid="{00000000-0005-0000-0000-0000240B0000}"/>
    <cellStyle name="Currency 3 2 3 6 2 2" xfId="8435" xr:uid="{00000000-0005-0000-0000-0000250B0000}"/>
    <cellStyle name="Currency 3 2 3 6 2 2 2" xfId="16877" xr:uid="{87138EFC-8052-41BE-BFBB-EC175F254819}"/>
    <cellStyle name="Currency 3 2 3 6 2 3" xfId="12659" xr:uid="{788C10C0-4F37-4395-AAB8-57AD89EB01B7}"/>
    <cellStyle name="Currency 3 2 3 6 3" xfId="6290" xr:uid="{00000000-0005-0000-0000-0000260B0000}"/>
    <cellStyle name="Currency 3 2 3 6 3 2" xfId="14732" xr:uid="{881CA5EA-2A19-4A16-A583-23AA7DF80C5F}"/>
    <cellStyle name="Currency 3 2 3 6 4" xfId="10514" xr:uid="{5D088005-5223-4695-B721-923A03B98937}"/>
    <cellStyle name="Currency 3 2 3 7" xfId="2418" xr:uid="{00000000-0005-0000-0000-0000270B0000}"/>
    <cellStyle name="Currency 3 2 3 7 2" xfId="6703" xr:uid="{00000000-0005-0000-0000-0000280B0000}"/>
    <cellStyle name="Currency 3 2 3 7 2 2" xfId="15145" xr:uid="{681DF93E-68B7-4079-A596-32806A392B60}"/>
    <cellStyle name="Currency 3 2 3 7 3" xfId="10927" xr:uid="{5EC16FAE-B945-4C41-AA93-621291186F9F}"/>
    <cellStyle name="Currency 3 2 3 8" xfId="2715" xr:uid="{00000000-0005-0000-0000-0000290B0000}"/>
    <cellStyle name="Currency 3 2 3 9" xfId="2796" xr:uid="{00000000-0005-0000-0000-00002A0B0000}"/>
    <cellStyle name="Currency 3 2 3 9 2" xfId="7020" xr:uid="{00000000-0005-0000-0000-00002B0B0000}"/>
    <cellStyle name="Currency 3 2 3 9 2 2" xfId="15462" xr:uid="{E0B7AA4D-8E2D-40D5-91FC-397C204A33D2}"/>
    <cellStyle name="Currency 3 2 3 9 3" xfId="11244" xr:uid="{CA998816-94B1-4676-A022-8C106B1B7BA1}"/>
    <cellStyle name="Currency 3 2 4" xfId="184" xr:uid="{00000000-0005-0000-0000-00002C0B0000}"/>
    <cellStyle name="Currency 3 2 4 10" xfId="8863" xr:uid="{F3A84BCD-AA34-486D-A99A-7E9E2FAB81B8}"/>
    <cellStyle name="Currency 3 2 4 2" xfId="714" xr:uid="{00000000-0005-0000-0000-00002D0B0000}"/>
    <cellStyle name="Currency 3 2 4 2 2" xfId="2975" xr:uid="{00000000-0005-0000-0000-00002E0B0000}"/>
    <cellStyle name="Currency 3 2 4 2 2 2" xfId="7198" xr:uid="{00000000-0005-0000-0000-00002F0B0000}"/>
    <cellStyle name="Currency 3 2 4 2 2 2 2" xfId="15640" xr:uid="{92E02111-7B02-4577-A313-67EE8E7B3A96}"/>
    <cellStyle name="Currency 3 2 4 2 2 3" xfId="11422" xr:uid="{5433AAF0-3464-4EFB-8897-993C30C2C910}"/>
    <cellStyle name="Currency 3 2 4 2 3" xfId="5053" xr:uid="{00000000-0005-0000-0000-0000300B0000}"/>
    <cellStyle name="Currency 3 2 4 2 3 2" xfId="13495" xr:uid="{E28DCB54-4DB0-4661-98BF-916DA185B9B1}"/>
    <cellStyle name="Currency 3 2 4 2 4" xfId="9277" xr:uid="{BC649D98-7909-48FB-984E-6E5D36210D68}"/>
    <cellStyle name="Currency 3 2 4 3" xfId="1157" xr:uid="{00000000-0005-0000-0000-0000310B0000}"/>
    <cellStyle name="Currency 3 2 4 3 2" xfId="3388" xr:uid="{00000000-0005-0000-0000-0000320B0000}"/>
    <cellStyle name="Currency 3 2 4 3 2 2" xfId="7611" xr:uid="{00000000-0005-0000-0000-0000330B0000}"/>
    <cellStyle name="Currency 3 2 4 3 2 2 2" xfId="16053" xr:uid="{313F4B61-95E8-4557-B7C3-F33420030637}"/>
    <cellStyle name="Currency 3 2 4 3 2 3" xfId="11835" xr:uid="{81A9BEB1-B600-4F92-A216-8402056C0707}"/>
    <cellStyle name="Currency 3 2 4 3 3" xfId="5466" xr:uid="{00000000-0005-0000-0000-0000340B0000}"/>
    <cellStyle name="Currency 3 2 4 3 3 2" xfId="13908" xr:uid="{EE869AE1-45C0-4817-BA96-260BD1497072}"/>
    <cellStyle name="Currency 3 2 4 3 4" xfId="9690" xr:uid="{35DE1BD2-C00B-4F05-97AF-6DD61DFE9E9C}"/>
    <cellStyle name="Currency 3 2 4 4" xfId="1571" xr:uid="{00000000-0005-0000-0000-0000350B0000}"/>
    <cellStyle name="Currency 3 2 4 4 2" xfId="3801" xr:uid="{00000000-0005-0000-0000-0000360B0000}"/>
    <cellStyle name="Currency 3 2 4 4 2 2" xfId="8024" xr:uid="{00000000-0005-0000-0000-0000370B0000}"/>
    <cellStyle name="Currency 3 2 4 4 2 2 2" xfId="16466" xr:uid="{A5175011-9DA9-4F93-AC4F-F8F670680EB7}"/>
    <cellStyle name="Currency 3 2 4 4 2 3" xfId="12248" xr:uid="{965CFA26-FA9F-4A36-B3BE-F62C25FC3EC2}"/>
    <cellStyle name="Currency 3 2 4 4 3" xfId="5879" xr:uid="{00000000-0005-0000-0000-0000380B0000}"/>
    <cellStyle name="Currency 3 2 4 4 3 2" xfId="14321" xr:uid="{404A4DE6-C56B-404F-9271-40B9C9F7A51B}"/>
    <cellStyle name="Currency 3 2 4 4 4" xfId="10103" xr:uid="{E3E8530B-2F93-416E-817C-D1267F994EC4}"/>
    <cellStyle name="Currency 3 2 4 5" xfId="1985" xr:uid="{00000000-0005-0000-0000-0000390B0000}"/>
    <cellStyle name="Currency 3 2 4 5 2" xfId="4214" xr:uid="{00000000-0005-0000-0000-00003A0B0000}"/>
    <cellStyle name="Currency 3 2 4 5 2 2" xfId="8437" xr:uid="{00000000-0005-0000-0000-00003B0B0000}"/>
    <cellStyle name="Currency 3 2 4 5 2 2 2" xfId="16879" xr:uid="{08E28344-BA3A-4567-B93C-6E572E8B3300}"/>
    <cellStyle name="Currency 3 2 4 5 2 3" xfId="12661" xr:uid="{BD7380E2-2CAF-481F-A421-5C1C7B435B47}"/>
    <cellStyle name="Currency 3 2 4 5 3" xfId="6292" xr:uid="{00000000-0005-0000-0000-00003C0B0000}"/>
    <cellStyle name="Currency 3 2 4 5 3 2" xfId="14734" xr:uid="{C2E40B3F-879A-4B5D-A87B-FC9CFAEFDC68}"/>
    <cellStyle name="Currency 3 2 4 5 4" xfId="10516" xr:uid="{4AB99FB5-AC6C-4A0C-9AFF-D61FBD9A9327}"/>
    <cellStyle name="Currency 3 2 4 6" xfId="2420" xr:uid="{00000000-0005-0000-0000-00003D0B0000}"/>
    <cellStyle name="Currency 3 2 4 6 2" xfId="6705" xr:uid="{00000000-0005-0000-0000-00003E0B0000}"/>
    <cellStyle name="Currency 3 2 4 6 2 2" xfId="15147" xr:uid="{EFDC5295-4DFF-4D46-B6A8-5971056DD8AC}"/>
    <cellStyle name="Currency 3 2 4 6 3" xfId="10929" xr:uid="{CC47E45F-32B7-478B-AD58-4528ED45DAB7}"/>
    <cellStyle name="Currency 3 2 4 7" xfId="2717" xr:uid="{00000000-0005-0000-0000-00003F0B0000}"/>
    <cellStyle name="Currency 3 2 4 8" xfId="2798" xr:uid="{00000000-0005-0000-0000-0000400B0000}"/>
    <cellStyle name="Currency 3 2 4 8 2" xfId="7022" xr:uid="{00000000-0005-0000-0000-0000410B0000}"/>
    <cellStyle name="Currency 3 2 4 8 2 2" xfId="15464" xr:uid="{C7E8E954-0492-43A2-84E0-97CD8D7715C7}"/>
    <cellStyle name="Currency 3 2 4 8 3" xfId="11246" xr:uid="{7BF83538-A1A8-4B38-AFEB-EC99D0A54FC6}"/>
    <cellStyle name="Currency 3 2 4 9" xfId="4639" xr:uid="{00000000-0005-0000-0000-0000420B0000}"/>
    <cellStyle name="Currency 3 2 4 9 2" xfId="13081" xr:uid="{A46A1D34-BE9F-4FD7-A5E4-E438F4D4EA2E}"/>
    <cellStyle name="Currency 3 2 5" xfId="185" xr:uid="{00000000-0005-0000-0000-0000430B0000}"/>
    <cellStyle name="Currency 3 2 5 10" xfId="8864" xr:uid="{0F18874B-1E26-4B54-925E-60530EA11AC9}"/>
    <cellStyle name="Currency 3 2 5 2" xfId="715" xr:uid="{00000000-0005-0000-0000-0000440B0000}"/>
    <cellStyle name="Currency 3 2 5 2 2" xfId="2976" xr:uid="{00000000-0005-0000-0000-0000450B0000}"/>
    <cellStyle name="Currency 3 2 5 2 2 2" xfId="7199" xr:uid="{00000000-0005-0000-0000-0000460B0000}"/>
    <cellStyle name="Currency 3 2 5 2 2 2 2" xfId="15641" xr:uid="{5E8C7859-61B0-4248-A81E-404DEEED13F6}"/>
    <cellStyle name="Currency 3 2 5 2 2 3" xfId="11423" xr:uid="{93FA703E-3163-4B94-8954-DE46DE7D3773}"/>
    <cellStyle name="Currency 3 2 5 2 3" xfId="5054" xr:uid="{00000000-0005-0000-0000-0000470B0000}"/>
    <cellStyle name="Currency 3 2 5 2 3 2" xfId="13496" xr:uid="{2EEE56D5-B18A-4BBF-BFB4-06211977CD45}"/>
    <cellStyle name="Currency 3 2 5 2 4" xfId="9278" xr:uid="{B0EE0897-353F-4374-B5ED-8EE13263EEEE}"/>
    <cellStyle name="Currency 3 2 5 3" xfId="1158" xr:uid="{00000000-0005-0000-0000-0000480B0000}"/>
    <cellStyle name="Currency 3 2 5 3 2" xfId="3389" xr:uid="{00000000-0005-0000-0000-0000490B0000}"/>
    <cellStyle name="Currency 3 2 5 3 2 2" xfId="7612" xr:uid="{00000000-0005-0000-0000-00004A0B0000}"/>
    <cellStyle name="Currency 3 2 5 3 2 2 2" xfId="16054" xr:uid="{F19DAF50-DB76-4B0D-BBA8-A54CBBF73054}"/>
    <cellStyle name="Currency 3 2 5 3 2 3" xfId="11836" xr:uid="{EEB5B14B-C92A-4B8C-BC1F-2264E22DF849}"/>
    <cellStyle name="Currency 3 2 5 3 3" xfId="5467" xr:uid="{00000000-0005-0000-0000-00004B0B0000}"/>
    <cellStyle name="Currency 3 2 5 3 3 2" xfId="13909" xr:uid="{5224C43E-5894-44C8-AF42-C0063312ECE0}"/>
    <cellStyle name="Currency 3 2 5 3 4" xfId="9691" xr:uid="{AAA16A2E-EB66-48AD-97C2-26EF3712A515}"/>
    <cellStyle name="Currency 3 2 5 4" xfId="1572" xr:uid="{00000000-0005-0000-0000-00004C0B0000}"/>
    <cellStyle name="Currency 3 2 5 4 2" xfId="3802" xr:uid="{00000000-0005-0000-0000-00004D0B0000}"/>
    <cellStyle name="Currency 3 2 5 4 2 2" xfId="8025" xr:uid="{00000000-0005-0000-0000-00004E0B0000}"/>
    <cellStyle name="Currency 3 2 5 4 2 2 2" xfId="16467" xr:uid="{A3E46712-0554-42A5-A722-9EFFE22127DE}"/>
    <cellStyle name="Currency 3 2 5 4 2 3" xfId="12249" xr:uid="{E8B7FA56-F15A-4C7D-8C20-12D3CB9BBBB9}"/>
    <cellStyle name="Currency 3 2 5 4 3" xfId="5880" xr:uid="{00000000-0005-0000-0000-00004F0B0000}"/>
    <cellStyle name="Currency 3 2 5 4 3 2" xfId="14322" xr:uid="{BE63DCE7-0122-4F84-9DBB-199C364097A8}"/>
    <cellStyle name="Currency 3 2 5 4 4" xfId="10104" xr:uid="{D4830631-58AC-43DF-8D48-FE45FF85BADF}"/>
    <cellStyle name="Currency 3 2 5 5" xfId="1986" xr:uid="{00000000-0005-0000-0000-0000500B0000}"/>
    <cellStyle name="Currency 3 2 5 5 2" xfId="4215" xr:uid="{00000000-0005-0000-0000-0000510B0000}"/>
    <cellStyle name="Currency 3 2 5 5 2 2" xfId="8438" xr:uid="{00000000-0005-0000-0000-0000520B0000}"/>
    <cellStyle name="Currency 3 2 5 5 2 2 2" xfId="16880" xr:uid="{688D6163-D4E0-423B-94F1-635158F77D44}"/>
    <cellStyle name="Currency 3 2 5 5 2 3" xfId="12662" xr:uid="{87F5BB35-D2B5-4E2D-975E-8AF0BDD44CC0}"/>
    <cellStyle name="Currency 3 2 5 5 3" xfId="6293" xr:uid="{00000000-0005-0000-0000-0000530B0000}"/>
    <cellStyle name="Currency 3 2 5 5 3 2" xfId="14735" xr:uid="{D0172154-012B-4348-A31A-B2E4403C4565}"/>
    <cellStyle name="Currency 3 2 5 5 4" xfId="10517" xr:uid="{42F9FEE9-1E1F-4483-BF59-DFB3D6545F63}"/>
    <cellStyle name="Currency 3 2 5 6" xfId="2421" xr:uid="{00000000-0005-0000-0000-0000540B0000}"/>
    <cellStyle name="Currency 3 2 5 6 2" xfId="6706" xr:uid="{00000000-0005-0000-0000-0000550B0000}"/>
    <cellStyle name="Currency 3 2 5 6 2 2" xfId="15148" xr:uid="{4C4DC51B-94C9-4CB7-9B9F-D2D9FAE92355}"/>
    <cellStyle name="Currency 3 2 5 6 3" xfId="10930" xr:uid="{7AAB263C-88D8-4A97-A51E-E218DDBAF8FF}"/>
    <cellStyle name="Currency 3 2 5 7" xfId="2718" xr:uid="{00000000-0005-0000-0000-0000560B0000}"/>
    <cellStyle name="Currency 3 2 5 8" xfId="2799" xr:uid="{00000000-0005-0000-0000-0000570B0000}"/>
    <cellStyle name="Currency 3 2 5 8 2" xfId="7023" xr:uid="{00000000-0005-0000-0000-0000580B0000}"/>
    <cellStyle name="Currency 3 2 5 8 2 2" xfId="15465" xr:uid="{CC2AC524-B040-4505-A8B5-4CB6811044B4}"/>
    <cellStyle name="Currency 3 2 5 8 3" xfId="11247" xr:uid="{D63456BA-6EC0-447B-B75D-7EC1815CC6C8}"/>
    <cellStyle name="Currency 3 2 5 9" xfId="4640" xr:uid="{00000000-0005-0000-0000-0000590B0000}"/>
    <cellStyle name="Currency 3 2 5 9 2" xfId="13082" xr:uid="{4B2E989F-86D7-4FD0-A244-A694FA80B47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0 2 2" xfId="15466" xr:uid="{C52BCA58-1319-4B91-BEC4-7958F8228AC1}"/>
    <cellStyle name="Currency 5 2 2 2 10 3" xfId="11248" xr:uid="{48E3097F-9A5B-4D09-A9C0-73AF96714D3E}"/>
    <cellStyle name="Currency 5 2 2 2 11" xfId="4641" xr:uid="{00000000-0005-0000-0000-00006C0B0000}"/>
    <cellStyle name="Currency 5 2 2 2 11 2" xfId="13083" xr:uid="{5B1D86F3-6CA6-4BCA-AF81-4F7AC57168C3}"/>
    <cellStyle name="Currency 5 2 2 2 12" xfId="8865" xr:uid="{289BC558-1409-4F15-8C79-465794C5ED4D}"/>
    <cellStyle name="Currency 5 2 2 2 2" xfId="197" xr:uid="{00000000-0005-0000-0000-00006D0B0000}"/>
    <cellStyle name="Currency 5 2 2 2 2 10" xfId="4642" xr:uid="{00000000-0005-0000-0000-00006E0B0000}"/>
    <cellStyle name="Currency 5 2 2 2 2 10 2" xfId="13084" xr:uid="{F054EE55-D8D2-49BA-8FAC-409F39FD59A8}"/>
    <cellStyle name="Currency 5 2 2 2 2 11" xfId="8866" xr:uid="{47D2E3EE-84A8-4C80-BAC5-F916DD5910ED}"/>
    <cellStyle name="Currency 5 2 2 2 2 2" xfId="198" xr:uid="{00000000-0005-0000-0000-00006F0B0000}"/>
    <cellStyle name="Currency 5 2 2 2 2 2 10" xfId="8867" xr:uid="{3A07A082-CF2E-484C-8B8E-2753435AC073}"/>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2 2 2" xfId="15644" xr:uid="{54FC3C1F-DFE0-41D5-A1B0-360F4A98C149}"/>
    <cellStyle name="Currency 5 2 2 2 2 2 2 2 3" xfId="11426" xr:uid="{7969DB5F-EECD-47BA-BA27-780E0A550FD8}"/>
    <cellStyle name="Currency 5 2 2 2 2 2 2 3" xfId="5057" xr:uid="{00000000-0005-0000-0000-0000730B0000}"/>
    <cellStyle name="Currency 5 2 2 2 2 2 2 3 2" xfId="13499" xr:uid="{7AA77162-2094-4B52-8CBE-703270FF5932}"/>
    <cellStyle name="Currency 5 2 2 2 2 2 2 4" xfId="9281" xr:uid="{B51B2E8C-DB42-40B2-B502-26A8600E4B11}"/>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2 2 2" xfId="16057" xr:uid="{71F6F890-5754-47FF-9C8B-67D6ACD2DDED}"/>
    <cellStyle name="Currency 5 2 2 2 2 2 3 2 3" xfId="11839" xr:uid="{FB9D548A-1FBC-4371-B9F0-0E0C27F306EE}"/>
    <cellStyle name="Currency 5 2 2 2 2 2 3 3" xfId="5470" xr:uid="{00000000-0005-0000-0000-0000770B0000}"/>
    <cellStyle name="Currency 5 2 2 2 2 2 3 3 2" xfId="13912" xr:uid="{37D5AFB8-4B85-4F53-B2BF-B46295B718FF}"/>
    <cellStyle name="Currency 5 2 2 2 2 2 3 4" xfId="9694" xr:uid="{7AC4C7C2-B915-4E6E-8100-32FD9AE0A25E}"/>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2 2 2" xfId="16470" xr:uid="{67A67255-E8C8-4ED8-8434-42B70CA6D0FF}"/>
    <cellStyle name="Currency 5 2 2 2 2 2 4 2 3" xfId="12252" xr:uid="{5AE84068-B30D-478D-BEA9-211B15EAB49E}"/>
    <cellStyle name="Currency 5 2 2 2 2 2 4 3" xfId="5883" xr:uid="{00000000-0005-0000-0000-00007B0B0000}"/>
    <cellStyle name="Currency 5 2 2 2 2 2 4 3 2" xfId="14325" xr:uid="{95E0F054-E9F9-4F36-BB2B-3280E64E765B}"/>
    <cellStyle name="Currency 5 2 2 2 2 2 4 4" xfId="10107" xr:uid="{600E1D0C-0674-42B7-B7BE-A31E4AFB4296}"/>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2 2 2" xfId="16883" xr:uid="{8097FBA3-ABCC-400F-AB7B-5084C02F3E93}"/>
    <cellStyle name="Currency 5 2 2 2 2 2 5 2 3" xfId="12665" xr:uid="{3EC27E67-D95E-408A-9068-14224C6C9DE9}"/>
    <cellStyle name="Currency 5 2 2 2 2 2 5 3" xfId="6296" xr:uid="{00000000-0005-0000-0000-00007F0B0000}"/>
    <cellStyle name="Currency 5 2 2 2 2 2 5 3 2" xfId="14738" xr:uid="{0296CF22-5065-4434-81F0-D0679AF32B15}"/>
    <cellStyle name="Currency 5 2 2 2 2 2 5 4" xfId="10520" xr:uid="{6D8A78D0-FC1E-48C5-9A90-FAE50BA5FD1F}"/>
    <cellStyle name="Currency 5 2 2 2 2 2 6" xfId="2424" xr:uid="{00000000-0005-0000-0000-0000800B0000}"/>
    <cellStyle name="Currency 5 2 2 2 2 2 6 2" xfId="6709" xr:uid="{00000000-0005-0000-0000-0000810B0000}"/>
    <cellStyle name="Currency 5 2 2 2 2 2 6 2 2" xfId="15151" xr:uid="{2449902E-5619-44DD-81A9-82A536E64EFF}"/>
    <cellStyle name="Currency 5 2 2 2 2 2 6 3" xfId="10933" xr:uid="{91D91215-BDFC-413B-BBCC-B4F94C492A8F}"/>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8 2 2" xfId="15468" xr:uid="{81637030-0081-46EE-A56D-E27B2BC4B20D}"/>
    <cellStyle name="Currency 5 2 2 2 2 2 8 3" xfId="11250" xr:uid="{1E42AC63-01CC-4EC9-AE4A-106B34246492}"/>
    <cellStyle name="Currency 5 2 2 2 2 2 9" xfId="4643" xr:uid="{00000000-0005-0000-0000-0000850B0000}"/>
    <cellStyle name="Currency 5 2 2 2 2 2 9 2" xfId="13085" xr:uid="{6A28443E-10B5-4D14-A377-343B0C44672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2 2 2" xfId="15643" xr:uid="{15B81EB1-BB5A-45DF-872B-AB02149EC5DC}"/>
    <cellStyle name="Currency 5 2 2 2 2 3 2 3" xfId="11425" xr:uid="{730C90A9-ECC2-4C01-969A-43F4D64BC42B}"/>
    <cellStyle name="Currency 5 2 2 2 2 3 3" xfId="5056" xr:uid="{00000000-0005-0000-0000-0000890B0000}"/>
    <cellStyle name="Currency 5 2 2 2 2 3 3 2" xfId="13498" xr:uid="{0FF250DE-4AF5-4DB2-8633-3745085251FC}"/>
    <cellStyle name="Currency 5 2 2 2 2 3 4" xfId="9280" xr:uid="{C6B1E78A-B65F-494B-B505-22222E923617}"/>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2 2 2" xfId="16056" xr:uid="{AF34CC76-2EFB-4AA5-885D-5B682B2BBEDA}"/>
    <cellStyle name="Currency 5 2 2 2 2 4 2 3" xfId="11838" xr:uid="{218BEAE3-1C43-4EC4-8342-DF3D0D601223}"/>
    <cellStyle name="Currency 5 2 2 2 2 4 3" xfId="5469" xr:uid="{00000000-0005-0000-0000-00008D0B0000}"/>
    <cellStyle name="Currency 5 2 2 2 2 4 3 2" xfId="13911" xr:uid="{6513DE35-5D24-4823-9A37-37D360108D0A}"/>
    <cellStyle name="Currency 5 2 2 2 2 4 4" xfId="9693" xr:uid="{C977F467-1D5E-4784-BBAD-42FB8D0925B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2 2 2" xfId="16469" xr:uid="{2B9F884B-B51B-4361-8513-3C7671C55611}"/>
    <cellStyle name="Currency 5 2 2 2 2 5 2 3" xfId="12251" xr:uid="{23414411-0E20-4F1C-B494-CE4D9E69A877}"/>
    <cellStyle name="Currency 5 2 2 2 2 5 3" xfId="5882" xr:uid="{00000000-0005-0000-0000-0000910B0000}"/>
    <cellStyle name="Currency 5 2 2 2 2 5 3 2" xfId="14324" xr:uid="{78A2D538-41B0-467E-A26E-C71880816A9B}"/>
    <cellStyle name="Currency 5 2 2 2 2 5 4" xfId="10106" xr:uid="{32C239E3-C6F8-4DC1-B264-F0335A9C9051}"/>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2 2 2" xfId="16882" xr:uid="{E687D733-DEE5-49FA-A472-623C2734CD0F}"/>
    <cellStyle name="Currency 5 2 2 2 2 6 2 3" xfId="12664" xr:uid="{14642064-EF25-4302-8CE9-BAD3BA79953A}"/>
    <cellStyle name="Currency 5 2 2 2 2 6 3" xfId="6295" xr:uid="{00000000-0005-0000-0000-0000950B0000}"/>
    <cellStyle name="Currency 5 2 2 2 2 6 3 2" xfId="14737" xr:uid="{CA0DE863-B940-4CCE-9394-449E1336C58B}"/>
    <cellStyle name="Currency 5 2 2 2 2 6 4" xfId="10519" xr:uid="{4480545A-141A-491D-8272-A6190B83842A}"/>
    <cellStyle name="Currency 5 2 2 2 2 7" xfId="2423" xr:uid="{00000000-0005-0000-0000-0000960B0000}"/>
    <cellStyle name="Currency 5 2 2 2 2 7 2" xfId="6708" xr:uid="{00000000-0005-0000-0000-0000970B0000}"/>
    <cellStyle name="Currency 5 2 2 2 2 7 2 2" xfId="15150" xr:uid="{005F9326-7CFF-481F-AF89-DBCF9C262CE7}"/>
    <cellStyle name="Currency 5 2 2 2 2 7 3" xfId="10932" xr:uid="{01887414-AEC8-4F1A-BA5F-645CF48D812C}"/>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2 9 2 2" xfId="15467" xr:uid="{83EC9CEF-F9B2-43BF-89E0-3A68F86C1207}"/>
    <cellStyle name="Currency 5 2 2 2 2 9 3" xfId="11249" xr:uid="{62BCD3FB-8835-4012-88B9-26CC74902174}"/>
    <cellStyle name="Currency 5 2 2 2 3" xfId="199" xr:uid="{00000000-0005-0000-0000-00009B0B0000}"/>
    <cellStyle name="Currency 5 2 2 2 3 10" xfId="8868" xr:uid="{028616DC-528C-4346-B0AC-8C4DAD718A2E}"/>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2 2 2" xfId="15645" xr:uid="{96565C35-F042-4885-86B2-5999F8A780B7}"/>
    <cellStyle name="Currency 5 2 2 2 3 2 2 3" xfId="11427" xr:uid="{CE5059BF-AF69-4D4D-A715-372BA4D0838C}"/>
    <cellStyle name="Currency 5 2 2 2 3 2 3" xfId="5058" xr:uid="{00000000-0005-0000-0000-00009F0B0000}"/>
    <cellStyle name="Currency 5 2 2 2 3 2 3 2" xfId="13500" xr:uid="{11167E4E-50AA-4456-83DF-E7DB64AB8B26}"/>
    <cellStyle name="Currency 5 2 2 2 3 2 4" xfId="9282" xr:uid="{6569BF0F-2F30-415F-8538-3E7CA8222DF2}"/>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2 2 2" xfId="16058" xr:uid="{7F4CD2F9-822D-45D2-9184-AE3F2DD76BC4}"/>
    <cellStyle name="Currency 5 2 2 2 3 3 2 3" xfId="11840" xr:uid="{2AB104EE-A020-4207-81AE-73E6AC63A483}"/>
    <cellStyle name="Currency 5 2 2 2 3 3 3" xfId="5471" xr:uid="{00000000-0005-0000-0000-0000A30B0000}"/>
    <cellStyle name="Currency 5 2 2 2 3 3 3 2" xfId="13913" xr:uid="{36056A1E-8E2F-4F63-9928-915685A43910}"/>
    <cellStyle name="Currency 5 2 2 2 3 3 4" xfId="9695" xr:uid="{1B6A04BF-82DB-4262-98AB-7EE0F37E4A1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2 2 2" xfId="16471" xr:uid="{343A88FF-7A31-4782-912D-947C570EF554}"/>
    <cellStyle name="Currency 5 2 2 2 3 4 2 3" xfId="12253" xr:uid="{38F3677C-2B25-4F0A-8039-A1D77E1B812D}"/>
    <cellStyle name="Currency 5 2 2 2 3 4 3" xfId="5884" xr:uid="{00000000-0005-0000-0000-0000A70B0000}"/>
    <cellStyle name="Currency 5 2 2 2 3 4 3 2" xfId="14326" xr:uid="{12B3F33F-3E09-4565-BB4A-04270E69BBDD}"/>
    <cellStyle name="Currency 5 2 2 2 3 4 4" xfId="10108" xr:uid="{3D10EE94-13B4-4E55-B386-E9627EF9E8DB}"/>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2 2 2" xfId="16884" xr:uid="{8346C44A-D79D-4A9A-BFE7-4B8B21E45E6B}"/>
    <cellStyle name="Currency 5 2 2 2 3 5 2 3" xfId="12666" xr:uid="{CC06F05E-CE25-491E-8B0B-A8FCF3B692C0}"/>
    <cellStyle name="Currency 5 2 2 2 3 5 3" xfId="6297" xr:uid="{00000000-0005-0000-0000-0000AB0B0000}"/>
    <cellStyle name="Currency 5 2 2 2 3 5 3 2" xfId="14739" xr:uid="{BFB465ED-DA2D-4223-927B-E07D4173FA83}"/>
    <cellStyle name="Currency 5 2 2 2 3 5 4" xfId="10521" xr:uid="{13FF90A8-04E7-4E57-87E8-56AFC1ED65DE}"/>
    <cellStyle name="Currency 5 2 2 2 3 6" xfId="2425" xr:uid="{00000000-0005-0000-0000-0000AC0B0000}"/>
    <cellStyle name="Currency 5 2 2 2 3 6 2" xfId="6710" xr:uid="{00000000-0005-0000-0000-0000AD0B0000}"/>
    <cellStyle name="Currency 5 2 2 2 3 6 2 2" xfId="15152" xr:uid="{930F812E-D0AB-426B-914B-640C50CD40ED}"/>
    <cellStyle name="Currency 5 2 2 2 3 6 3" xfId="10934" xr:uid="{40FDDD9A-5067-4865-838B-782721529BF9}"/>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8 2 2" xfId="15469" xr:uid="{8E8950D3-54D6-4A32-92E5-8C0421550DE0}"/>
    <cellStyle name="Currency 5 2 2 2 3 8 3" xfId="11251" xr:uid="{265DDF87-52A9-4372-AC72-55A9FB4BADC5}"/>
    <cellStyle name="Currency 5 2 2 2 3 9" xfId="4644" xr:uid="{00000000-0005-0000-0000-0000B10B0000}"/>
    <cellStyle name="Currency 5 2 2 2 3 9 2" xfId="13086" xr:uid="{26817819-A339-4D09-A7C7-EE9ED91BC56F}"/>
    <cellStyle name="Currency 5 2 2 2 4" xfId="723" xr:uid="{00000000-0005-0000-0000-0000B20B0000}"/>
    <cellStyle name="Currency 5 2 2 2 4 2" xfId="2977" xr:uid="{00000000-0005-0000-0000-0000B30B0000}"/>
    <cellStyle name="Currency 5 2 2 2 4 2 2" xfId="7200" xr:uid="{00000000-0005-0000-0000-0000B40B0000}"/>
    <cellStyle name="Currency 5 2 2 2 4 2 2 2" xfId="15642" xr:uid="{3CD4F01C-2FF4-4DCE-A879-2F3CCEFA2997}"/>
    <cellStyle name="Currency 5 2 2 2 4 2 3" xfId="11424" xr:uid="{0DD75408-A0C7-46A0-A0C6-BCE0C3706850}"/>
    <cellStyle name="Currency 5 2 2 2 4 3" xfId="5055" xr:uid="{00000000-0005-0000-0000-0000B50B0000}"/>
    <cellStyle name="Currency 5 2 2 2 4 3 2" xfId="13497" xr:uid="{FDDEA5E7-F96A-4466-834E-B8A1C368DF4A}"/>
    <cellStyle name="Currency 5 2 2 2 4 4" xfId="9279" xr:uid="{7E3973BD-A944-4602-8E3A-29607A9447F6}"/>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2 2 2" xfId="16055" xr:uid="{9B1615C0-41AF-4501-81E9-364329E64101}"/>
    <cellStyle name="Currency 5 2 2 2 5 2 3" xfId="11837" xr:uid="{596FA7B9-9149-4901-BBB4-8BD1AADB0E2F}"/>
    <cellStyle name="Currency 5 2 2 2 5 3" xfId="5468" xr:uid="{00000000-0005-0000-0000-0000B90B0000}"/>
    <cellStyle name="Currency 5 2 2 2 5 3 2" xfId="13910" xr:uid="{D006BF0B-90AB-49C3-B5CC-C39965AA7738}"/>
    <cellStyle name="Currency 5 2 2 2 5 4" xfId="9692" xr:uid="{4380BD8E-C360-49EF-8853-69302C9E74D6}"/>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2 2 2" xfId="16468" xr:uid="{CF98FAC6-9F51-4119-9810-CBECD671959C}"/>
    <cellStyle name="Currency 5 2 2 2 6 2 3" xfId="12250" xr:uid="{A6F56E1E-D49D-44E4-B7B4-B7997142CBF0}"/>
    <cellStyle name="Currency 5 2 2 2 6 3" xfId="5881" xr:uid="{00000000-0005-0000-0000-0000BD0B0000}"/>
    <cellStyle name="Currency 5 2 2 2 6 3 2" xfId="14323" xr:uid="{BBE05791-6C58-4195-A0CD-E531141E8C90}"/>
    <cellStyle name="Currency 5 2 2 2 6 4" xfId="10105" xr:uid="{14B4581F-1516-4671-A021-648A404CE532}"/>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2 2 2" xfId="16881" xr:uid="{6B63CC31-2846-4B41-B4BF-8503C90BA5B7}"/>
    <cellStyle name="Currency 5 2 2 2 7 2 3" xfId="12663" xr:uid="{1D0886D6-0A16-4CC3-A412-568C7EA62765}"/>
    <cellStyle name="Currency 5 2 2 2 7 3" xfId="6294" xr:uid="{00000000-0005-0000-0000-0000C10B0000}"/>
    <cellStyle name="Currency 5 2 2 2 7 3 2" xfId="14736" xr:uid="{3C14DBCB-7787-41CF-B156-F81746A31830}"/>
    <cellStyle name="Currency 5 2 2 2 7 4" xfId="10518" xr:uid="{36397E8E-52A7-4487-BD5D-53C5F66CA547}"/>
    <cellStyle name="Currency 5 2 2 2 8" xfId="2422" xr:uid="{00000000-0005-0000-0000-0000C20B0000}"/>
    <cellStyle name="Currency 5 2 2 2 8 2" xfId="6707" xr:uid="{00000000-0005-0000-0000-0000C30B0000}"/>
    <cellStyle name="Currency 5 2 2 2 8 2 2" xfId="15149" xr:uid="{12C7C320-8B33-40FC-9BF8-25FCEE3372FC}"/>
    <cellStyle name="Currency 5 2 2 2 8 3" xfId="10931" xr:uid="{0C06810A-F182-435A-9962-B19429BB5F1E}"/>
    <cellStyle name="Currency 5 2 2 2 9" xfId="2719" xr:uid="{00000000-0005-0000-0000-0000C40B0000}"/>
    <cellStyle name="Currency 5 2 2 3" xfId="200" xr:uid="{00000000-0005-0000-0000-0000C50B0000}"/>
    <cellStyle name="Currency 5 2 2 3 10" xfId="4645" xr:uid="{00000000-0005-0000-0000-0000C60B0000}"/>
    <cellStyle name="Currency 5 2 2 3 10 2" xfId="13087" xr:uid="{81F89029-7862-4CCF-9482-36048A31242C}"/>
    <cellStyle name="Currency 5 2 2 3 11" xfId="8869" xr:uid="{2B3CCC81-0F50-4EB9-B167-459E7BF2338C}"/>
    <cellStyle name="Currency 5 2 2 3 2" xfId="201" xr:uid="{00000000-0005-0000-0000-0000C70B0000}"/>
    <cellStyle name="Currency 5 2 2 3 2 10" xfId="8870" xr:uid="{D37AAA1F-A0FB-4C73-BAE7-9B04046B2D59}"/>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2 2 2" xfId="15647" xr:uid="{5EFC4C04-917F-4EB3-87B7-89A2DB09A651}"/>
    <cellStyle name="Currency 5 2 2 3 2 2 2 3" xfId="11429" xr:uid="{DE350C35-657E-417B-A8E5-68E4747736B9}"/>
    <cellStyle name="Currency 5 2 2 3 2 2 3" xfId="5060" xr:uid="{00000000-0005-0000-0000-0000CB0B0000}"/>
    <cellStyle name="Currency 5 2 2 3 2 2 3 2" xfId="13502" xr:uid="{D9CB1EFE-D57E-4BAC-9E8D-02FBBDBF2AD6}"/>
    <cellStyle name="Currency 5 2 2 3 2 2 4" xfId="9284" xr:uid="{A42BABF6-3550-415D-BBBA-DC06A780C788}"/>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2 2 2" xfId="16060" xr:uid="{309B4810-114B-462C-BBE4-9F7F5F4D3B45}"/>
    <cellStyle name="Currency 5 2 2 3 2 3 2 3" xfId="11842" xr:uid="{BE2AFF8F-524E-4B3A-8B9B-18C7666FA3C1}"/>
    <cellStyle name="Currency 5 2 2 3 2 3 3" xfId="5473" xr:uid="{00000000-0005-0000-0000-0000CF0B0000}"/>
    <cellStyle name="Currency 5 2 2 3 2 3 3 2" xfId="13915" xr:uid="{EA307CF3-19BF-487B-91AC-795DF8B422B7}"/>
    <cellStyle name="Currency 5 2 2 3 2 3 4" xfId="9697" xr:uid="{EDC1E942-83E8-4E87-BBD0-A348043CCC6B}"/>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2 2 2" xfId="16473" xr:uid="{92E8DC24-5E42-467A-930E-46F1F71CA948}"/>
    <cellStyle name="Currency 5 2 2 3 2 4 2 3" xfId="12255" xr:uid="{6A6BA129-2BD7-4B5B-9CB7-417447881D4C}"/>
    <cellStyle name="Currency 5 2 2 3 2 4 3" xfId="5886" xr:uid="{00000000-0005-0000-0000-0000D30B0000}"/>
    <cellStyle name="Currency 5 2 2 3 2 4 3 2" xfId="14328" xr:uid="{70B2E89C-F993-4F96-BB02-668C5F93F861}"/>
    <cellStyle name="Currency 5 2 2 3 2 4 4" xfId="10110" xr:uid="{22C7B894-868E-4A7A-B232-B9220BDE489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2 2 2" xfId="16886" xr:uid="{6487E6D2-48C3-4BD8-9D02-8C06FCAEC499}"/>
    <cellStyle name="Currency 5 2 2 3 2 5 2 3" xfId="12668" xr:uid="{A5EFFA18-7600-444D-854C-E5A29C32888E}"/>
    <cellStyle name="Currency 5 2 2 3 2 5 3" xfId="6299" xr:uid="{00000000-0005-0000-0000-0000D70B0000}"/>
    <cellStyle name="Currency 5 2 2 3 2 5 3 2" xfId="14741" xr:uid="{630F8D4E-D02F-4C4B-9650-F987A33082B8}"/>
    <cellStyle name="Currency 5 2 2 3 2 5 4" xfId="10523" xr:uid="{DEB66BEC-F391-4F13-8FEB-5AC1D8D2B2D8}"/>
    <cellStyle name="Currency 5 2 2 3 2 6" xfId="2427" xr:uid="{00000000-0005-0000-0000-0000D80B0000}"/>
    <cellStyle name="Currency 5 2 2 3 2 6 2" xfId="6712" xr:uid="{00000000-0005-0000-0000-0000D90B0000}"/>
    <cellStyle name="Currency 5 2 2 3 2 6 2 2" xfId="15154" xr:uid="{9A60C687-2606-4331-8940-EFDDDC8ED8BC}"/>
    <cellStyle name="Currency 5 2 2 3 2 6 3" xfId="10936" xr:uid="{04A7E78D-1FCB-4C69-AB10-992DB1714F27}"/>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8 2 2" xfId="15471" xr:uid="{F788C274-6D69-4932-83F6-E69B992C607D}"/>
    <cellStyle name="Currency 5 2 2 3 2 8 3" xfId="11253" xr:uid="{391720CB-8689-49E8-9CF4-977209B8AFA9}"/>
    <cellStyle name="Currency 5 2 2 3 2 9" xfId="4646" xr:uid="{00000000-0005-0000-0000-0000DD0B0000}"/>
    <cellStyle name="Currency 5 2 2 3 2 9 2" xfId="13088" xr:uid="{F067B3F2-887F-4BDA-AB23-412E738B98BA}"/>
    <cellStyle name="Currency 5 2 2 3 3" xfId="727" xr:uid="{00000000-0005-0000-0000-0000DE0B0000}"/>
    <cellStyle name="Currency 5 2 2 3 3 2" xfId="2981" xr:uid="{00000000-0005-0000-0000-0000DF0B0000}"/>
    <cellStyle name="Currency 5 2 2 3 3 2 2" xfId="7204" xr:uid="{00000000-0005-0000-0000-0000E00B0000}"/>
    <cellStyle name="Currency 5 2 2 3 3 2 2 2" xfId="15646" xr:uid="{5BEC240A-916B-4471-AD32-FE1A187EA2D5}"/>
    <cellStyle name="Currency 5 2 2 3 3 2 3" xfId="11428" xr:uid="{6CA907CD-3096-4628-B718-D1472B7BDB72}"/>
    <cellStyle name="Currency 5 2 2 3 3 3" xfId="5059" xr:uid="{00000000-0005-0000-0000-0000E10B0000}"/>
    <cellStyle name="Currency 5 2 2 3 3 3 2" xfId="13501" xr:uid="{6BA4DD9E-56A4-42AF-A6CA-417DF1940CA6}"/>
    <cellStyle name="Currency 5 2 2 3 3 4" xfId="9283" xr:uid="{E04C9DFE-BB08-4E95-B3E3-C97549729BA7}"/>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2 2 2" xfId="16059" xr:uid="{1F98E134-971C-4537-98B2-3F538BFB1507}"/>
    <cellStyle name="Currency 5 2 2 3 4 2 3" xfId="11841" xr:uid="{A7FBE91B-D6F3-4275-9F70-758F392EB397}"/>
    <cellStyle name="Currency 5 2 2 3 4 3" xfId="5472" xr:uid="{00000000-0005-0000-0000-0000E50B0000}"/>
    <cellStyle name="Currency 5 2 2 3 4 3 2" xfId="13914" xr:uid="{A765699C-2BC0-40F8-891D-D497E5A9093C}"/>
    <cellStyle name="Currency 5 2 2 3 4 4" xfId="9696" xr:uid="{A5A19E2C-C547-4C58-9C98-DD974C4F3331}"/>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2 2 2" xfId="16472" xr:uid="{54D00A4A-8500-4CD3-87FA-7194CC50A107}"/>
    <cellStyle name="Currency 5 2 2 3 5 2 3" xfId="12254" xr:uid="{C24D778B-B9E3-4F1A-B2A8-69DDF433C78C}"/>
    <cellStyle name="Currency 5 2 2 3 5 3" xfId="5885" xr:uid="{00000000-0005-0000-0000-0000E90B0000}"/>
    <cellStyle name="Currency 5 2 2 3 5 3 2" xfId="14327" xr:uid="{0EC75152-B0E7-4E9E-B368-CF6632F7CADD}"/>
    <cellStyle name="Currency 5 2 2 3 5 4" xfId="10109" xr:uid="{8132FD3A-8AA4-4BFA-B27F-420C7346441B}"/>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2 2 2" xfId="16885" xr:uid="{65772826-F86C-48A1-86BA-78B816DD6AE5}"/>
    <cellStyle name="Currency 5 2 2 3 6 2 3" xfId="12667" xr:uid="{C304253E-656A-4E2A-AA11-9AB8849E5245}"/>
    <cellStyle name="Currency 5 2 2 3 6 3" xfId="6298" xr:uid="{00000000-0005-0000-0000-0000ED0B0000}"/>
    <cellStyle name="Currency 5 2 2 3 6 3 2" xfId="14740" xr:uid="{BE5FF281-6C66-4BFA-8E4B-2B8F304797FD}"/>
    <cellStyle name="Currency 5 2 2 3 6 4" xfId="10522" xr:uid="{2CFEFA3E-96AD-4CC3-AC6E-EB1396586492}"/>
    <cellStyle name="Currency 5 2 2 3 7" xfId="2426" xr:uid="{00000000-0005-0000-0000-0000EE0B0000}"/>
    <cellStyle name="Currency 5 2 2 3 7 2" xfId="6711" xr:uid="{00000000-0005-0000-0000-0000EF0B0000}"/>
    <cellStyle name="Currency 5 2 2 3 7 2 2" xfId="15153" xr:uid="{7E3CBE09-8A30-4721-B3A8-4AB8281149C8}"/>
    <cellStyle name="Currency 5 2 2 3 7 3" xfId="10935" xr:uid="{AB7AFD2E-3E35-409D-86E3-8862D09AF862}"/>
    <cellStyle name="Currency 5 2 2 3 8" xfId="2723" xr:uid="{00000000-0005-0000-0000-0000F00B0000}"/>
    <cellStyle name="Currency 5 2 2 3 9" xfId="2804" xr:uid="{00000000-0005-0000-0000-0000F10B0000}"/>
    <cellStyle name="Currency 5 2 2 3 9 2" xfId="7028" xr:uid="{00000000-0005-0000-0000-0000F20B0000}"/>
    <cellStyle name="Currency 5 2 2 3 9 2 2" xfId="15470" xr:uid="{367DC263-EB36-4D23-8F56-FF2AF7755806}"/>
    <cellStyle name="Currency 5 2 2 3 9 3" xfId="11252" xr:uid="{E6515B07-8788-44AC-A1A3-36D0B27EE952}"/>
    <cellStyle name="Currency 5 2 2 4" xfId="202" xr:uid="{00000000-0005-0000-0000-0000F30B0000}"/>
    <cellStyle name="Currency 5 2 2 4 10" xfId="8871" xr:uid="{22765295-129B-402D-9E42-C27288D7D0D8}"/>
    <cellStyle name="Currency 5 2 2 4 2" xfId="729" xr:uid="{00000000-0005-0000-0000-0000F40B0000}"/>
    <cellStyle name="Currency 5 2 2 4 2 2" xfId="2983" xr:uid="{00000000-0005-0000-0000-0000F50B0000}"/>
    <cellStyle name="Currency 5 2 2 4 2 2 2" xfId="7206" xr:uid="{00000000-0005-0000-0000-0000F60B0000}"/>
    <cellStyle name="Currency 5 2 2 4 2 2 2 2" xfId="15648" xr:uid="{D1C826B7-2DE5-4B39-A531-E0634F5012A8}"/>
    <cellStyle name="Currency 5 2 2 4 2 2 3" xfId="11430" xr:uid="{953A16E9-2FBC-439A-9429-A72281382120}"/>
    <cellStyle name="Currency 5 2 2 4 2 3" xfId="5061" xr:uid="{00000000-0005-0000-0000-0000F70B0000}"/>
    <cellStyle name="Currency 5 2 2 4 2 3 2" xfId="13503" xr:uid="{CF574C7B-B523-4570-BCAD-8F3FF01361F9}"/>
    <cellStyle name="Currency 5 2 2 4 2 4" xfId="9285" xr:uid="{D8656889-1DEF-4BE1-9EB4-14728E2243FB}"/>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2 2 2" xfId="16061" xr:uid="{C95E33A3-7012-4496-A922-70158FBF789B}"/>
    <cellStyle name="Currency 5 2 2 4 3 2 3" xfId="11843" xr:uid="{86E23B0E-57EC-478A-BBEB-2C66D8C168E8}"/>
    <cellStyle name="Currency 5 2 2 4 3 3" xfId="5474" xr:uid="{00000000-0005-0000-0000-0000FB0B0000}"/>
    <cellStyle name="Currency 5 2 2 4 3 3 2" xfId="13916" xr:uid="{FD1D5F99-1465-47F9-85FE-1CFB218A7383}"/>
    <cellStyle name="Currency 5 2 2 4 3 4" xfId="9698" xr:uid="{0D21AB0B-6D29-49A2-938C-791F81A91EA7}"/>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2 2 2" xfId="16474" xr:uid="{D2243433-71FE-44D2-B786-9BB267E78ECC}"/>
    <cellStyle name="Currency 5 2 2 4 4 2 3" xfId="12256" xr:uid="{7879BBF6-D739-454D-966F-1E37BD9C5AFD}"/>
    <cellStyle name="Currency 5 2 2 4 4 3" xfId="5887" xr:uid="{00000000-0005-0000-0000-0000FF0B0000}"/>
    <cellStyle name="Currency 5 2 2 4 4 3 2" xfId="14329" xr:uid="{288CD7CA-B0ED-439D-8185-6FEEAE498267}"/>
    <cellStyle name="Currency 5 2 2 4 4 4" xfId="10111" xr:uid="{C835ED40-DF19-40CD-81E6-43C8D2287E41}"/>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2 2 2" xfId="16887" xr:uid="{C3714920-77C3-4A2A-A4AE-958E7702F777}"/>
    <cellStyle name="Currency 5 2 2 4 5 2 3" xfId="12669" xr:uid="{389AE760-96FB-4403-BB69-E73927657AAA}"/>
    <cellStyle name="Currency 5 2 2 4 5 3" xfId="6300" xr:uid="{00000000-0005-0000-0000-0000030C0000}"/>
    <cellStyle name="Currency 5 2 2 4 5 3 2" xfId="14742" xr:uid="{8CF86B6C-0913-4D78-A282-4A3313FEA972}"/>
    <cellStyle name="Currency 5 2 2 4 5 4" xfId="10524" xr:uid="{AC26D61C-A564-48AB-9EB8-B7FBE989F80A}"/>
    <cellStyle name="Currency 5 2 2 4 6" xfId="2428" xr:uid="{00000000-0005-0000-0000-0000040C0000}"/>
    <cellStyle name="Currency 5 2 2 4 6 2" xfId="6713" xr:uid="{00000000-0005-0000-0000-0000050C0000}"/>
    <cellStyle name="Currency 5 2 2 4 6 2 2" xfId="15155" xr:uid="{E6F738B3-4B73-453F-AE4B-E101F8E72F89}"/>
    <cellStyle name="Currency 5 2 2 4 6 3" xfId="10937" xr:uid="{40A3E397-0F87-4057-9FB3-05ECE547DE85}"/>
    <cellStyle name="Currency 5 2 2 4 7" xfId="2725" xr:uid="{00000000-0005-0000-0000-0000060C0000}"/>
    <cellStyle name="Currency 5 2 2 4 8" xfId="2806" xr:uid="{00000000-0005-0000-0000-0000070C0000}"/>
    <cellStyle name="Currency 5 2 2 4 8 2" xfId="7030" xr:uid="{00000000-0005-0000-0000-0000080C0000}"/>
    <cellStyle name="Currency 5 2 2 4 8 2 2" xfId="15472" xr:uid="{3C358A19-932C-45F6-A749-D0C836233B68}"/>
    <cellStyle name="Currency 5 2 2 4 8 3" xfId="11254" xr:uid="{3022A1E4-705B-4D23-A281-23BC078ADB5C}"/>
    <cellStyle name="Currency 5 2 2 4 9" xfId="4647" xr:uid="{00000000-0005-0000-0000-0000090C0000}"/>
    <cellStyle name="Currency 5 2 2 4 9 2" xfId="13089" xr:uid="{7F80D286-EAC5-467D-9DF5-5E8E1A78DE03}"/>
    <cellStyle name="Currency 5 2 2 5" xfId="203" xr:uid="{00000000-0005-0000-0000-00000A0C0000}"/>
    <cellStyle name="Currency 5 2 2 5 10" xfId="8872" xr:uid="{0ED6EB2D-001E-44EA-812F-F8B4430287A5}"/>
    <cellStyle name="Currency 5 2 2 5 2" xfId="730" xr:uid="{00000000-0005-0000-0000-00000B0C0000}"/>
    <cellStyle name="Currency 5 2 2 5 2 2" xfId="2984" xr:uid="{00000000-0005-0000-0000-00000C0C0000}"/>
    <cellStyle name="Currency 5 2 2 5 2 2 2" xfId="7207" xr:uid="{00000000-0005-0000-0000-00000D0C0000}"/>
    <cellStyle name="Currency 5 2 2 5 2 2 2 2" xfId="15649" xr:uid="{41583732-006A-438F-B7F2-FEFCE88BD390}"/>
    <cellStyle name="Currency 5 2 2 5 2 2 3" xfId="11431" xr:uid="{A9210FBC-5706-4A8D-86C8-A76B1C08A340}"/>
    <cellStyle name="Currency 5 2 2 5 2 3" xfId="5062" xr:uid="{00000000-0005-0000-0000-00000E0C0000}"/>
    <cellStyle name="Currency 5 2 2 5 2 3 2" xfId="13504" xr:uid="{CC78D64B-FC99-4285-B8EC-637485CC8ED0}"/>
    <cellStyle name="Currency 5 2 2 5 2 4" xfId="9286" xr:uid="{8DC7F9FE-BFFA-42A9-86B0-93F3F01361FC}"/>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2 2 2" xfId="16062" xr:uid="{90C40CDA-70D4-459F-8EE0-CA1411ACF2B5}"/>
    <cellStyle name="Currency 5 2 2 5 3 2 3" xfId="11844" xr:uid="{9AD195BE-212C-475C-9E88-DF460F44CEAE}"/>
    <cellStyle name="Currency 5 2 2 5 3 3" xfId="5475" xr:uid="{00000000-0005-0000-0000-0000120C0000}"/>
    <cellStyle name="Currency 5 2 2 5 3 3 2" xfId="13917" xr:uid="{DFF16CF4-9B28-4EBE-B1E2-09AE909E19A6}"/>
    <cellStyle name="Currency 5 2 2 5 3 4" xfId="9699" xr:uid="{178D2BF5-4F90-484B-B78B-F2CE9C7C4958}"/>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2 2 2" xfId="16475" xr:uid="{0E366736-0EB7-4524-A068-18796A259544}"/>
    <cellStyle name="Currency 5 2 2 5 4 2 3" xfId="12257" xr:uid="{B2BC9846-F6EB-4424-9EB8-8EE1C4BC185E}"/>
    <cellStyle name="Currency 5 2 2 5 4 3" xfId="5888" xr:uid="{00000000-0005-0000-0000-0000160C0000}"/>
    <cellStyle name="Currency 5 2 2 5 4 3 2" xfId="14330" xr:uid="{DE7717FA-7204-4272-8C93-0DEC92180F69}"/>
    <cellStyle name="Currency 5 2 2 5 4 4" xfId="10112" xr:uid="{C9401E46-FD3E-44B7-984B-08FD4178D91C}"/>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2 2 2" xfId="16888" xr:uid="{3A4DE851-9386-4047-ACCC-20C8FB9FCDD7}"/>
    <cellStyle name="Currency 5 2 2 5 5 2 3" xfId="12670" xr:uid="{E0D45F0E-48D3-4534-B72C-920FE43ECE49}"/>
    <cellStyle name="Currency 5 2 2 5 5 3" xfId="6301" xr:uid="{00000000-0005-0000-0000-00001A0C0000}"/>
    <cellStyle name="Currency 5 2 2 5 5 3 2" xfId="14743" xr:uid="{76B4B2DD-3A03-4051-BE60-9581E3C623B8}"/>
    <cellStyle name="Currency 5 2 2 5 5 4" xfId="10525" xr:uid="{91E0463A-D80C-4AA3-84FB-A1347A1F18C2}"/>
    <cellStyle name="Currency 5 2 2 5 6" xfId="2429" xr:uid="{00000000-0005-0000-0000-00001B0C0000}"/>
    <cellStyle name="Currency 5 2 2 5 6 2" xfId="6714" xr:uid="{00000000-0005-0000-0000-00001C0C0000}"/>
    <cellStyle name="Currency 5 2 2 5 6 2 2" xfId="15156" xr:uid="{C2CF4E8E-DBC6-4F70-B8F9-0748E62A3E8D}"/>
    <cellStyle name="Currency 5 2 2 5 6 3" xfId="10938" xr:uid="{8454EC32-EC76-4667-92AF-2272EE9D8BF5}"/>
    <cellStyle name="Currency 5 2 2 5 7" xfId="2726" xr:uid="{00000000-0005-0000-0000-00001D0C0000}"/>
    <cellStyle name="Currency 5 2 2 5 8" xfId="2807" xr:uid="{00000000-0005-0000-0000-00001E0C0000}"/>
    <cellStyle name="Currency 5 2 2 5 8 2" xfId="7031" xr:uid="{00000000-0005-0000-0000-00001F0C0000}"/>
    <cellStyle name="Currency 5 2 2 5 8 2 2" xfId="15473" xr:uid="{EF9441C5-CDE9-4A43-A44D-F2E95DD6DF76}"/>
    <cellStyle name="Currency 5 2 2 5 8 3" xfId="11255" xr:uid="{F62ACE6D-A60E-437C-B6F9-6CE39244ACDF}"/>
    <cellStyle name="Currency 5 2 2 5 9" xfId="4648" xr:uid="{00000000-0005-0000-0000-0000200C0000}"/>
    <cellStyle name="Currency 5 2 2 5 9 2" xfId="13090" xr:uid="{9CCA2364-3EF2-401E-B2B6-F16289379BCE}"/>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10 2" xfId="13091" xr:uid="{59B30E7D-4073-45A6-A7F0-65BA04C0BC1A}"/>
    <cellStyle name="Currency 5 2 4 11" xfId="8873" xr:uid="{3C0A7930-3DE0-4E91-A2D8-8E1251043D50}"/>
    <cellStyle name="Currency 5 2 4 2" xfId="206" xr:uid="{00000000-0005-0000-0000-0000250C0000}"/>
    <cellStyle name="Currency 5 2 4 2 10" xfId="8874" xr:uid="{5EB91C29-7317-4BB9-9221-FFB7FC43C06A}"/>
    <cellStyle name="Currency 5 2 4 2 2" xfId="733" xr:uid="{00000000-0005-0000-0000-0000260C0000}"/>
    <cellStyle name="Currency 5 2 4 2 2 2" xfId="2986" xr:uid="{00000000-0005-0000-0000-0000270C0000}"/>
    <cellStyle name="Currency 5 2 4 2 2 2 2" xfId="7209" xr:uid="{00000000-0005-0000-0000-0000280C0000}"/>
    <cellStyle name="Currency 5 2 4 2 2 2 2 2" xfId="15651" xr:uid="{570D4E60-E11F-43F5-878D-8177FBD78B21}"/>
    <cellStyle name="Currency 5 2 4 2 2 2 3" xfId="11433" xr:uid="{C826C21E-8FBF-4DAA-884B-80789A38DC8B}"/>
    <cellStyle name="Currency 5 2 4 2 2 3" xfId="5064" xr:uid="{00000000-0005-0000-0000-0000290C0000}"/>
    <cellStyle name="Currency 5 2 4 2 2 3 2" xfId="13506" xr:uid="{A520DF25-2F59-492A-94DF-3ABB2C2595C7}"/>
    <cellStyle name="Currency 5 2 4 2 2 4" xfId="9288" xr:uid="{911172E6-04EC-4DE2-9131-3A57084E52D9}"/>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2 2 2" xfId="16064" xr:uid="{6083ED94-A00A-49A2-B84C-06D4D233B143}"/>
    <cellStyle name="Currency 5 2 4 2 3 2 3" xfId="11846" xr:uid="{AE41A16C-1C45-4BAB-854B-CB4D0EE049B0}"/>
    <cellStyle name="Currency 5 2 4 2 3 3" xfId="5477" xr:uid="{00000000-0005-0000-0000-00002D0C0000}"/>
    <cellStyle name="Currency 5 2 4 2 3 3 2" xfId="13919" xr:uid="{02BF6226-F6A3-4A5E-8A5D-3A3C1FC423AB}"/>
    <cellStyle name="Currency 5 2 4 2 3 4" xfId="9701" xr:uid="{051A99FD-A5FA-4CFF-9F25-314A6C030C87}"/>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2 2 2" xfId="16477" xr:uid="{4DAAB21A-2023-48AC-8CFA-DF83E72CB7B2}"/>
    <cellStyle name="Currency 5 2 4 2 4 2 3" xfId="12259" xr:uid="{EE5E480B-E038-41ED-B6FF-79917320F971}"/>
    <cellStyle name="Currency 5 2 4 2 4 3" xfId="5890" xr:uid="{00000000-0005-0000-0000-0000310C0000}"/>
    <cellStyle name="Currency 5 2 4 2 4 3 2" xfId="14332" xr:uid="{9AE4BBA6-B83F-46AB-8DA2-E94FD66031A0}"/>
    <cellStyle name="Currency 5 2 4 2 4 4" xfId="10114" xr:uid="{C088EE0F-D317-4885-A71B-D7262AC9977E}"/>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2 2 2" xfId="16890" xr:uid="{ACD6A76A-B78C-46A5-8A56-54004C267D20}"/>
    <cellStyle name="Currency 5 2 4 2 5 2 3" xfId="12672" xr:uid="{62ACC851-5664-4775-8AC6-37066D4DA6C7}"/>
    <cellStyle name="Currency 5 2 4 2 5 3" xfId="6303" xr:uid="{00000000-0005-0000-0000-0000350C0000}"/>
    <cellStyle name="Currency 5 2 4 2 5 3 2" xfId="14745" xr:uid="{82FDB12D-CDAB-400B-B838-2C3FAA0DB86A}"/>
    <cellStyle name="Currency 5 2 4 2 5 4" xfId="10527" xr:uid="{3D8675F1-E204-4821-B99D-97E4AA5A5A23}"/>
    <cellStyle name="Currency 5 2 4 2 6" xfId="2431" xr:uid="{00000000-0005-0000-0000-0000360C0000}"/>
    <cellStyle name="Currency 5 2 4 2 6 2" xfId="6716" xr:uid="{00000000-0005-0000-0000-0000370C0000}"/>
    <cellStyle name="Currency 5 2 4 2 6 2 2" xfId="15158" xr:uid="{83940F46-22D9-4E13-B942-C516FE57F959}"/>
    <cellStyle name="Currency 5 2 4 2 6 3" xfId="10940" xr:uid="{BD62378A-BDA4-4D71-8695-C38181F46350}"/>
    <cellStyle name="Currency 5 2 4 2 7" xfId="2728" xr:uid="{00000000-0005-0000-0000-0000380C0000}"/>
    <cellStyle name="Currency 5 2 4 2 8" xfId="2809" xr:uid="{00000000-0005-0000-0000-0000390C0000}"/>
    <cellStyle name="Currency 5 2 4 2 8 2" xfId="7033" xr:uid="{00000000-0005-0000-0000-00003A0C0000}"/>
    <cellStyle name="Currency 5 2 4 2 8 2 2" xfId="15475" xr:uid="{58D79817-9F21-4967-8EA8-06A42DF67087}"/>
    <cellStyle name="Currency 5 2 4 2 8 3" xfId="11257" xr:uid="{99D37D18-3D08-4BDA-9825-A58C0F8CC91D}"/>
    <cellStyle name="Currency 5 2 4 2 9" xfId="4650" xr:uid="{00000000-0005-0000-0000-00003B0C0000}"/>
    <cellStyle name="Currency 5 2 4 2 9 2" xfId="13092" xr:uid="{5CF2C6FC-6668-467D-9E67-BF718004D2D8}"/>
    <cellStyle name="Currency 5 2 4 3" xfId="732" xr:uid="{00000000-0005-0000-0000-00003C0C0000}"/>
    <cellStyle name="Currency 5 2 4 3 2" xfId="2985" xr:uid="{00000000-0005-0000-0000-00003D0C0000}"/>
    <cellStyle name="Currency 5 2 4 3 2 2" xfId="7208" xr:uid="{00000000-0005-0000-0000-00003E0C0000}"/>
    <cellStyle name="Currency 5 2 4 3 2 2 2" xfId="15650" xr:uid="{674CDB43-80D1-4B79-935C-1DCD3A980198}"/>
    <cellStyle name="Currency 5 2 4 3 2 3" xfId="11432" xr:uid="{7A4D91DC-40CB-497F-8E36-BB39ED679D9D}"/>
    <cellStyle name="Currency 5 2 4 3 3" xfId="5063" xr:uid="{00000000-0005-0000-0000-00003F0C0000}"/>
    <cellStyle name="Currency 5 2 4 3 3 2" xfId="13505" xr:uid="{CA9EDDF9-D8EA-4650-B6B6-878D175A22FB}"/>
    <cellStyle name="Currency 5 2 4 3 4" xfId="9287" xr:uid="{D43FD409-0CBE-4515-A35F-B25FB44F3F32}"/>
    <cellStyle name="Currency 5 2 4 4" xfId="1167" xr:uid="{00000000-0005-0000-0000-0000400C0000}"/>
    <cellStyle name="Currency 5 2 4 4 2" xfId="3398" xr:uid="{00000000-0005-0000-0000-0000410C0000}"/>
    <cellStyle name="Currency 5 2 4 4 2 2" xfId="7621" xr:uid="{00000000-0005-0000-0000-0000420C0000}"/>
    <cellStyle name="Currency 5 2 4 4 2 2 2" xfId="16063" xr:uid="{7EA05FF3-C16B-4516-9B48-D5CB4D6B66D4}"/>
    <cellStyle name="Currency 5 2 4 4 2 3" xfId="11845" xr:uid="{991CC564-50BD-4526-888B-DF81495B440A}"/>
    <cellStyle name="Currency 5 2 4 4 3" xfId="5476" xr:uid="{00000000-0005-0000-0000-0000430C0000}"/>
    <cellStyle name="Currency 5 2 4 4 3 2" xfId="13918" xr:uid="{386BD031-1D8F-40B4-891D-A1EB303F4407}"/>
    <cellStyle name="Currency 5 2 4 4 4" xfId="9700" xr:uid="{39D60175-F20A-49F0-85FA-FF494E63E545}"/>
    <cellStyle name="Currency 5 2 4 5" xfId="1581" xr:uid="{00000000-0005-0000-0000-0000440C0000}"/>
    <cellStyle name="Currency 5 2 4 5 2" xfId="3811" xr:uid="{00000000-0005-0000-0000-0000450C0000}"/>
    <cellStyle name="Currency 5 2 4 5 2 2" xfId="8034" xr:uid="{00000000-0005-0000-0000-0000460C0000}"/>
    <cellStyle name="Currency 5 2 4 5 2 2 2" xfId="16476" xr:uid="{F472B0A3-1BFC-44D6-BCDA-08781FD57E91}"/>
    <cellStyle name="Currency 5 2 4 5 2 3" xfId="12258" xr:uid="{4B2212CF-7162-41B8-8D4E-BFD94FF65F82}"/>
    <cellStyle name="Currency 5 2 4 5 3" xfId="5889" xr:uid="{00000000-0005-0000-0000-0000470C0000}"/>
    <cellStyle name="Currency 5 2 4 5 3 2" xfId="14331" xr:uid="{8FEEA708-63B6-4CF5-9E2A-6EEE1290DEB2}"/>
    <cellStyle name="Currency 5 2 4 5 4" xfId="10113" xr:uid="{BA6F5884-6751-44CF-B1C4-DFA3985CAE9A}"/>
    <cellStyle name="Currency 5 2 4 6" xfId="1995" xr:uid="{00000000-0005-0000-0000-0000480C0000}"/>
    <cellStyle name="Currency 5 2 4 6 2" xfId="4224" xr:uid="{00000000-0005-0000-0000-0000490C0000}"/>
    <cellStyle name="Currency 5 2 4 6 2 2" xfId="8447" xr:uid="{00000000-0005-0000-0000-00004A0C0000}"/>
    <cellStyle name="Currency 5 2 4 6 2 2 2" xfId="16889" xr:uid="{DAD38564-F44E-4BCA-950A-7002AF2E376E}"/>
    <cellStyle name="Currency 5 2 4 6 2 3" xfId="12671" xr:uid="{8C63DD25-0269-457A-BFBE-21912A487402}"/>
    <cellStyle name="Currency 5 2 4 6 3" xfId="6302" xr:uid="{00000000-0005-0000-0000-00004B0C0000}"/>
    <cellStyle name="Currency 5 2 4 6 3 2" xfId="14744" xr:uid="{EAE334B2-9774-4E56-B9EB-5FC72648856A}"/>
    <cellStyle name="Currency 5 2 4 6 4" xfId="10526" xr:uid="{A82DD07D-86D1-489E-B1BB-AC52303F4F92}"/>
    <cellStyle name="Currency 5 2 4 7" xfId="2430" xr:uid="{00000000-0005-0000-0000-00004C0C0000}"/>
    <cellStyle name="Currency 5 2 4 7 2" xfId="6715" xr:uid="{00000000-0005-0000-0000-00004D0C0000}"/>
    <cellStyle name="Currency 5 2 4 7 2 2" xfId="15157" xr:uid="{99DB6FBA-91C0-4228-B054-ED297665DE3B}"/>
    <cellStyle name="Currency 5 2 4 7 3" xfId="10939" xr:uid="{290B7D3C-B042-4F31-A1B7-F2988E2985D6}"/>
    <cellStyle name="Currency 5 2 4 8" xfId="2727" xr:uid="{00000000-0005-0000-0000-00004E0C0000}"/>
    <cellStyle name="Currency 5 2 4 9" xfId="2808" xr:uid="{00000000-0005-0000-0000-00004F0C0000}"/>
    <cellStyle name="Currency 5 2 4 9 2" xfId="7032" xr:uid="{00000000-0005-0000-0000-0000500C0000}"/>
    <cellStyle name="Currency 5 2 4 9 2 2" xfId="15474" xr:uid="{CE96D7E1-816A-43FD-890D-AEF94B628CF5}"/>
    <cellStyle name="Currency 5 2 4 9 3" xfId="11256" xr:uid="{8D3310F9-6DFD-4DE9-8D4F-F736963994C4}"/>
    <cellStyle name="Currency 5 2 5" xfId="207" xr:uid="{00000000-0005-0000-0000-0000510C0000}"/>
    <cellStyle name="Currency 5 2 5 10" xfId="8875" xr:uid="{926D4A54-6A3F-401B-BE4C-7101014B4B72}"/>
    <cellStyle name="Currency 5 2 5 2" xfId="734" xr:uid="{00000000-0005-0000-0000-0000520C0000}"/>
    <cellStyle name="Currency 5 2 5 2 2" xfId="2987" xr:uid="{00000000-0005-0000-0000-0000530C0000}"/>
    <cellStyle name="Currency 5 2 5 2 2 2" xfId="7210" xr:uid="{00000000-0005-0000-0000-0000540C0000}"/>
    <cellStyle name="Currency 5 2 5 2 2 2 2" xfId="15652" xr:uid="{DBC68A37-C559-4EEF-97EB-EC54A6D19808}"/>
    <cellStyle name="Currency 5 2 5 2 2 3" xfId="11434" xr:uid="{3859A631-0980-40A4-9D58-09FF13ADCDA4}"/>
    <cellStyle name="Currency 5 2 5 2 3" xfId="5065" xr:uid="{00000000-0005-0000-0000-0000550C0000}"/>
    <cellStyle name="Currency 5 2 5 2 3 2" xfId="13507" xr:uid="{821529BF-7F9D-4F6F-95AD-15562B608E98}"/>
    <cellStyle name="Currency 5 2 5 2 4" xfId="9289" xr:uid="{17646C0D-9CA0-4209-9A63-C27FE5632927}"/>
    <cellStyle name="Currency 5 2 5 3" xfId="1169" xr:uid="{00000000-0005-0000-0000-0000560C0000}"/>
    <cellStyle name="Currency 5 2 5 3 2" xfId="3400" xr:uid="{00000000-0005-0000-0000-0000570C0000}"/>
    <cellStyle name="Currency 5 2 5 3 2 2" xfId="7623" xr:uid="{00000000-0005-0000-0000-0000580C0000}"/>
    <cellStyle name="Currency 5 2 5 3 2 2 2" xfId="16065" xr:uid="{B8BA7BAE-A6C7-4AE8-A225-5E2D70120A97}"/>
    <cellStyle name="Currency 5 2 5 3 2 3" xfId="11847" xr:uid="{D4FB2461-2F95-47A3-856E-5B5A1E492AA9}"/>
    <cellStyle name="Currency 5 2 5 3 3" xfId="5478" xr:uid="{00000000-0005-0000-0000-0000590C0000}"/>
    <cellStyle name="Currency 5 2 5 3 3 2" xfId="13920" xr:uid="{7F47EFE1-E611-40F5-A65A-69D460F90AAF}"/>
    <cellStyle name="Currency 5 2 5 3 4" xfId="9702" xr:uid="{DCF731F9-64E1-4DC2-9DF6-0D7F1ACB4EBD}"/>
    <cellStyle name="Currency 5 2 5 4" xfId="1583" xr:uid="{00000000-0005-0000-0000-00005A0C0000}"/>
    <cellStyle name="Currency 5 2 5 4 2" xfId="3813" xr:uid="{00000000-0005-0000-0000-00005B0C0000}"/>
    <cellStyle name="Currency 5 2 5 4 2 2" xfId="8036" xr:uid="{00000000-0005-0000-0000-00005C0C0000}"/>
    <cellStyle name="Currency 5 2 5 4 2 2 2" xfId="16478" xr:uid="{68159919-B2F8-47C8-A2AB-3670D86CEB65}"/>
    <cellStyle name="Currency 5 2 5 4 2 3" xfId="12260" xr:uid="{4E0FEE16-C16D-4507-9E15-4588ADA41F96}"/>
    <cellStyle name="Currency 5 2 5 4 3" xfId="5891" xr:uid="{00000000-0005-0000-0000-00005D0C0000}"/>
    <cellStyle name="Currency 5 2 5 4 3 2" xfId="14333" xr:uid="{03D8F8EE-A499-4F6D-8B35-D1AD4006722F}"/>
    <cellStyle name="Currency 5 2 5 4 4" xfId="10115" xr:uid="{16CDD441-0DCE-4268-86D7-7585300FB84C}"/>
    <cellStyle name="Currency 5 2 5 5" xfId="1997" xr:uid="{00000000-0005-0000-0000-00005E0C0000}"/>
    <cellStyle name="Currency 5 2 5 5 2" xfId="4226" xr:uid="{00000000-0005-0000-0000-00005F0C0000}"/>
    <cellStyle name="Currency 5 2 5 5 2 2" xfId="8449" xr:uid="{00000000-0005-0000-0000-0000600C0000}"/>
    <cellStyle name="Currency 5 2 5 5 2 2 2" xfId="16891" xr:uid="{31105CAA-D02D-450C-A5D7-C6BA7E30CBDF}"/>
    <cellStyle name="Currency 5 2 5 5 2 3" xfId="12673" xr:uid="{88BA1A9E-54A1-4A94-8DC1-79C966272E03}"/>
    <cellStyle name="Currency 5 2 5 5 3" xfId="6304" xr:uid="{00000000-0005-0000-0000-0000610C0000}"/>
    <cellStyle name="Currency 5 2 5 5 3 2" xfId="14746" xr:uid="{CC5DEE59-5117-4EC3-B85A-3C0CF02A5FFB}"/>
    <cellStyle name="Currency 5 2 5 5 4" xfId="10528" xr:uid="{B786394B-CDD3-4D7D-8B7C-C4B03026FDCA}"/>
    <cellStyle name="Currency 5 2 5 6" xfId="2432" xr:uid="{00000000-0005-0000-0000-0000620C0000}"/>
    <cellStyle name="Currency 5 2 5 6 2" xfId="6717" xr:uid="{00000000-0005-0000-0000-0000630C0000}"/>
    <cellStyle name="Currency 5 2 5 6 2 2" xfId="15159" xr:uid="{C9B5203F-9F17-4482-B099-C0BBFBE2E081}"/>
    <cellStyle name="Currency 5 2 5 6 3" xfId="10941" xr:uid="{EF5E8A4E-E73D-4E8E-AA0D-B27396DCF36A}"/>
    <cellStyle name="Currency 5 2 5 7" xfId="2729" xr:uid="{00000000-0005-0000-0000-0000640C0000}"/>
    <cellStyle name="Currency 5 2 5 8" xfId="2810" xr:uid="{00000000-0005-0000-0000-0000650C0000}"/>
    <cellStyle name="Currency 5 2 5 8 2" xfId="7034" xr:uid="{00000000-0005-0000-0000-0000660C0000}"/>
    <cellStyle name="Currency 5 2 5 8 2 2" xfId="15476" xr:uid="{31821B42-7F57-4F17-94FF-FFC7005DC608}"/>
    <cellStyle name="Currency 5 2 5 8 3" xfId="11258" xr:uid="{FBD485F3-AEE2-48D8-BF6C-5AC632E65743}"/>
    <cellStyle name="Currency 5 2 5 9" xfId="4651" xr:uid="{00000000-0005-0000-0000-0000670C0000}"/>
    <cellStyle name="Currency 5 2 5 9 2" xfId="13093" xr:uid="{948371DA-30B4-4369-A41F-6B45459BA317}"/>
    <cellStyle name="Currency 5 2 6" xfId="208" xr:uid="{00000000-0005-0000-0000-0000680C0000}"/>
    <cellStyle name="Currency 5 2 6 10" xfId="8876" xr:uid="{3788F12B-000F-4652-9BE8-79C492E98A02}"/>
    <cellStyle name="Currency 5 2 6 2" xfId="735" xr:uid="{00000000-0005-0000-0000-0000690C0000}"/>
    <cellStyle name="Currency 5 2 6 2 2" xfId="2988" xr:uid="{00000000-0005-0000-0000-00006A0C0000}"/>
    <cellStyle name="Currency 5 2 6 2 2 2" xfId="7211" xr:uid="{00000000-0005-0000-0000-00006B0C0000}"/>
    <cellStyle name="Currency 5 2 6 2 2 2 2" xfId="15653" xr:uid="{5AF5E19B-5CE8-423A-990C-6D7199AE75B8}"/>
    <cellStyle name="Currency 5 2 6 2 2 3" xfId="11435" xr:uid="{1051E241-DE85-4115-8605-5EEA7862B72D}"/>
    <cellStyle name="Currency 5 2 6 2 3" xfId="5066" xr:uid="{00000000-0005-0000-0000-00006C0C0000}"/>
    <cellStyle name="Currency 5 2 6 2 3 2" xfId="13508" xr:uid="{966BA01D-5CD2-4852-B3F4-8ECE1DB202B7}"/>
    <cellStyle name="Currency 5 2 6 2 4" xfId="9290" xr:uid="{1053D903-3E78-401B-93C5-854C54BE0029}"/>
    <cellStyle name="Currency 5 2 6 3" xfId="1170" xr:uid="{00000000-0005-0000-0000-00006D0C0000}"/>
    <cellStyle name="Currency 5 2 6 3 2" xfId="3401" xr:uid="{00000000-0005-0000-0000-00006E0C0000}"/>
    <cellStyle name="Currency 5 2 6 3 2 2" xfId="7624" xr:uid="{00000000-0005-0000-0000-00006F0C0000}"/>
    <cellStyle name="Currency 5 2 6 3 2 2 2" xfId="16066" xr:uid="{5A152708-9F04-4EAF-A679-A6D6696372A0}"/>
    <cellStyle name="Currency 5 2 6 3 2 3" xfId="11848" xr:uid="{FF301BC4-B4E7-45E3-95CA-0842CE7548FC}"/>
    <cellStyle name="Currency 5 2 6 3 3" xfId="5479" xr:uid="{00000000-0005-0000-0000-0000700C0000}"/>
    <cellStyle name="Currency 5 2 6 3 3 2" xfId="13921" xr:uid="{02AF8E4A-A53F-4118-ACAA-CF12FAE8CD91}"/>
    <cellStyle name="Currency 5 2 6 3 4" xfId="9703" xr:uid="{4C523EF2-62FF-4C52-A610-C19A966C4249}"/>
    <cellStyle name="Currency 5 2 6 4" xfId="1584" xr:uid="{00000000-0005-0000-0000-0000710C0000}"/>
    <cellStyle name="Currency 5 2 6 4 2" xfId="3814" xr:uid="{00000000-0005-0000-0000-0000720C0000}"/>
    <cellStyle name="Currency 5 2 6 4 2 2" xfId="8037" xr:uid="{00000000-0005-0000-0000-0000730C0000}"/>
    <cellStyle name="Currency 5 2 6 4 2 2 2" xfId="16479" xr:uid="{EB3D6AE4-E32C-4623-A2AB-5AC6EEDA0070}"/>
    <cellStyle name="Currency 5 2 6 4 2 3" xfId="12261" xr:uid="{7F125FDC-CA1C-4C2F-9F70-FD0ED7E0F17B}"/>
    <cellStyle name="Currency 5 2 6 4 3" xfId="5892" xr:uid="{00000000-0005-0000-0000-0000740C0000}"/>
    <cellStyle name="Currency 5 2 6 4 3 2" xfId="14334" xr:uid="{08EB0A9F-517B-4C92-91D7-4D9DC623D681}"/>
    <cellStyle name="Currency 5 2 6 4 4" xfId="10116" xr:uid="{6DFBA5D4-F1DB-4414-9C7F-B21D4A824024}"/>
    <cellStyle name="Currency 5 2 6 5" xfId="1998" xr:uid="{00000000-0005-0000-0000-0000750C0000}"/>
    <cellStyle name="Currency 5 2 6 5 2" xfId="4227" xr:uid="{00000000-0005-0000-0000-0000760C0000}"/>
    <cellStyle name="Currency 5 2 6 5 2 2" xfId="8450" xr:uid="{00000000-0005-0000-0000-0000770C0000}"/>
    <cellStyle name="Currency 5 2 6 5 2 2 2" xfId="16892" xr:uid="{877743B1-E5F8-4D3B-A4B3-4B0544A247F9}"/>
    <cellStyle name="Currency 5 2 6 5 2 3" xfId="12674" xr:uid="{D01A2294-3560-481E-9403-4406B3E3A44B}"/>
    <cellStyle name="Currency 5 2 6 5 3" xfId="6305" xr:uid="{00000000-0005-0000-0000-0000780C0000}"/>
    <cellStyle name="Currency 5 2 6 5 3 2" xfId="14747" xr:uid="{793CF3E1-0495-477D-8DFE-2EBD9B712845}"/>
    <cellStyle name="Currency 5 2 6 5 4" xfId="10529" xr:uid="{413F4E27-A069-45F2-BE02-0AA2B90EC606}"/>
    <cellStyle name="Currency 5 2 6 6" xfId="2433" xr:uid="{00000000-0005-0000-0000-0000790C0000}"/>
    <cellStyle name="Currency 5 2 6 6 2" xfId="6718" xr:uid="{00000000-0005-0000-0000-00007A0C0000}"/>
    <cellStyle name="Currency 5 2 6 6 2 2" xfId="15160" xr:uid="{98342936-EEBE-4970-81C3-0827543B86A0}"/>
    <cellStyle name="Currency 5 2 6 6 3" xfId="10942" xr:uid="{FE5EB550-EC4B-4F75-A0AD-97DE0278A326}"/>
    <cellStyle name="Currency 5 2 6 7" xfId="2730" xr:uid="{00000000-0005-0000-0000-00007B0C0000}"/>
    <cellStyle name="Currency 5 2 6 8" xfId="2811" xr:uid="{00000000-0005-0000-0000-00007C0C0000}"/>
    <cellStyle name="Currency 5 2 6 8 2" xfId="7035" xr:uid="{00000000-0005-0000-0000-00007D0C0000}"/>
    <cellStyle name="Currency 5 2 6 8 2 2" xfId="15477" xr:uid="{FD0827CA-AAE3-45F8-8973-C8D83C1D714C}"/>
    <cellStyle name="Currency 5 2 6 8 3" xfId="11259" xr:uid="{662E0A9D-D454-4DA2-BA5B-884A7E4F16D9}"/>
    <cellStyle name="Currency 5 2 6 9" xfId="4652" xr:uid="{00000000-0005-0000-0000-00007E0C0000}"/>
    <cellStyle name="Currency 5 2 6 9 2" xfId="13094" xr:uid="{0E9B3627-CD1D-4B24-A0A7-DF196CB7CB4C}"/>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0 2 2" xfId="15478" xr:uid="{948295B8-5CA1-41B9-B0DA-C5156DECC011}"/>
    <cellStyle name="Currency 5 3 2 10 3" xfId="11260" xr:uid="{CEBBF3B0-7719-43F6-A5ED-2AC071273743}"/>
    <cellStyle name="Currency 5 3 2 11" xfId="4653" xr:uid="{00000000-0005-0000-0000-0000840C0000}"/>
    <cellStyle name="Currency 5 3 2 11 2" xfId="13095" xr:uid="{96ACCC90-A0E3-4200-A8A1-A0D1BFAFC8B0}"/>
    <cellStyle name="Currency 5 3 2 12" xfId="8877" xr:uid="{3692595A-1874-4F96-AB36-274D5E2CE226}"/>
    <cellStyle name="Currency 5 3 2 2" xfId="211" xr:uid="{00000000-0005-0000-0000-0000850C0000}"/>
    <cellStyle name="Currency 5 3 2 2 10" xfId="4654" xr:uid="{00000000-0005-0000-0000-0000860C0000}"/>
    <cellStyle name="Currency 5 3 2 2 10 2" xfId="13096" xr:uid="{B00131B9-FBEE-4929-8962-2D309BD66618}"/>
    <cellStyle name="Currency 5 3 2 2 11" xfId="8878" xr:uid="{08C663F5-51CC-4FAF-AD3B-6E3D6BDEFA5E}"/>
    <cellStyle name="Currency 5 3 2 2 2" xfId="212" xr:uid="{00000000-0005-0000-0000-0000870C0000}"/>
    <cellStyle name="Currency 5 3 2 2 2 10" xfId="8879" xr:uid="{DF1ED6CB-AC81-4F24-A307-6E120E073B2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2 2 2" xfId="15656" xr:uid="{931B2238-80EE-4E11-839E-A0788F7673A0}"/>
    <cellStyle name="Currency 5 3 2 2 2 2 2 3" xfId="11438" xr:uid="{E6323860-0098-4887-AF32-9E4368C3566C}"/>
    <cellStyle name="Currency 5 3 2 2 2 2 3" xfId="5069" xr:uid="{00000000-0005-0000-0000-00008B0C0000}"/>
    <cellStyle name="Currency 5 3 2 2 2 2 3 2" xfId="13511" xr:uid="{63B3846D-1D66-4EA2-B712-1F32B85EBFDB}"/>
    <cellStyle name="Currency 5 3 2 2 2 2 4" xfId="9293" xr:uid="{A79975F5-30B1-4453-B98B-B4F6E47AE235}"/>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2 2 2" xfId="16069" xr:uid="{CC21DE90-4E2D-4707-BF51-431D9582C176}"/>
    <cellStyle name="Currency 5 3 2 2 2 3 2 3" xfId="11851" xr:uid="{C44A4C1F-DA90-4754-A7EC-71FC665EA647}"/>
    <cellStyle name="Currency 5 3 2 2 2 3 3" xfId="5482" xr:uid="{00000000-0005-0000-0000-00008F0C0000}"/>
    <cellStyle name="Currency 5 3 2 2 2 3 3 2" xfId="13924" xr:uid="{D2893AE1-FF30-406D-9508-60BA57001FC6}"/>
    <cellStyle name="Currency 5 3 2 2 2 3 4" xfId="9706" xr:uid="{207286A3-13F7-43F7-955C-55E774D63F4D}"/>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2 2 2" xfId="16482" xr:uid="{09102E05-5338-47C9-B605-5EB7C8DF800D}"/>
    <cellStyle name="Currency 5 3 2 2 2 4 2 3" xfId="12264" xr:uid="{273D780E-9D86-4180-99CC-5584960D31CC}"/>
    <cellStyle name="Currency 5 3 2 2 2 4 3" xfId="5895" xr:uid="{00000000-0005-0000-0000-0000930C0000}"/>
    <cellStyle name="Currency 5 3 2 2 2 4 3 2" xfId="14337" xr:uid="{64D41A00-AAFC-4E3C-ABD4-60AD0A1B76F3}"/>
    <cellStyle name="Currency 5 3 2 2 2 4 4" xfId="10119" xr:uid="{63161FBE-6C8B-453A-A2DF-AFBA7BCC62C8}"/>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2 2 2" xfId="16895" xr:uid="{F1CCA807-7B34-4F6C-BD15-0B85E45D65EC}"/>
    <cellStyle name="Currency 5 3 2 2 2 5 2 3" xfId="12677" xr:uid="{6D1E79A9-E30D-4775-9B4C-95CC481D2ED1}"/>
    <cellStyle name="Currency 5 3 2 2 2 5 3" xfId="6308" xr:uid="{00000000-0005-0000-0000-0000970C0000}"/>
    <cellStyle name="Currency 5 3 2 2 2 5 3 2" xfId="14750" xr:uid="{1BC8F1B4-D775-4A3C-BF83-49454DDD9B68}"/>
    <cellStyle name="Currency 5 3 2 2 2 5 4" xfId="10532" xr:uid="{B9ECE408-96AC-4C68-8FB0-243C8587F4CD}"/>
    <cellStyle name="Currency 5 3 2 2 2 6" xfId="2436" xr:uid="{00000000-0005-0000-0000-0000980C0000}"/>
    <cellStyle name="Currency 5 3 2 2 2 6 2" xfId="6721" xr:uid="{00000000-0005-0000-0000-0000990C0000}"/>
    <cellStyle name="Currency 5 3 2 2 2 6 2 2" xfId="15163" xr:uid="{1C120210-915D-42D2-A2E5-3148CCDE4EDD}"/>
    <cellStyle name="Currency 5 3 2 2 2 6 3" xfId="10945" xr:uid="{999624F6-4E27-4167-BE65-2EDEDDD2C6B3}"/>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8 2 2" xfId="15480" xr:uid="{ECDCBE65-998E-459C-8485-753ECDB282A5}"/>
    <cellStyle name="Currency 5 3 2 2 2 8 3" xfId="11262" xr:uid="{3BD150EE-1C80-45C8-BD58-77D4F1566B15}"/>
    <cellStyle name="Currency 5 3 2 2 2 9" xfId="4655" xr:uid="{00000000-0005-0000-0000-00009D0C0000}"/>
    <cellStyle name="Currency 5 3 2 2 2 9 2" xfId="13097" xr:uid="{867475D7-297C-4BE0-82DB-CB6C83F745C6}"/>
    <cellStyle name="Currency 5 3 2 2 3" xfId="737" xr:uid="{00000000-0005-0000-0000-00009E0C0000}"/>
    <cellStyle name="Currency 5 3 2 2 3 2" xfId="2990" xr:uid="{00000000-0005-0000-0000-00009F0C0000}"/>
    <cellStyle name="Currency 5 3 2 2 3 2 2" xfId="7213" xr:uid="{00000000-0005-0000-0000-0000A00C0000}"/>
    <cellStyle name="Currency 5 3 2 2 3 2 2 2" xfId="15655" xr:uid="{8ED7B5B3-EDBC-4295-9DD1-D956B18C28A3}"/>
    <cellStyle name="Currency 5 3 2 2 3 2 3" xfId="11437" xr:uid="{CC009001-35A8-47B9-B668-0E8AFF985182}"/>
    <cellStyle name="Currency 5 3 2 2 3 3" xfId="5068" xr:uid="{00000000-0005-0000-0000-0000A10C0000}"/>
    <cellStyle name="Currency 5 3 2 2 3 3 2" xfId="13510" xr:uid="{915A0BC5-A018-4ED6-9D52-2F9BD3AB2EE4}"/>
    <cellStyle name="Currency 5 3 2 2 3 4" xfId="9292" xr:uid="{D746C912-7995-4511-A329-DE7D8FC9341C}"/>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2 2 2" xfId="16068" xr:uid="{4398DE6B-DBEE-4A44-8555-3D504A186714}"/>
    <cellStyle name="Currency 5 3 2 2 4 2 3" xfId="11850" xr:uid="{D0089EF1-D9E1-45BE-A6A4-7A2C589117BD}"/>
    <cellStyle name="Currency 5 3 2 2 4 3" xfId="5481" xr:uid="{00000000-0005-0000-0000-0000A50C0000}"/>
    <cellStyle name="Currency 5 3 2 2 4 3 2" xfId="13923" xr:uid="{87B3D859-5F04-4454-92F2-9114D3158166}"/>
    <cellStyle name="Currency 5 3 2 2 4 4" xfId="9705" xr:uid="{7122E763-A656-4300-A1BB-617E3793CA6B}"/>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2 2 2" xfId="16481" xr:uid="{8A46F348-A616-4E8D-9FB1-BCE50DA971D2}"/>
    <cellStyle name="Currency 5 3 2 2 5 2 3" xfId="12263" xr:uid="{1166E6C9-BB23-4CF6-899B-F93DEA846EAF}"/>
    <cellStyle name="Currency 5 3 2 2 5 3" xfId="5894" xr:uid="{00000000-0005-0000-0000-0000A90C0000}"/>
    <cellStyle name="Currency 5 3 2 2 5 3 2" xfId="14336" xr:uid="{4D8F3AB4-7F84-4B85-8BCF-E27595C07EB5}"/>
    <cellStyle name="Currency 5 3 2 2 5 4" xfId="10118" xr:uid="{81BED4E4-9321-4B62-A622-420CE93EC4CC}"/>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2 2 2" xfId="16894" xr:uid="{6EEC6023-2655-4897-A75E-064CA8853A6B}"/>
    <cellStyle name="Currency 5 3 2 2 6 2 3" xfId="12676" xr:uid="{2813A149-0BBB-4EEC-B665-9E6E03359BCD}"/>
    <cellStyle name="Currency 5 3 2 2 6 3" xfId="6307" xr:uid="{00000000-0005-0000-0000-0000AD0C0000}"/>
    <cellStyle name="Currency 5 3 2 2 6 3 2" xfId="14749" xr:uid="{5D63122D-9C3E-46FA-8AB6-797B6369C7FE}"/>
    <cellStyle name="Currency 5 3 2 2 6 4" xfId="10531" xr:uid="{37B1FA8A-841F-4CEE-8C01-E4C4549414AA}"/>
    <cellStyle name="Currency 5 3 2 2 7" xfId="2435" xr:uid="{00000000-0005-0000-0000-0000AE0C0000}"/>
    <cellStyle name="Currency 5 3 2 2 7 2" xfId="6720" xr:uid="{00000000-0005-0000-0000-0000AF0C0000}"/>
    <cellStyle name="Currency 5 3 2 2 7 2 2" xfId="15162" xr:uid="{3FE8DBF4-E8D6-4CF8-82D8-DBD02A9C7180}"/>
    <cellStyle name="Currency 5 3 2 2 7 3" xfId="10944" xr:uid="{A841F37D-63A2-4C61-AF5C-9E85292FE1AD}"/>
    <cellStyle name="Currency 5 3 2 2 8" xfId="2732" xr:uid="{00000000-0005-0000-0000-0000B00C0000}"/>
    <cellStyle name="Currency 5 3 2 2 9" xfId="2813" xr:uid="{00000000-0005-0000-0000-0000B10C0000}"/>
    <cellStyle name="Currency 5 3 2 2 9 2" xfId="7037" xr:uid="{00000000-0005-0000-0000-0000B20C0000}"/>
    <cellStyle name="Currency 5 3 2 2 9 2 2" xfId="15479" xr:uid="{906DA6AD-BAAB-4C22-AE60-1FF2F17A84A8}"/>
    <cellStyle name="Currency 5 3 2 2 9 3" xfId="11261" xr:uid="{2F9CFD61-BFE8-43CF-8F9F-2D74228F1A6E}"/>
    <cellStyle name="Currency 5 3 2 3" xfId="213" xr:uid="{00000000-0005-0000-0000-0000B30C0000}"/>
    <cellStyle name="Currency 5 3 2 3 10" xfId="8880" xr:uid="{DC2B21E0-473B-40C5-853C-735BDFA78BCE}"/>
    <cellStyle name="Currency 5 3 2 3 2" xfId="739" xr:uid="{00000000-0005-0000-0000-0000B40C0000}"/>
    <cellStyle name="Currency 5 3 2 3 2 2" xfId="2992" xr:uid="{00000000-0005-0000-0000-0000B50C0000}"/>
    <cellStyle name="Currency 5 3 2 3 2 2 2" xfId="7215" xr:uid="{00000000-0005-0000-0000-0000B60C0000}"/>
    <cellStyle name="Currency 5 3 2 3 2 2 2 2" xfId="15657" xr:uid="{6470919F-F6FD-4E66-AA7E-BEF308B89F66}"/>
    <cellStyle name="Currency 5 3 2 3 2 2 3" xfId="11439" xr:uid="{3228702E-70C9-436B-A5DA-232C27A1F75C}"/>
    <cellStyle name="Currency 5 3 2 3 2 3" xfId="5070" xr:uid="{00000000-0005-0000-0000-0000B70C0000}"/>
    <cellStyle name="Currency 5 3 2 3 2 3 2" xfId="13512" xr:uid="{713C5961-3278-47F1-B280-96B47A3A1B2B}"/>
    <cellStyle name="Currency 5 3 2 3 2 4" xfId="9294" xr:uid="{C12B2229-1117-4F1B-A98B-784F818DF14B}"/>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2 2 2" xfId="16070" xr:uid="{D00E7F6A-C07A-46A2-AB98-7FA5631383BC}"/>
    <cellStyle name="Currency 5 3 2 3 3 2 3" xfId="11852" xr:uid="{2C4AEC1B-8928-450C-9176-90915C3C3EC6}"/>
    <cellStyle name="Currency 5 3 2 3 3 3" xfId="5483" xr:uid="{00000000-0005-0000-0000-0000BB0C0000}"/>
    <cellStyle name="Currency 5 3 2 3 3 3 2" xfId="13925" xr:uid="{A94976B8-36A1-4868-B445-888F39D82660}"/>
    <cellStyle name="Currency 5 3 2 3 3 4" xfId="9707" xr:uid="{3CF2ECF7-8729-4F0A-907F-4817358E0E1E}"/>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2 2 2" xfId="16483" xr:uid="{D1AC45BC-4ACA-4905-8C1D-68D08106FBE6}"/>
    <cellStyle name="Currency 5 3 2 3 4 2 3" xfId="12265" xr:uid="{754FCC2A-CADB-439D-86D5-1267F6D43D2F}"/>
    <cellStyle name="Currency 5 3 2 3 4 3" xfId="5896" xr:uid="{00000000-0005-0000-0000-0000BF0C0000}"/>
    <cellStyle name="Currency 5 3 2 3 4 3 2" xfId="14338" xr:uid="{82322D0B-BCDC-4E85-8326-BFD9F6A21F57}"/>
    <cellStyle name="Currency 5 3 2 3 4 4" xfId="10120" xr:uid="{2228ACF3-7FC3-4FA7-BF78-534A6AE6FCF7}"/>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2 2 2" xfId="16896" xr:uid="{BB8D4C67-0BAD-4632-BFD7-CDE3ECF0F411}"/>
    <cellStyle name="Currency 5 3 2 3 5 2 3" xfId="12678" xr:uid="{EE4F0A3D-EC10-4BD9-A405-A03E27951D99}"/>
    <cellStyle name="Currency 5 3 2 3 5 3" xfId="6309" xr:uid="{00000000-0005-0000-0000-0000C30C0000}"/>
    <cellStyle name="Currency 5 3 2 3 5 3 2" xfId="14751" xr:uid="{BA250806-067C-443A-BF36-45FB6BC596F1}"/>
    <cellStyle name="Currency 5 3 2 3 5 4" xfId="10533" xr:uid="{04006E34-A41B-4B79-BC6A-5062CBAB34DC}"/>
    <cellStyle name="Currency 5 3 2 3 6" xfId="2437" xr:uid="{00000000-0005-0000-0000-0000C40C0000}"/>
    <cellStyle name="Currency 5 3 2 3 6 2" xfId="6722" xr:uid="{00000000-0005-0000-0000-0000C50C0000}"/>
    <cellStyle name="Currency 5 3 2 3 6 2 2" xfId="15164" xr:uid="{A85A851B-13A3-469A-B5BB-4B8FB505098A}"/>
    <cellStyle name="Currency 5 3 2 3 6 3" xfId="10946" xr:uid="{49430E08-1499-41CD-BD93-0860969A3C82}"/>
    <cellStyle name="Currency 5 3 2 3 7" xfId="2734" xr:uid="{00000000-0005-0000-0000-0000C60C0000}"/>
    <cellStyle name="Currency 5 3 2 3 8" xfId="2815" xr:uid="{00000000-0005-0000-0000-0000C70C0000}"/>
    <cellStyle name="Currency 5 3 2 3 8 2" xfId="7039" xr:uid="{00000000-0005-0000-0000-0000C80C0000}"/>
    <cellStyle name="Currency 5 3 2 3 8 2 2" xfId="15481" xr:uid="{AC6E0977-204F-4BB1-9730-5F8DE335CA08}"/>
    <cellStyle name="Currency 5 3 2 3 8 3" xfId="11263" xr:uid="{0A1EAD43-D97E-4B2A-A4F9-F23CC00011D3}"/>
    <cellStyle name="Currency 5 3 2 3 9" xfId="4656" xr:uid="{00000000-0005-0000-0000-0000C90C0000}"/>
    <cellStyle name="Currency 5 3 2 3 9 2" xfId="13098" xr:uid="{C34AE2DA-6427-4CE7-9B77-7B92231071DE}"/>
    <cellStyle name="Currency 5 3 2 4" xfId="736" xr:uid="{00000000-0005-0000-0000-0000CA0C0000}"/>
    <cellStyle name="Currency 5 3 2 4 2" xfId="2989" xr:uid="{00000000-0005-0000-0000-0000CB0C0000}"/>
    <cellStyle name="Currency 5 3 2 4 2 2" xfId="7212" xr:uid="{00000000-0005-0000-0000-0000CC0C0000}"/>
    <cellStyle name="Currency 5 3 2 4 2 2 2" xfId="15654" xr:uid="{148E6A2F-42A5-474E-8F28-83395F35975F}"/>
    <cellStyle name="Currency 5 3 2 4 2 3" xfId="11436" xr:uid="{70B0EAF3-660A-41D9-B736-4673E0EBAAA8}"/>
    <cellStyle name="Currency 5 3 2 4 3" xfId="5067" xr:uid="{00000000-0005-0000-0000-0000CD0C0000}"/>
    <cellStyle name="Currency 5 3 2 4 3 2" xfId="13509" xr:uid="{E3874224-739B-44F2-8B78-8F9406B53A0D}"/>
    <cellStyle name="Currency 5 3 2 4 4" xfId="9291" xr:uid="{0849353C-E15E-438F-8288-11E66A120718}"/>
    <cellStyle name="Currency 5 3 2 5" xfId="1171" xr:uid="{00000000-0005-0000-0000-0000CE0C0000}"/>
    <cellStyle name="Currency 5 3 2 5 2" xfId="3402" xr:uid="{00000000-0005-0000-0000-0000CF0C0000}"/>
    <cellStyle name="Currency 5 3 2 5 2 2" xfId="7625" xr:uid="{00000000-0005-0000-0000-0000D00C0000}"/>
    <cellStyle name="Currency 5 3 2 5 2 2 2" xfId="16067" xr:uid="{59DAE30C-1C9F-45B2-AAAC-D6ACE18702D5}"/>
    <cellStyle name="Currency 5 3 2 5 2 3" xfId="11849" xr:uid="{749AD82A-29C3-41E7-92A4-26E360AA7E56}"/>
    <cellStyle name="Currency 5 3 2 5 3" xfId="5480" xr:uid="{00000000-0005-0000-0000-0000D10C0000}"/>
    <cellStyle name="Currency 5 3 2 5 3 2" xfId="13922" xr:uid="{5CC6934C-E0ED-4DF1-99A6-D2FB6A194CAD}"/>
    <cellStyle name="Currency 5 3 2 5 4" xfId="9704" xr:uid="{C0CA145F-AF99-45AF-9843-0E24D6D430EA}"/>
    <cellStyle name="Currency 5 3 2 6" xfId="1585" xr:uid="{00000000-0005-0000-0000-0000D20C0000}"/>
    <cellStyle name="Currency 5 3 2 6 2" xfId="3815" xr:uid="{00000000-0005-0000-0000-0000D30C0000}"/>
    <cellStyle name="Currency 5 3 2 6 2 2" xfId="8038" xr:uid="{00000000-0005-0000-0000-0000D40C0000}"/>
    <cellStyle name="Currency 5 3 2 6 2 2 2" xfId="16480" xr:uid="{1CF9FF40-7D0D-45DE-8D97-24B6C6A4D0FD}"/>
    <cellStyle name="Currency 5 3 2 6 2 3" xfId="12262" xr:uid="{EB4DB0CE-8413-4597-8ABF-19B96DD69522}"/>
    <cellStyle name="Currency 5 3 2 6 3" xfId="5893" xr:uid="{00000000-0005-0000-0000-0000D50C0000}"/>
    <cellStyle name="Currency 5 3 2 6 3 2" xfId="14335" xr:uid="{377FD48D-6813-4627-A5AE-EC1E6E631324}"/>
    <cellStyle name="Currency 5 3 2 6 4" xfId="10117" xr:uid="{83726CF9-0042-4898-9308-A92E4AB9F173}"/>
    <cellStyle name="Currency 5 3 2 7" xfId="1999" xr:uid="{00000000-0005-0000-0000-0000D60C0000}"/>
    <cellStyle name="Currency 5 3 2 7 2" xfId="4228" xr:uid="{00000000-0005-0000-0000-0000D70C0000}"/>
    <cellStyle name="Currency 5 3 2 7 2 2" xfId="8451" xr:uid="{00000000-0005-0000-0000-0000D80C0000}"/>
    <cellStyle name="Currency 5 3 2 7 2 2 2" xfId="16893" xr:uid="{9BB7D218-57B8-44F7-9B51-9D3E7BC485CD}"/>
    <cellStyle name="Currency 5 3 2 7 2 3" xfId="12675" xr:uid="{BB774DBE-720E-4CCB-BA5B-D60A6E1A1626}"/>
    <cellStyle name="Currency 5 3 2 7 3" xfId="6306" xr:uid="{00000000-0005-0000-0000-0000D90C0000}"/>
    <cellStyle name="Currency 5 3 2 7 3 2" xfId="14748" xr:uid="{A7CE65A0-41FA-403C-812B-3D589E825E4D}"/>
    <cellStyle name="Currency 5 3 2 7 4" xfId="10530" xr:uid="{7BAA247E-32D7-4055-93A3-63B97DFE4F81}"/>
    <cellStyle name="Currency 5 3 2 8" xfId="2434" xr:uid="{00000000-0005-0000-0000-0000DA0C0000}"/>
    <cellStyle name="Currency 5 3 2 8 2" xfId="6719" xr:uid="{00000000-0005-0000-0000-0000DB0C0000}"/>
    <cellStyle name="Currency 5 3 2 8 2 2" xfId="15161" xr:uid="{3447DB1A-A384-4016-A316-6A58CCE9A9E8}"/>
    <cellStyle name="Currency 5 3 2 8 3" xfId="10943" xr:uid="{F3CACDB9-033B-4536-86CE-38A166DBA755}"/>
    <cellStyle name="Currency 5 3 2 9" xfId="2731" xr:uid="{00000000-0005-0000-0000-0000DC0C0000}"/>
    <cellStyle name="Currency 5 3 3" xfId="214" xr:uid="{00000000-0005-0000-0000-0000DD0C0000}"/>
    <cellStyle name="Currency 5 3 3 10" xfId="4657" xr:uid="{00000000-0005-0000-0000-0000DE0C0000}"/>
    <cellStyle name="Currency 5 3 3 10 2" xfId="13099" xr:uid="{79CBAACC-3E7D-46FB-A137-2C590A1DDF25}"/>
    <cellStyle name="Currency 5 3 3 11" xfId="8881" xr:uid="{9A9B5DCA-BD86-4BC3-AE02-65CCDD623173}"/>
    <cellStyle name="Currency 5 3 3 2" xfId="215" xr:uid="{00000000-0005-0000-0000-0000DF0C0000}"/>
    <cellStyle name="Currency 5 3 3 2 10" xfId="8882" xr:uid="{4D7A353E-B854-44EF-9FD2-068A2E3A1AF8}"/>
    <cellStyle name="Currency 5 3 3 2 2" xfId="741" xr:uid="{00000000-0005-0000-0000-0000E00C0000}"/>
    <cellStyle name="Currency 5 3 3 2 2 2" xfId="2994" xr:uid="{00000000-0005-0000-0000-0000E10C0000}"/>
    <cellStyle name="Currency 5 3 3 2 2 2 2" xfId="7217" xr:uid="{00000000-0005-0000-0000-0000E20C0000}"/>
    <cellStyle name="Currency 5 3 3 2 2 2 2 2" xfId="15659" xr:uid="{03229AF3-77DC-441F-959F-29C292662EEA}"/>
    <cellStyle name="Currency 5 3 3 2 2 2 3" xfId="11441" xr:uid="{50101B95-32D6-44BA-82DC-493BB4215BC2}"/>
    <cellStyle name="Currency 5 3 3 2 2 3" xfId="5072" xr:uid="{00000000-0005-0000-0000-0000E30C0000}"/>
    <cellStyle name="Currency 5 3 3 2 2 3 2" xfId="13514" xr:uid="{3A1ACD93-3485-42C7-B33C-320854706929}"/>
    <cellStyle name="Currency 5 3 3 2 2 4" xfId="9296" xr:uid="{31A09F17-BF3C-4840-A947-793557009EA3}"/>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2 2 2" xfId="16072" xr:uid="{00DCF695-D76E-49EA-8918-C7711959E59C}"/>
    <cellStyle name="Currency 5 3 3 2 3 2 3" xfId="11854" xr:uid="{F80DD143-F220-4C2E-BA53-B6CE58ECDDEC}"/>
    <cellStyle name="Currency 5 3 3 2 3 3" xfId="5485" xr:uid="{00000000-0005-0000-0000-0000E70C0000}"/>
    <cellStyle name="Currency 5 3 3 2 3 3 2" xfId="13927" xr:uid="{367F4D0C-7C25-4F5E-B900-E5173831D289}"/>
    <cellStyle name="Currency 5 3 3 2 3 4" xfId="9709" xr:uid="{A6EEA3A0-AEB1-48AE-8AF4-4232C22EBF47}"/>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2 2 2" xfId="16485" xr:uid="{03DF5BA6-818E-4176-B740-BB73570D64DF}"/>
    <cellStyle name="Currency 5 3 3 2 4 2 3" xfId="12267" xr:uid="{F7079BDF-1A94-433E-91FE-0EDED2E80051}"/>
    <cellStyle name="Currency 5 3 3 2 4 3" xfId="5898" xr:uid="{00000000-0005-0000-0000-0000EB0C0000}"/>
    <cellStyle name="Currency 5 3 3 2 4 3 2" xfId="14340" xr:uid="{F27B6DAB-5E3D-423E-BFE1-BAEB43EC92E4}"/>
    <cellStyle name="Currency 5 3 3 2 4 4" xfId="10122" xr:uid="{9C3DE131-1812-457B-9654-CD66A788F1D5}"/>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2 2 2" xfId="16898" xr:uid="{8D52910E-6D1C-40AF-982C-D56DF5945148}"/>
    <cellStyle name="Currency 5 3 3 2 5 2 3" xfId="12680" xr:uid="{F603309C-EB57-43EF-93A6-B51D7BCCF40B}"/>
    <cellStyle name="Currency 5 3 3 2 5 3" xfId="6311" xr:uid="{00000000-0005-0000-0000-0000EF0C0000}"/>
    <cellStyle name="Currency 5 3 3 2 5 3 2" xfId="14753" xr:uid="{E0B501C6-B8FB-496E-ADE1-ADC5F6EA2403}"/>
    <cellStyle name="Currency 5 3 3 2 5 4" xfId="10535" xr:uid="{543EE85D-C784-4BE5-B21E-F2AE7733D217}"/>
    <cellStyle name="Currency 5 3 3 2 6" xfId="2439" xr:uid="{00000000-0005-0000-0000-0000F00C0000}"/>
    <cellStyle name="Currency 5 3 3 2 6 2" xfId="6724" xr:uid="{00000000-0005-0000-0000-0000F10C0000}"/>
    <cellStyle name="Currency 5 3 3 2 6 2 2" xfId="15166" xr:uid="{5C4E8DF1-87E8-4A4D-B026-B012C7203AAF}"/>
    <cellStyle name="Currency 5 3 3 2 6 3" xfId="10948" xr:uid="{6FB57939-32FE-4ABC-936A-080CBB4A5022}"/>
    <cellStyle name="Currency 5 3 3 2 7" xfId="2736" xr:uid="{00000000-0005-0000-0000-0000F20C0000}"/>
    <cellStyle name="Currency 5 3 3 2 8" xfId="2817" xr:uid="{00000000-0005-0000-0000-0000F30C0000}"/>
    <cellStyle name="Currency 5 3 3 2 8 2" xfId="7041" xr:uid="{00000000-0005-0000-0000-0000F40C0000}"/>
    <cellStyle name="Currency 5 3 3 2 8 2 2" xfId="15483" xr:uid="{03055128-5E9C-4866-B28C-5C8351582DA2}"/>
    <cellStyle name="Currency 5 3 3 2 8 3" xfId="11265" xr:uid="{05EDF9BD-CA5F-4A00-A448-B8B3E7D7DC1C}"/>
    <cellStyle name="Currency 5 3 3 2 9" xfId="4658" xr:uid="{00000000-0005-0000-0000-0000F50C0000}"/>
    <cellStyle name="Currency 5 3 3 2 9 2" xfId="13100" xr:uid="{5B72E9ED-8B46-483B-9634-C2A8AE53E30D}"/>
    <cellStyle name="Currency 5 3 3 3" xfId="740" xr:uid="{00000000-0005-0000-0000-0000F60C0000}"/>
    <cellStyle name="Currency 5 3 3 3 2" xfId="2993" xr:uid="{00000000-0005-0000-0000-0000F70C0000}"/>
    <cellStyle name="Currency 5 3 3 3 2 2" xfId="7216" xr:uid="{00000000-0005-0000-0000-0000F80C0000}"/>
    <cellStyle name="Currency 5 3 3 3 2 2 2" xfId="15658" xr:uid="{88BC8368-792C-4BA4-AD5C-A216447D5850}"/>
    <cellStyle name="Currency 5 3 3 3 2 3" xfId="11440" xr:uid="{5F7F5746-8611-4034-AC97-FC1E8D422B2D}"/>
    <cellStyle name="Currency 5 3 3 3 3" xfId="5071" xr:uid="{00000000-0005-0000-0000-0000F90C0000}"/>
    <cellStyle name="Currency 5 3 3 3 3 2" xfId="13513" xr:uid="{8512CBDE-D334-49F4-B9C3-92BD834D898A}"/>
    <cellStyle name="Currency 5 3 3 3 4" xfId="9295" xr:uid="{A60FFC43-4D5F-4D4C-92E9-B1E12107C025}"/>
    <cellStyle name="Currency 5 3 3 4" xfId="1175" xr:uid="{00000000-0005-0000-0000-0000FA0C0000}"/>
    <cellStyle name="Currency 5 3 3 4 2" xfId="3406" xr:uid="{00000000-0005-0000-0000-0000FB0C0000}"/>
    <cellStyle name="Currency 5 3 3 4 2 2" xfId="7629" xr:uid="{00000000-0005-0000-0000-0000FC0C0000}"/>
    <cellStyle name="Currency 5 3 3 4 2 2 2" xfId="16071" xr:uid="{D9B78282-A5E1-4B80-AA1F-7747D9A44ABC}"/>
    <cellStyle name="Currency 5 3 3 4 2 3" xfId="11853" xr:uid="{154C2459-E8B7-4DCC-B198-53381B2393B9}"/>
    <cellStyle name="Currency 5 3 3 4 3" xfId="5484" xr:uid="{00000000-0005-0000-0000-0000FD0C0000}"/>
    <cellStyle name="Currency 5 3 3 4 3 2" xfId="13926" xr:uid="{DABE956F-5E7D-456C-B3C2-6795A9B426AB}"/>
    <cellStyle name="Currency 5 3 3 4 4" xfId="9708" xr:uid="{EFF33301-1485-4301-8F16-5F5CE2B8DD2A}"/>
    <cellStyle name="Currency 5 3 3 5" xfId="1589" xr:uid="{00000000-0005-0000-0000-0000FE0C0000}"/>
    <cellStyle name="Currency 5 3 3 5 2" xfId="3819" xr:uid="{00000000-0005-0000-0000-0000FF0C0000}"/>
    <cellStyle name="Currency 5 3 3 5 2 2" xfId="8042" xr:uid="{00000000-0005-0000-0000-0000000D0000}"/>
    <cellStyle name="Currency 5 3 3 5 2 2 2" xfId="16484" xr:uid="{32260838-A8EB-4D23-9154-2764E262BC0B}"/>
    <cellStyle name="Currency 5 3 3 5 2 3" xfId="12266" xr:uid="{7F429D93-3ED8-4F2E-A6E7-FF14BA18868F}"/>
    <cellStyle name="Currency 5 3 3 5 3" xfId="5897" xr:uid="{00000000-0005-0000-0000-0000010D0000}"/>
    <cellStyle name="Currency 5 3 3 5 3 2" xfId="14339" xr:uid="{62F2A6F2-D234-4452-B777-45D163D4EFC9}"/>
    <cellStyle name="Currency 5 3 3 5 4" xfId="10121" xr:uid="{C3049A34-FA5D-4F97-A8A1-4F8FCD0AE911}"/>
    <cellStyle name="Currency 5 3 3 6" xfId="2003" xr:uid="{00000000-0005-0000-0000-0000020D0000}"/>
    <cellStyle name="Currency 5 3 3 6 2" xfId="4232" xr:uid="{00000000-0005-0000-0000-0000030D0000}"/>
    <cellStyle name="Currency 5 3 3 6 2 2" xfId="8455" xr:uid="{00000000-0005-0000-0000-0000040D0000}"/>
    <cellStyle name="Currency 5 3 3 6 2 2 2" xfId="16897" xr:uid="{A605C2FF-A546-4B58-9A8D-8D65459F0D1F}"/>
    <cellStyle name="Currency 5 3 3 6 2 3" xfId="12679" xr:uid="{6CB9FCEC-4770-461D-9F00-AD9261589548}"/>
    <cellStyle name="Currency 5 3 3 6 3" xfId="6310" xr:uid="{00000000-0005-0000-0000-0000050D0000}"/>
    <cellStyle name="Currency 5 3 3 6 3 2" xfId="14752" xr:uid="{C499E04C-FF1D-40C8-B676-765186E67134}"/>
    <cellStyle name="Currency 5 3 3 6 4" xfId="10534" xr:uid="{7CF305DB-DDB1-49B4-8B86-7E23D1E4A9FC}"/>
    <cellStyle name="Currency 5 3 3 7" xfId="2438" xr:uid="{00000000-0005-0000-0000-0000060D0000}"/>
    <cellStyle name="Currency 5 3 3 7 2" xfId="6723" xr:uid="{00000000-0005-0000-0000-0000070D0000}"/>
    <cellStyle name="Currency 5 3 3 7 2 2" xfId="15165" xr:uid="{CEF3E0E5-AC3A-495A-B47B-8D1001DE125A}"/>
    <cellStyle name="Currency 5 3 3 7 3" xfId="10947" xr:uid="{3F1E2FCD-B952-42EF-AE26-19C2C07E9A2E}"/>
    <cellStyle name="Currency 5 3 3 8" xfId="2735" xr:uid="{00000000-0005-0000-0000-0000080D0000}"/>
    <cellStyle name="Currency 5 3 3 9" xfId="2816" xr:uid="{00000000-0005-0000-0000-0000090D0000}"/>
    <cellStyle name="Currency 5 3 3 9 2" xfId="7040" xr:uid="{00000000-0005-0000-0000-00000A0D0000}"/>
    <cellStyle name="Currency 5 3 3 9 2 2" xfId="15482" xr:uid="{685F67ED-3800-429F-9A87-3B5628BECC47}"/>
    <cellStyle name="Currency 5 3 3 9 3" xfId="11264" xr:uid="{0695DAEA-B3A4-4BD8-B575-AA6F11599050}"/>
    <cellStyle name="Currency 5 3 4" xfId="216" xr:uid="{00000000-0005-0000-0000-00000B0D0000}"/>
    <cellStyle name="Currency 5 3 4 10" xfId="8883" xr:uid="{91D1F48F-143D-48BC-9B9A-E897578E1E2E}"/>
    <cellStyle name="Currency 5 3 4 2" xfId="742" xr:uid="{00000000-0005-0000-0000-00000C0D0000}"/>
    <cellStyle name="Currency 5 3 4 2 2" xfId="2995" xr:uid="{00000000-0005-0000-0000-00000D0D0000}"/>
    <cellStyle name="Currency 5 3 4 2 2 2" xfId="7218" xr:uid="{00000000-0005-0000-0000-00000E0D0000}"/>
    <cellStyle name="Currency 5 3 4 2 2 2 2" xfId="15660" xr:uid="{FCA935B5-CEAE-478B-BFD9-A3F0FB3AB74C}"/>
    <cellStyle name="Currency 5 3 4 2 2 3" xfId="11442" xr:uid="{7CA63195-2456-4628-9EAB-5E7B146E0E48}"/>
    <cellStyle name="Currency 5 3 4 2 3" xfId="5073" xr:uid="{00000000-0005-0000-0000-00000F0D0000}"/>
    <cellStyle name="Currency 5 3 4 2 3 2" xfId="13515" xr:uid="{4585059B-30E5-45E5-B09F-F39877FFAEDC}"/>
    <cellStyle name="Currency 5 3 4 2 4" xfId="9297" xr:uid="{775E6F2F-E859-4178-8C9B-0AE3A5FB8D6C}"/>
    <cellStyle name="Currency 5 3 4 3" xfId="1177" xr:uid="{00000000-0005-0000-0000-0000100D0000}"/>
    <cellStyle name="Currency 5 3 4 3 2" xfId="3408" xr:uid="{00000000-0005-0000-0000-0000110D0000}"/>
    <cellStyle name="Currency 5 3 4 3 2 2" xfId="7631" xr:uid="{00000000-0005-0000-0000-0000120D0000}"/>
    <cellStyle name="Currency 5 3 4 3 2 2 2" xfId="16073" xr:uid="{5CE00BBF-27A4-4774-AF44-77CE3DA1E03E}"/>
    <cellStyle name="Currency 5 3 4 3 2 3" xfId="11855" xr:uid="{22DF69E6-850E-4182-B478-426C21828852}"/>
    <cellStyle name="Currency 5 3 4 3 3" xfId="5486" xr:uid="{00000000-0005-0000-0000-0000130D0000}"/>
    <cellStyle name="Currency 5 3 4 3 3 2" xfId="13928" xr:uid="{993E4199-910F-4405-9B69-4A26890488A1}"/>
    <cellStyle name="Currency 5 3 4 3 4" xfId="9710" xr:uid="{704F9467-181A-4DE6-9038-E6787788A6E9}"/>
    <cellStyle name="Currency 5 3 4 4" xfId="1591" xr:uid="{00000000-0005-0000-0000-0000140D0000}"/>
    <cellStyle name="Currency 5 3 4 4 2" xfId="3821" xr:uid="{00000000-0005-0000-0000-0000150D0000}"/>
    <cellStyle name="Currency 5 3 4 4 2 2" xfId="8044" xr:uid="{00000000-0005-0000-0000-0000160D0000}"/>
    <cellStyle name="Currency 5 3 4 4 2 2 2" xfId="16486" xr:uid="{FF344833-D27F-4148-88FD-665AE91FD1E6}"/>
    <cellStyle name="Currency 5 3 4 4 2 3" xfId="12268" xr:uid="{5E7E7655-B104-4DAA-9828-AA273A8C7E1D}"/>
    <cellStyle name="Currency 5 3 4 4 3" xfId="5899" xr:uid="{00000000-0005-0000-0000-0000170D0000}"/>
    <cellStyle name="Currency 5 3 4 4 3 2" xfId="14341" xr:uid="{E358731C-BF29-45AF-B483-6BB70B6CB18C}"/>
    <cellStyle name="Currency 5 3 4 4 4" xfId="10123" xr:uid="{19D74596-EB9A-43FE-BCF9-3B677036A486}"/>
    <cellStyle name="Currency 5 3 4 5" xfId="2005" xr:uid="{00000000-0005-0000-0000-0000180D0000}"/>
    <cellStyle name="Currency 5 3 4 5 2" xfId="4234" xr:uid="{00000000-0005-0000-0000-0000190D0000}"/>
    <cellStyle name="Currency 5 3 4 5 2 2" xfId="8457" xr:uid="{00000000-0005-0000-0000-00001A0D0000}"/>
    <cellStyle name="Currency 5 3 4 5 2 2 2" xfId="16899" xr:uid="{6CAC23FB-922F-4137-8434-1EB6E82CB923}"/>
    <cellStyle name="Currency 5 3 4 5 2 3" xfId="12681" xr:uid="{E575FF0D-2B58-4EE8-AC78-8EBC6A99FF6D}"/>
    <cellStyle name="Currency 5 3 4 5 3" xfId="6312" xr:uid="{00000000-0005-0000-0000-00001B0D0000}"/>
    <cellStyle name="Currency 5 3 4 5 3 2" xfId="14754" xr:uid="{AABAA371-9597-47C9-BFE8-894819DEF96E}"/>
    <cellStyle name="Currency 5 3 4 5 4" xfId="10536" xr:uid="{36F0977F-D943-4807-81E8-6E3C07C77C8B}"/>
    <cellStyle name="Currency 5 3 4 6" xfId="2440" xr:uid="{00000000-0005-0000-0000-00001C0D0000}"/>
    <cellStyle name="Currency 5 3 4 6 2" xfId="6725" xr:uid="{00000000-0005-0000-0000-00001D0D0000}"/>
    <cellStyle name="Currency 5 3 4 6 2 2" xfId="15167" xr:uid="{3A2DEC47-E777-4CEE-BD46-7134463A2907}"/>
    <cellStyle name="Currency 5 3 4 6 3" xfId="10949" xr:uid="{BD25F6A0-CC43-455E-9A3A-95EBA7A83A95}"/>
    <cellStyle name="Currency 5 3 4 7" xfId="2737" xr:uid="{00000000-0005-0000-0000-00001E0D0000}"/>
    <cellStyle name="Currency 5 3 4 8" xfId="2818" xr:uid="{00000000-0005-0000-0000-00001F0D0000}"/>
    <cellStyle name="Currency 5 3 4 8 2" xfId="7042" xr:uid="{00000000-0005-0000-0000-0000200D0000}"/>
    <cellStyle name="Currency 5 3 4 8 2 2" xfId="15484" xr:uid="{D5AD1D07-E1EA-4D65-93CA-A4E428679924}"/>
    <cellStyle name="Currency 5 3 4 8 3" xfId="11266" xr:uid="{672BCEDE-C69A-4676-A19B-C331EF41A95D}"/>
    <cellStyle name="Currency 5 3 4 9" xfId="4659" xr:uid="{00000000-0005-0000-0000-0000210D0000}"/>
    <cellStyle name="Currency 5 3 4 9 2" xfId="13101" xr:uid="{EBF8F613-A89B-4753-895B-27A8B316CED4}"/>
    <cellStyle name="Currency 5 3 5" xfId="217" xr:uid="{00000000-0005-0000-0000-0000220D0000}"/>
    <cellStyle name="Currency 5 3 5 10" xfId="8884" xr:uid="{F3E24B77-B089-4A4A-9EB6-F4B917088C58}"/>
    <cellStyle name="Currency 5 3 5 2" xfId="743" xr:uid="{00000000-0005-0000-0000-0000230D0000}"/>
    <cellStyle name="Currency 5 3 5 2 2" xfId="2996" xr:uid="{00000000-0005-0000-0000-0000240D0000}"/>
    <cellStyle name="Currency 5 3 5 2 2 2" xfId="7219" xr:uid="{00000000-0005-0000-0000-0000250D0000}"/>
    <cellStyle name="Currency 5 3 5 2 2 2 2" xfId="15661" xr:uid="{422C47EF-1A67-44CA-B665-9888653079EE}"/>
    <cellStyle name="Currency 5 3 5 2 2 3" xfId="11443" xr:uid="{4D45186D-55B6-49B9-8773-248DADAA3E06}"/>
    <cellStyle name="Currency 5 3 5 2 3" xfId="5074" xr:uid="{00000000-0005-0000-0000-0000260D0000}"/>
    <cellStyle name="Currency 5 3 5 2 3 2" xfId="13516" xr:uid="{0DFFB6BB-2E15-43FE-8F35-AAC63A40DF65}"/>
    <cellStyle name="Currency 5 3 5 2 4" xfId="9298" xr:uid="{3F91B606-CEDA-4F77-B5DB-60D78674AA0D}"/>
    <cellStyle name="Currency 5 3 5 3" xfId="1178" xr:uid="{00000000-0005-0000-0000-0000270D0000}"/>
    <cellStyle name="Currency 5 3 5 3 2" xfId="3409" xr:uid="{00000000-0005-0000-0000-0000280D0000}"/>
    <cellStyle name="Currency 5 3 5 3 2 2" xfId="7632" xr:uid="{00000000-0005-0000-0000-0000290D0000}"/>
    <cellStyle name="Currency 5 3 5 3 2 2 2" xfId="16074" xr:uid="{CE70FF77-BE2B-4766-8C61-2B7B46107437}"/>
    <cellStyle name="Currency 5 3 5 3 2 3" xfId="11856" xr:uid="{34330107-1B95-4B7F-98D6-CF7F313600D3}"/>
    <cellStyle name="Currency 5 3 5 3 3" xfId="5487" xr:uid="{00000000-0005-0000-0000-00002A0D0000}"/>
    <cellStyle name="Currency 5 3 5 3 3 2" xfId="13929" xr:uid="{268708EB-9B34-4BC3-A239-A6E22062DDF1}"/>
    <cellStyle name="Currency 5 3 5 3 4" xfId="9711" xr:uid="{29636EF8-7D59-4251-98DB-ADB4E095ED56}"/>
    <cellStyle name="Currency 5 3 5 4" xfId="1592" xr:uid="{00000000-0005-0000-0000-00002B0D0000}"/>
    <cellStyle name="Currency 5 3 5 4 2" xfId="3822" xr:uid="{00000000-0005-0000-0000-00002C0D0000}"/>
    <cellStyle name="Currency 5 3 5 4 2 2" xfId="8045" xr:uid="{00000000-0005-0000-0000-00002D0D0000}"/>
    <cellStyle name="Currency 5 3 5 4 2 2 2" xfId="16487" xr:uid="{590342B6-CCAE-4CC9-B4A9-E3ED94067B85}"/>
    <cellStyle name="Currency 5 3 5 4 2 3" xfId="12269" xr:uid="{ACA38474-E017-4991-A0B0-53F9B40CE6A6}"/>
    <cellStyle name="Currency 5 3 5 4 3" xfId="5900" xr:uid="{00000000-0005-0000-0000-00002E0D0000}"/>
    <cellStyle name="Currency 5 3 5 4 3 2" xfId="14342" xr:uid="{CDCF13EA-224A-433E-BF6E-4749D6CE7F5C}"/>
    <cellStyle name="Currency 5 3 5 4 4" xfId="10124" xr:uid="{48F53922-FB14-4F49-B3F3-B59C10CB3D39}"/>
    <cellStyle name="Currency 5 3 5 5" xfId="2006" xr:uid="{00000000-0005-0000-0000-00002F0D0000}"/>
    <cellStyle name="Currency 5 3 5 5 2" xfId="4235" xr:uid="{00000000-0005-0000-0000-0000300D0000}"/>
    <cellStyle name="Currency 5 3 5 5 2 2" xfId="8458" xr:uid="{00000000-0005-0000-0000-0000310D0000}"/>
    <cellStyle name="Currency 5 3 5 5 2 2 2" xfId="16900" xr:uid="{7DFD356E-023E-4D96-BE29-7880EEC18C8F}"/>
    <cellStyle name="Currency 5 3 5 5 2 3" xfId="12682" xr:uid="{019B4C17-B854-4F52-A680-CFEE24EC4246}"/>
    <cellStyle name="Currency 5 3 5 5 3" xfId="6313" xr:uid="{00000000-0005-0000-0000-0000320D0000}"/>
    <cellStyle name="Currency 5 3 5 5 3 2" xfId="14755" xr:uid="{AAC99737-44F2-401A-8449-82A8A456671F}"/>
    <cellStyle name="Currency 5 3 5 5 4" xfId="10537" xr:uid="{2E8F63E9-231F-425E-BAF2-88D2384802E4}"/>
    <cellStyle name="Currency 5 3 5 6" xfId="2441" xr:uid="{00000000-0005-0000-0000-0000330D0000}"/>
    <cellStyle name="Currency 5 3 5 6 2" xfId="6726" xr:uid="{00000000-0005-0000-0000-0000340D0000}"/>
    <cellStyle name="Currency 5 3 5 6 2 2" xfId="15168" xr:uid="{E03C1E21-C553-4E28-BBDE-9A01DDEC7F63}"/>
    <cellStyle name="Currency 5 3 5 6 3" xfId="10950" xr:uid="{50F67B10-BD8F-4157-A165-B7D5A9F6CAF7}"/>
    <cellStyle name="Currency 5 3 5 7" xfId="2738" xr:uid="{00000000-0005-0000-0000-0000350D0000}"/>
    <cellStyle name="Currency 5 3 5 8" xfId="2819" xr:uid="{00000000-0005-0000-0000-0000360D0000}"/>
    <cellStyle name="Currency 5 3 5 8 2" xfId="7043" xr:uid="{00000000-0005-0000-0000-0000370D0000}"/>
    <cellStyle name="Currency 5 3 5 8 2 2" xfId="15485" xr:uid="{A20A6696-61C2-4B22-8BC4-1F7C43FF7C08}"/>
    <cellStyle name="Currency 5 3 5 8 3" xfId="11267" xr:uid="{BBF14224-4435-418C-A3E0-4ABC00A4A9A2}"/>
    <cellStyle name="Currency 5 3 5 9" xfId="4660" xr:uid="{00000000-0005-0000-0000-0000380D0000}"/>
    <cellStyle name="Currency 5 3 5 9 2" xfId="13102" xr:uid="{19DCBF52-3E69-4186-B314-DA4897A90FBA}"/>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10 2" xfId="13103" xr:uid="{CBD95C1D-94C4-4BCE-971E-4C8FD16DCC2D}"/>
    <cellStyle name="Currency 5 5 11" xfId="8885" xr:uid="{78980F6F-946F-44FA-9B22-C474CCD9600F}"/>
    <cellStyle name="Currency 5 5 2" xfId="220" xr:uid="{00000000-0005-0000-0000-00003D0D0000}"/>
    <cellStyle name="Currency 5 5 2 10" xfId="8886" xr:uid="{DCB1709F-8FA4-43FF-A3E1-90E9D8F9D7EC}"/>
    <cellStyle name="Currency 5 5 2 2" xfId="746" xr:uid="{00000000-0005-0000-0000-00003E0D0000}"/>
    <cellStyle name="Currency 5 5 2 2 2" xfId="2998" xr:uid="{00000000-0005-0000-0000-00003F0D0000}"/>
    <cellStyle name="Currency 5 5 2 2 2 2" xfId="7221" xr:uid="{00000000-0005-0000-0000-0000400D0000}"/>
    <cellStyle name="Currency 5 5 2 2 2 2 2" xfId="15663" xr:uid="{DBBE0F49-A8CC-4B31-BD1C-6AB674CDE330}"/>
    <cellStyle name="Currency 5 5 2 2 2 3" xfId="11445" xr:uid="{3968B0AF-CD1B-4425-9980-3F810496FC80}"/>
    <cellStyle name="Currency 5 5 2 2 3" xfId="5076" xr:uid="{00000000-0005-0000-0000-0000410D0000}"/>
    <cellStyle name="Currency 5 5 2 2 3 2" xfId="13518" xr:uid="{9604ADF8-9FD3-4C52-AF03-821723752163}"/>
    <cellStyle name="Currency 5 5 2 2 4" xfId="9300" xr:uid="{2EDD5632-A7FA-47B7-B370-CB25350314B4}"/>
    <cellStyle name="Currency 5 5 2 3" xfId="1180" xr:uid="{00000000-0005-0000-0000-0000420D0000}"/>
    <cellStyle name="Currency 5 5 2 3 2" xfId="3411" xr:uid="{00000000-0005-0000-0000-0000430D0000}"/>
    <cellStyle name="Currency 5 5 2 3 2 2" xfId="7634" xr:uid="{00000000-0005-0000-0000-0000440D0000}"/>
    <cellStyle name="Currency 5 5 2 3 2 2 2" xfId="16076" xr:uid="{8527C0CD-556A-480D-BB03-AE91C96B6EC6}"/>
    <cellStyle name="Currency 5 5 2 3 2 3" xfId="11858" xr:uid="{738B7038-2FBE-4078-88F0-7F861E9B90B0}"/>
    <cellStyle name="Currency 5 5 2 3 3" xfId="5489" xr:uid="{00000000-0005-0000-0000-0000450D0000}"/>
    <cellStyle name="Currency 5 5 2 3 3 2" xfId="13931" xr:uid="{C180ADA0-47DC-4FA8-838C-9196FF86B0A1}"/>
    <cellStyle name="Currency 5 5 2 3 4" xfId="9713" xr:uid="{5309D6A4-1F6B-4578-BC30-9D2B3E350A39}"/>
    <cellStyle name="Currency 5 5 2 4" xfId="1594" xr:uid="{00000000-0005-0000-0000-0000460D0000}"/>
    <cellStyle name="Currency 5 5 2 4 2" xfId="3824" xr:uid="{00000000-0005-0000-0000-0000470D0000}"/>
    <cellStyle name="Currency 5 5 2 4 2 2" xfId="8047" xr:uid="{00000000-0005-0000-0000-0000480D0000}"/>
    <cellStyle name="Currency 5 5 2 4 2 2 2" xfId="16489" xr:uid="{B0776FF5-77BE-4913-B840-0219D3D23DCA}"/>
    <cellStyle name="Currency 5 5 2 4 2 3" xfId="12271" xr:uid="{32C61A6C-B700-49EF-94F6-C3CB6B1E4651}"/>
    <cellStyle name="Currency 5 5 2 4 3" xfId="5902" xr:uid="{00000000-0005-0000-0000-0000490D0000}"/>
    <cellStyle name="Currency 5 5 2 4 3 2" xfId="14344" xr:uid="{EB7BAC7B-0479-4E6B-AD49-4ABA093BC5A2}"/>
    <cellStyle name="Currency 5 5 2 4 4" xfId="10126" xr:uid="{0ED222DA-ADF1-485F-B2A1-040B98E42744}"/>
    <cellStyle name="Currency 5 5 2 5" xfId="2008" xr:uid="{00000000-0005-0000-0000-00004A0D0000}"/>
    <cellStyle name="Currency 5 5 2 5 2" xfId="4237" xr:uid="{00000000-0005-0000-0000-00004B0D0000}"/>
    <cellStyle name="Currency 5 5 2 5 2 2" xfId="8460" xr:uid="{00000000-0005-0000-0000-00004C0D0000}"/>
    <cellStyle name="Currency 5 5 2 5 2 2 2" xfId="16902" xr:uid="{5E43B92A-7217-41CD-8B28-338E8AB14C87}"/>
    <cellStyle name="Currency 5 5 2 5 2 3" xfId="12684" xr:uid="{A4C33575-33B1-464A-938A-1494906B0AC0}"/>
    <cellStyle name="Currency 5 5 2 5 3" xfId="6315" xr:uid="{00000000-0005-0000-0000-00004D0D0000}"/>
    <cellStyle name="Currency 5 5 2 5 3 2" xfId="14757" xr:uid="{74842117-E5D5-484F-8A1D-60FF13711F33}"/>
    <cellStyle name="Currency 5 5 2 5 4" xfId="10539" xr:uid="{284BF2CB-067F-4950-85E8-9D587FF09B2D}"/>
    <cellStyle name="Currency 5 5 2 6" xfId="2443" xr:uid="{00000000-0005-0000-0000-00004E0D0000}"/>
    <cellStyle name="Currency 5 5 2 6 2" xfId="6728" xr:uid="{00000000-0005-0000-0000-00004F0D0000}"/>
    <cellStyle name="Currency 5 5 2 6 2 2" xfId="15170" xr:uid="{76F6201B-1665-4D25-BCD1-9D1E8F8EA1E4}"/>
    <cellStyle name="Currency 5 5 2 6 3" xfId="10952" xr:uid="{2CDE2FB5-A2A8-4FEA-B3FB-2450D19338CD}"/>
    <cellStyle name="Currency 5 5 2 7" xfId="2740" xr:uid="{00000000-0005-0000-0000-0000500D0000}"/>
    <cellStyle name="Currency 5 5 2 8" xfId="2821" xr:uid="{00000000-0005-0000-0000-0000510D0000}"/>
    <cellStyle name="Currency 5 5 2 8 2" xfId="7045" xr:uid="{00000000-0005-0000-0000-0000520D0000}"/>
    <cellStyle name="Currency 5 5 2 8 2 2" xfId="15487" xr:uid="{6917E1CD-A6D0-4474-A288-A4F8C1626AA8}"/>
    <cellStyle name="Currency 5 5 2 8 3" xfId="11269" xr:uid="{EA5F208D-AEF8-45C4-942F-414F7153073C}"/>
    <cellStyle name="Currency 5 5 2 9" xfId="4662" xr:uid="{00000000-0005-0000-0000-0000530D0000}"/>
    <cellStyle name="Currency 5 5 2 9 2" xfId="13104" xr:uid="{B544CEFE-3E7A-4AF4-8637-AC6FEE5828C4}"/>
    <cellStyle name="Currency 5 5 3" xfId="745" xr:uid="{00000000-0005-0000-0000-0000540D0000}"/>
    <cellStyle name="Currency 5 5 3 2" xfId="2997" xr:uid="{00000000-0005-0000-0000-0000550D0000}"/>
    <cellStyle name="Currency 5 5 3 2 2" xfId="7220" xr:uid="{00000000-0005-0000-0000-0000560D0000}"/>
    <cellStyle name="Currency 5 5 3 2 2 2" xfId="15662" xr:uid="{0457B6B5-E7D9-478F-883D-EEDCB11F376B}"/>
    <cellStyle name="Currency 5 5 3 2 3" xfId="11444" xr:uid="{C939FC82-9D9A-4FFA-951C-E7D4F3047BC9}"/>
    <cellStyle name="Currency 5 5 3 3" xfId="5075" xr:uid="{00000000-0005-0000-0000-0000570D0000}"/>
    <cellStyle name="Currency 5 5 3 3 2" xfId="13517" xr:uid="{E86A1601-FEFF-47AA-BC99-638ED21B3223}"/>
    <cellStyle name="Currency 5 5 3 4" xfId="9299" xr:uid="{3D473C28-627C-4D0F-ADB2-BB268C9FF99D}"/>
    <cellStyle name="Currency 5 5 4" xfId="1179" xr:uid="{00000000-0005-0000-0000-0000580D0000}"/>
    <cellStyle name="Currency 5 5 4 2" xfId="3410" xr:uid="{00000000-0005-0000-0000-0000590D0000}"/>
    <cellStyle name="Currency 5 5 4 2 2" xfId="7633" xr:uid="{00000000-0005-0000-0000-00005A0D0000}"/>
    <cellStyle name="Currency 5 5 4 2 2 2" xfId="16075" xr:uid="{D69D38E9-C0C5-471D-B399-8AB86C5D3D62}"/>
    <cellStyle name="Currency 5 5 4 2 3" xfId="11857" xr:uid="{E869615A-285E-4DE6-B575-2DE0F0596CE7}"/>
    <cellStyle name="Currency 5 5 4 3" xfId="5488" xr:uid="{00000000-0005-0000-0000-00005B0D0000}"/>
    <cellStyle name="Currency 5 5 4 3 2" xfId="13930" xr:uid="{94045A18-EC2C-4399-AA28-930EB73852B7}"/>
    <cellStyle name="Currency 5 5 4 4" xfId="9712" xr:uid="{58B99496-31DB-4D1B-841E-3C480FAA58FE}"/>
    <cellStyle name="Currency 5 5 5" xfId="1593" xr:uid="{00000000-0005-0000-0000-00005C0D0000}"/>
    <cellStyle name="Currency 5 5 5 2" xfId="3823" xr:uid="{00000000-0005-0000-0000-00005D0D0000}"/>
    <cellStyle name="Currency 5 5 5 2 2" xfId="8046" xr:uid="{00000000-0005-0000-0000-00005E0D0000}"/>
    <cellStyle name="Currency 5 5 5 2 2 2" xfId="16488" xr:uid="{BA32DD61-35EC-42AA-93F2-E09602102BB2}"/>
    <cellStyle name="Currency 5 5 5 2 3" xfId="12270" xr:uid="{E716F4A6-14BA-4319-8F4C-ACE08CA56403}"/>
    <cellStyle name="Currency 5 5 5 3" xfId="5901" xr:uid="{00000000-0005-0000-0000-00005F0D0000}"/>
    <cellStyle name="Currency 5 5 5 3 2" xfId="14343" xr:uid="{84BA7F38-1EF8-49C7-8313-EAC1BA10B6CF}"/>
    <cellStyle name="Currency 5 5 5 4" xfId="10125" xr:uid="{300623AE-3F38-479C-9B5E-EBE9F7FE2614}"/>
    <cellStyle name="Currency 5 5 6" xfId="2007" xr:uid="{00000000-0005-0000-0000-0000600D0000}"/>
    <cellStyle name="Currency 5 5 6 2" xfId="4236" xr:uid="{00000000-0005-0000-0000-0000610D0000}"/>
    <cellStyle name="Currency 5 5 6 2 2" xfId="8459" xr:uid="{00000000-0005-0000-0000-0000620D0000}"/>
    <cellStyle name="Currency 5 5 6 2 2 2" xfId="16901" xr:uid="{BE4A897D-96E8-4276-BF27-71251ABEAAB2}"/>
    <cellStyle name="Currency 5 5 6 2 3" xfId="12683" xr:uid="{6447BB5C-80F8-4718-A818-7A5C617412B6}"/>
    <cellStyle name="Currency 5 5 6 3" xfId="6314" xr:uid="{00000000-0005-0000-0000-0000630D0000}"/>
    <cellStyle name="Currency 5 5 6 3 2" xfId="14756" xr:uid="{375A8E54-6CFA-4679-84BC-B1102240F80A}"/>
    <cellStyle name="Currency 5 5 6 4" xfId="10538" xr:uid="{85916757-E4E4-4200-944B-9C97C3F95C16}"/>
    <cellStyle name="Currency 5 5 7" xfId="2442" xr:uid="{00000000-0005-0000-0000-0000640D0000}"/>
    <cellStyle name="Currency 5 5 7 2" xfId="6727" xr:uid="{00000000-0005-0000-0000-0000650D0000}"/>
    <cellStyle name="Currency 5 5 7 2 2" xfId="15169" xr:uid="{C6BBC315-3A5E-4C57-9AFE-0762AF3C78C3}"/>
    <cellStyle name="Currency 5 5 7 3" xfId="10951" xr:uid="{4D4068CF-C81A-4B2B-AFBE-23E618186344}"/>
    <cellStyle name="Currency 5 5 8" xfId="2739" xr:uid="{00000000-0005-0000-0000-0000660D0000}"/>
    <cellStyle name="Currency 5 5 9" xfId="2820" xr:uid="{00000000-0005-0000-0000-0000670D0000}"/>
    <cellStyle name="Currency 5 5 9 2" xfId="7044" xr:uid="{00000000-0005-0000-0000-0000680D0000}"/>
    <cellStyle name="Currency 5 5 9 2 2" xfId="15486" xr:uid="{F47C1AC1-74BA-42A7-BEE7-3C240CF731F2}"/>
    <cellStyle name="Currency 5 5 9 3" xfId="11268" xr:uid="{6284EE15-BF2F-4820-836E-61BAF2953230}"/>
    <cellStyle name="Currency 5 6" xfId="221" xr:uid="{00000000-0005-0000-0000-0000690D0000}"/>
    <cellStyle name="Currency 5 6 10" xfId="8887" xr:uid="{60EE2CE6-F014-4383-9CB3-7BB2337BA01D}"/>
    <cellStyle name="Currency 5 6 2" xfId="747" xr:uid="{00000000-0005-0000-0000-00006A0D0000}"/>
    <cellStyle name="Currency 5 6 2 2" xfId="2999" xr:uid="{00000000-0005-0000-0000-00006B0D0000}"/>
    <cellStyle name="Currency 5 6 2 2 2" xfId="7222" xr:uid="{00000000-0005-0000-0000-00006C0D0000}"/>
    <cellStyle name="Currency 5 6 2 2 2 2" xfId="15664" xr:uid="{8BB7A331-D6C2-4E75-B905-2A56F3FA3349}"/>
    <cellStyle name="Currency 5 6 2 2 3" xfId="11446" xr:uid="{D2B669FC-C664-4A06-81D3-8DD44363A6D7}"/>
    <cellStyle name="Currency 5 6 2 3" xfId="5077" xr:uid="{00000000-0005-0000-0000-00006D0D0000}"/>
    <cellStyle name="Currency 5 6 2 3 2" xfId="13519" xr:uid="{0B9AEB7A-6F55-437D-AF8E-0A9056B72006}"/>
    <cellStyle name="Currency 5 6 2 4" xfId="9301" xr:uid="{B9CC013C-AE56-46FD-9394-C784698F2708}"/>
    <cellStyle name="Currency 5 6 3" xfId="1181" xr:uid="{00000000-0005-0000-0000-00006E0D0000}"/>
    <cellStyle name="Currency 5 6 3 2" xfId="3412" xr:uid="{00000000-0005-0000-0000-00006F0D0000}"/>
    <cellStyle name="Currency 5 6 3 2 2" xfId="7635" xr:uid="{00000000-0005-0000-0000-0000700D0000}"/>
    <cellStyle name="Currency 5 6 3 2 2 2" xfId="16077" xr:uid="{2DE25F57-5C72-4A57-BF63-A3D173F96196}"/>
    <cellStyle name="Currency 5 6 3 2 3" xfId="11859" xr:uid="{FFA8D653-2874-47DE-90DD-A1E5A03CEADF}"/>
    <cellStyle name="Currency 5 6 3 3" xfId="5490" xr:uid="{00000000-0005-0000-0000-0000710D0000}"/>
    <cellStyle name="Currency 5 6 3 3 2" xfId="13932" xr:uid="{3D856167-61AE-4493-A789-4728A590DC5E}"/>
    <cellStyle name="Currency 5 6 3 4" xfId="9714" xr:uid="{4199BA46-E0E3-4372-A789-8E3F57B573CA}"/>
    <cellStyle name="Currency 5 6 4" xfId="1595" xr:uid="{00000000-0005-0000-0000-0000720D0000}"/>
    <cellStyle name="Currency 5 6 4 2" xfId="3825" xr:uid="{00000000-0005-0000-0000-0000730D0000}"/>
    <cellStyle name="Currency 5 6 4 2 2" xfId="8048" xr:uid="{00000000-0005-0000-0000-0000740D0000}"/>
    <cellStyle name="Currency 5 6 4 2 2 2" xfId="16490" xr:uid="{52EE264A-CC86-4F2C-896E-21086EED4DB0}"/>
    <cellStyle name="Currency 5 6 4 2 3" xfId="12272" xr:uid="{AEB76C11-4B94-45F6-979E-D2F41D27A6D3}"/>
    <cellStyle name="Currency 5 6 4 3" xfId="5903" xr:uid="{00000000-0005-0000-0000-0000750D0000}"/>
    <cellStyle name="Currency 5 6 4 3 2" xfId="14345" xr:uid="{05A1824A-26DD-4F48-B687-9EFAB62A65BB}"/>
    <cellStyle name="Currency 5 6 4 4" xfId="10127" xr:uid="{CB6B4DFA-2F60-4219-A201-955BD1BC11A7}"/>
    <cellStyle name="Currency 5 6 5" xfId="2009" xr:uid="{00000000-0005-0000-0000-0000760D0000}"/>
    <cellStyle name="Currency 5 6 5 2" xfId="4238" xr:uid="{00000000-0005-0000-0000-0000770D0000}"/>
    <cellStyle name="Currency 5 6 5 2 2" xfId="8461" xr:uid="{00000000-0005-0000-0000-0000780D0000}"/>
    <cellStyle name="Currency 5 6 5 2 2 2" xfId="16903" xr:uid="{A01BD12D-34A6-464F-9C9A-1B5EBDCAC790}"/>
    <cellStyle name="Currency 5 6 5 2 3" xfId="12685" xr:uid="{FCAFD06A-034D-431A-AEC4-6AB117F7F72A}"/>
    <cellStyle name="Currency 5 6 5 3" xfId="6316" xr:uid="{00000000-0005-0000-0000-0000790D0000}"/>
    <cellStyle name="Currency 5 6 5 3 2" xfId="14758" xr:uid="{8065D7A6-DDC1-40ED-9D26-ADF65B6151A3}"/>
    <cellStyle name="Currency 5 6 5 4" xfId="10540" xr:uid="{65557E38-6B6A-4497-BBAD-3EFFE9761BE1}"/>
    <cellStyle name="Currency 5 6 6" xfId="2444" xr:uid="{00000000-0005-0000-0000-00007A0D0000}"/>
    <cellStyle name="Currency 5 6 6 2" xfId="6729" xr:uid="{00000000-0005-0000-0000-00007B0D0000}"/>
    <cellStyle name="Currency 5 6 6 2 2" xfId="15171" xr:uid="{E8BEF058-5184-48C3-ABE7-12401F97EAC8}"/>
    <cellStyle name="Currency 5 6 6 3" xfId="10953" xr:uid="{D042C9FA-CDDB-4EBA-91E2-544851C1E4F5}"/>
    <cellStyle name="Currency 5 6 7" xfId="2741" xr:uid="{00000000-0005-0000-0000-00007C0D0000}"/>
    <cellStyle name="Currency 5 6 8" xfId="2822" xr:uid="{00000000-0005-0000-0000-00007D0D0000}"/>
    <cellStyle name="Currency 5 6 8 2" xfId="7046" xr:uid="{00000000-0005-0000-0000-00007E0D0000}"/>
    <cellStyle name="Currency 5 6 8 2 2" xfId="15488" xr:uid="{54DB14EB-6D7A-42E1-AF44-2D57B97A37C7}"/>
    <cellStyle name="Currency 5 6 8 3" xfId="11270" xr:uid="{44877E71-52B9-465D-886C-488F31DDB3C5}"/>
    <cellStyle name="Currency 5 6 9" xfId="4663" xr:uid="{00000000-0005-0000-0000-00007F0D0000}"/>
    <cellStyle name="Currency 5 6 9 2" xfId="13105" xr:uid="{2D5DE6A6-FD10-41E8-BFAF-84968A06225F}"/>
    <cellStyle name="Currency 5 7" xfId="222" xr:uid="{00000000-0005-0000-0000-0000800D0000}"/>
    <cellStyle name="Currency 5 7 10" xfId="8888" xr:uid="{447F4E79-5A5B-4557-8571-26E203FE5748}"/>
    <cellStyle name="Currency 5 7 2" xfId="748" xr:uid="{00000000-0005-0000-0000-0000810D0000}"/>
    <cellStyle name="Currency 5 7 2 2" xfId="3000" xr:uid="{00000000-0005-0000-0000-0000820D0000}"/>
    <cellStyle name="Currency 5 7 2 2 2" xfId="7223" xr:uid="{00000000-0005-0000-0000-0000830D0000}"/>
    <cellStyle name="Currency 5 7 2 2 2 2" xfId="15665" xr:uid="{92007F1D-6096-4689-8485-150097498252}"/>
    <cellStyle name="Currency 5 7 2 2 3" xfId="11447" xr:uid="{1E9125C6-8AC1-490D-B9E5-9864692F18E6}"/>
    <cellStyle name="Currency 5 7 2 3" xfId="5078" xr:uid="{00000000-0005-0000-0000-0000840D0000}"/>
    <cellStyle name="Currency 5 7 2 3 2" xfId="13520" xr:uid="{0E78BE87-7442-4D55-A0B0-D842CBE972EA}"/>
    <cellStyle name="Currency 5 7 2 4" xfId="9302" xr:uid="{DB82AAE5-25D4-434D-B434-D1F981351D67}"/>
    <cellStyle name="Currency 5 7 3" xfId="1182" xr:uid="{00000000-0005-0000-0000-0000850D0000}"/>
    <cellStyle name="Currency 5 7 3 2" xfId="3413" xr:uid="{00000000-0005-0000-0000-0000860D0000}"/>
    <cellStyle name="Currency 5 7 3 2 2" xfId="7636" xr:uid="{00000000-0005-0000-0000-0000870D0000}"/>
    <cellStyle name="Currency 5 7 3 2 2 2" xfId="16078" xr:uid="{FBE3268B-AC07-4ED1-A83C-BABA7F715E39}"/>
    <cellStyle name="Currency 5 7 3 2 3" xfId="11860" xr:uid="{D2F95F33-8C69-4EF7-8816-9FA89B26C1B6}"/>
    <cellStyle name="Currency 5 7 3 3" xfId="5491" xr:uid="{00000000-0005-0000-0000-0000880D0000}"/>
    <cellStyle name="Currency 5 7 3 3 2" xfId="13933" xr:uid="{5606672B-4CCE-4990-BF23-AA97293B260B}"/>
    <cellStyle name="Currency 5 7 3 4" xfId="9715" xr:uid="{B0755420-B121-4C56-A370-F5871EABC8BB}"/>
    <cellStyle name="Currency 5 7 4" xfId="1596" xr:uid="{00000000-0005-0000-0000-0000890D0000}"/>
    <cellStyle name="Currency 5 7 4 2" xfId="3826" xr:uid="{00000000-0005-0000-0000-00008A0D0000}"/>
    <cellStyle name="Currency 5 7 4 2 2" xfId="8049" xr:uid="{00000000-0005-0000-0000-00008B0D0000}"/>
    <cellStyle name="Currency 5 7 4 2 2 2" xfId="16491" xr:uid="{3F9E1E52-C0D4-49DE-A2D1-21F704B18610}"/>
    <cellStyle name="Currency 5 7 4 2 3" xfId="12273" xr:uid="{9E06B5C9-28D7-461E-8709-4FA0AE260A7A}"/>
    <cellStyle name="Currency 5 7 4 3" xfId="5904" xr:uid="{00000000-0005-0000-0000-00008C0D0000}"/>
    <cellStyle name="Currency 5 7 4 3 2" xfId="14346" xr:uid="{259C9610-1DA2-4ED7-B500-C3B71D756342}"/>
    <cellStyle name="Currency 5 7 4 4" xfId="10128" xr:uid="{776966E2-FAA0-4160-9521-C801DA5860FF}"/>
    <cellStyle name="Currency 5 7 5" xfId="2010" xr:uid="{00000000-0005-0000-0000-00008D0D0000}"/>
    <cellStyle name="Currency 5 7 5 2" xfId="4239" xr:uid="{00000000-0005-0000-0000-00008E0D0000}"/>
    <cellStyle name="Currency 5 7 5 2 2" xfId="8462" xr:uid="{00000000-0005-0000-0000-00008F0D0000}"/>
    <cellStyle name="Currency 5 7 5 2 2 2" xfId="16904" xr:uid="{5B9B3298-B9B3-482A-9AA0-761289517282}"/>
    <cellStyle name="Currency 5 7 5 2 3" xfId="12686" xr:uid="{E6BBF949-37C5-4D89-803D-A59A5BC49E4F}"/>
    <cellStyle name="Currency 5 7 5 3" xfId="6317" xr:uid="{00000000-0005-0000-0000-0000900D0000}"/>
    <cellStyle name="Currency 5 7 5 3 2" xfId="14759" xr:uid="{9F893545-27DE-4C23-BB39-FC8008D2D0A6}"/>
    <cellStyle name="Currency 5 7 5 4" xfId="10541" xr:uid="{9F521089-B4B6-4F9A-91C0-AEA606C8A9E4}"/>
    <cellStyle name="Currency 5 7 6" xfId="2445" xr:uid="{00000000-0005-0000-0000-0000910D0000}"/>
    <cellStyle name="Currency 5 7 6 2" xfId="6730" xr:uid="{00000000-0005-0000-0000-0000920D0000}"/>
    <cellStyle name="Currency 5 7 6 2 2" xfId="15172" xr:uid="{94AE9343-7BEF-4AB1-B160-88399FE8608A}"/>
    <cellStyle name="Currency 5 7 6 3" xfId="10954" xr:uid="{F6EFF26B-0680-46B9-BA08-CDE33A899D2B}"/>
    <cellStyle name="Currency 5 7 7" xfId="2742" xr:uid="{00000000-0005-0000-0000-0000930D0000}"/>
    <cellStyle name="Currency 5 7 8" xfId="2823" xr:uid="{00000000-0005-0000-0000-0000940D0000}"/>
    <cellStyle name="Currency 5 7 8 2" xfId="7047" xr:uid="{00000000-0005-0000-0000-0000950D0000}"/>
    <cellStyle name="Currency 5 7 8 2 2" xfId="15489" xr:uid="{D98EC27D-4916-460D-8C9B-C24E19A00A20}"/>
    <cellStyle name="Currency 5 7 8 3" xfId="11271" xr:uid="{31B66B98-B185-4489-8121-2DFA1AA79DEE}"/>
    <cellStyle name="Currency 5 7 9" xfId="4664" xr:uid="{00000000-0005-0000-0000-0000960D0000}"/>
    <cellStyle name="Currency 5 7 9 2" xfId="13106" xr:uid="{90CE97CD-56A6-4527-8704-15200EA0A75F}"/>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0 2 2" xfId="15173" xr:uid="{5770775C-DF78-4574-9E91-88DCC0AB80B2}"/>
    <cellStyle name="Normal 12 10 3" xfId="10955" xr:uid="{D180BB4A-AE3B-4B6D-AB9D-EE715FB9E640}"/>
    <cellStyle name="Normal 12 11" xfId="4665" xr:uid="{00000000-0005-0000-0000-0000CC0D0000}"/>
    <cellStyle name="Normal 12 11 2" xfId="13107" xr:uid="{678AFE92-7E59-4A13-B6D2-DE2B5FE9E577}"/>
    <cellStyle name="Normal 12 12" xfId="8889" xr:uid="{96C1FC01-B1E2-4836-8E5E-96FA2F912BB2}"/>
    <cellStyle name="Normal 12 2" xfId="260" xr:uid="{00000000-0005-0000-0000-0000CD0D0000}"/>
    <cellStyle name="Normal 12 2 10" xfId="8890" xr:uid="{A55DFC7D-5505-4259-9F31-98EDDA7FF69C}"/>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2 2 2" xfId="15669" xr:uid="{5B407E69-C702-41A8-83F8-88BC3E37EE0E}"/>
    <cellStyle name="Normal 12 2 2 2 2 2 3" xfId="11451" xr:uid="{EF44F510-ACBE-4733-93D1-B82D4F3535BD}"/>
    <cellStyle name="Normal 12 2 2 2 2 3" xfId="5082" xr:uid="{00000000-0005-0000-0000-0000D30D0000}"/>
    <cellStyle name="Normal 12 2 2 2 2 3 2" xfId="13524" xr:uid="{DA017EF9-7892-418C-84FC-A82A59D50CBF}"/>
    <cellStyle name="Normal 12 2 2 2 2 4" xfId="9306" xr:uid="{DE710D98-6F8E-4BF2-82B6-1AC4E0B8532E}"/>
    <cellStyle name="Normal 12 2 2 2 3" xfId="1186" xr:uid="{00000000-0005-0000-0000-0000D40D0000}"/>
    <cellStyle name="Normal 12 2 2 2 3 2" xfId="3417" xr:uid="{00000000-0005-0000-0000-0000D50D0000}"/>
    <cellStyle name="Normal 12 2 2 2 3 2 2" xfId="7640" xr:uid="{00000000-0005-0000-0000-0000D60D0000}"/>
    <cellStyle name="Normal 12 2 2 2 3 2 2 2" xfId="16082" xr:uid="{16A0750E-F71E-4595-943C-0BA3D7E5F4CA}"/>
    <cellStyle name="Normal 12 2 2 2 3 2 3" xfId="11864" xr:uid="{2F0D207D-37F6-4450-A640-E24BA4BAAB57}"/>
    <cellStyle name="Normal 12 2 2 2 3 3" xfId="5495" xr:uid="{00000000-0005-0000-0000-0000D70D0000}"/>
    <cellStyle name="Normal 12 2 2 2 3 3 2" xfId="13937" xr:uid="{47DA7E45-4684-491A-A801-3AF9EBE006AC}"/>
    <cellStyle name="Normal 12 2 2 2 3 4" xfId="9719" xr:uid="{F9754A0A-3899-4028-AF50-C698B5A2F918}"/>
    <cellStyle name="Normal 12 2 2 2 4" xfId="1600" xr:uid="{00000000-0005-0000-0000-0000D80D0000}"/>
    <cellStyle name="Normal 12 2 2 2 4 2" xfId="3830" xr:uid="{00000000-0005-0000-0000-0000D90D0000}"/>
    <cellStyle name="Normal 12 2 2 2 4 2 2" xfId="8053" xr:uid="{00000000-0005-0000-0000-0000DA0D0000}"/>
    <cellStyle name="Normal 12 2 2 2 4 2 2 2" xfId="16495" xr:uid="{AEAE2A1A-5E89-4D71-9F1E-D9858FD92265}"/>
    <cellStyle name="Normal 12 2 2 2 4 2 3" xfId="12277" xr:uid="{6289831A-8FB0-43A9-83EF-DF0419D341FF}"/>
    <cellStyle name="Normal 12 2 2 2 4 3" xfId="5908" xr:uid="{00000000-0005-0000-0000-0000DB0D0000}"/>
    <cellStyle name="Normal 12 2 2 2 4 3 2" xfId="14350" xr:uid="{E7EE914A-FA41-4799-840F-078CBBD77B33}"/>
    <cellStyle name="Normal 12 2 2 2 4 4" xfId="10132" xr:uid="{015DFD7A-ED02-425F-96E7-B9AA92132B25}"/>
    <cellStyle name="Normal 12 2 2 2 5" xfId="2014" xr:uid="{00000000-0005-0000-0000-0000DC0D0000}"/>
    <cellStyle name="Normal 12 2 2 2 5 2" xfId="4243" xr:uid="{00000000-0005-0000-0000-0000DD0D0000}"/>
    <cellStyle name="Normal 12 2 2 2 5 2 2" xfId="8466" xr:uid="{00000000-0005-0000-0000-0000DE0D0000}"/>
    <cellStyle name="Normal 12 2 2 2 5 2 2 2" xfId="16908" xr:uid="{FF25FCBD-AE1F-4A54-90E9-EC1AF427229C}"/>
    <cellStyle name="Normal 12 2 2 2 5 2 3" xfId="12690" xr:uid="{28531428-6B17-4D7D-B81C-23B5A835BD43}"/>
    <cellStyle name="Normal 12 2 2 2 5 3" xfId="6321" xr:uid="{00000000-0005-0000-0000-0000DF0D0000}"/>
    <cellStyle name="Normal 12 2 2 2 5 3 2" xfId="14763" xr:uid="{6B2C7A50-FA3F-464D-9839-05CCDD0AE631}"/>
    <cellStyle name="Normal 12 2 2 2 5 4" xfId="10545" xr:uid="{A8FEDE4B-F87E-4AC0-8486-8DA4A87FEF20}"/>
    <cellStyle name="Normal 12 2 2 2 6" xfId="2450" xr:uid="{00000000-0005-0000-0000-0000E00D0000}"/>
    <cellStyle name="Normal 12 2 2 2 6 2" xfId="6734" xr:uid="{00000000-0005-0000-0000-0000E10D0000}"/>
    <cellStyle name="Normal 12 2 2 2 6 2 2" xfId="15176" xr:uid="{A0F5F547-7ADF-44CB-92A6-158F62BB6D5A}"/>
    <cellStyle name="Normal 12 2 2 2 6 3" xfId="10958" xr:uid="{2F6F031E-90B4-485B-BE6D-9F33872C56D7}"/>
    <cellStyle name="Normal 12 2 2 2 7" xfId="4668" xr:uid="{00000000-0005-0000-0000-0000E20D0000}"/>
    <cellStyle name="Normal 12 2 2 2 7 2" xfId="13110" xr:uid="{2254BCD6-7509-41CA-B3E9-922EE78320CA}"/>
    <cellStyle name="Normal 12 2 2 2 8" xfId="8892" xr:uid="{8E6F4287-64C3-411C-AEF7-F1188152035A}"/>
    <cellStyle name="Normal 12 2 2 3" xfId="762" xr:uid="{00000000-0005-0000-0000-0000E30D0000}"/>
    <cellStyle name="Normal 12 2 2 3 2" xfId="3003" xr:uid="{00000000-0005-0000-0000-0000E40D0000}"/>
    <cellStyle name="Normal 12 2 2 3 2 2" xfId="7226" xr:uid="{00000000-0005-0000-0000-0000E50D0000}"/>
    <cellStyle name="Normal 12 2 2 3 2 2 2" xfId="15668" xr:uid="{557A31E9-1FB0-4F19-986C-FAA3D0B8FA6D}"/>
    <cellStyle name="Normal 12 2 2 3 2 3" xfId="11450" xr:uid="{AD6EC7BA-ADA2-4963-BC3E-4F4D568FFC71}"/>
    <cellStyle name="Normal 12 2 2 3 3" xfId="5081" xr:uid="{00000000-0005-0000-0000-0000E60D0000}"/>
    <cellStyle name="Normal 12 2 2 3 3 2" xfId="13523" xr:uid="{0A33AFAE-ADAF-47DF-8148-04548D6AFB40}"/>
    <cellStyle name="Normal 12 2 2 3 4" xfId="9305" xr:uid="{73AF66DF-25FB-4F03-B6E3-D7D40A4452BC}"/>
    <cellStyle name="Normal 12 2 2 4" xfId="1185" xr:uid="{00000000-0005-0000-0000-0000E70D0000}"/>
    <cellStyle name="Normal 12 2 2 4 2" xfId="3416" xr:uid="{00000000-0005-0000-0000-0000E80D0000}"/>
    <cellStyle name="Normal 12 2 2 4 2 2" xfId="7639" xr:uid="{00000000-0005-0000-0000-0000E90D0000}"/>
    <cellStyle name="Normal 12 2 2 4 2 2 2" xfId="16081" xr:uid="{A748F509-4701-4FB9-82DD-73CA7A7346C0}"/>
    <cellStyle name="Normal 12 2 2 4 2 3" xfId="11863" xr:uid="{039CE5B6-5570-4AF2-9267-1C880D694162}"/>
    <cellStyle name="Normal 12 2 2 4 3" xfId="5494" xr:uid="{00000000-0005-0000-0000-0000EA0D0000}"/>
    <cellStyle name="Normal 12 2 2 4 3 2" xfId="13936" xr:uid="{2716EE9E-AD7E-4C66-89CF-0FC87FDD9575}"/>
    <cellStyle name="Normal 12 2 2 4 4" xfId="9718" xr:uid="{020B6B55-5DDA-418C-9C2E-683CFE62A9DC}"/>
    <cellStyle name="Normal 12 2 2 5" xfId="1599" xr:uid="{00000000-0005-0000-0000-0000EB0D0000}"/>
    <cellStyle name="Normal 12 2 2 5 2" xfId="3829" xr:uid="{00000000-0005-0000-0000-0000EC0D0000}"/>
    <cellStyle name="Normal 12 2 2 5 2 2" xfId="8052" xr:uid="{00000000-0005-0000-0000-0000ED0D0000}"/>
    <cellStyle name="Normal 12 2 2 5 2 2 2" xfId="16494" xr:uid="{078C5239-DFFA-4D44-87BD-8644B6E5F474}"/>
    <cellStyle name="Normal 12 2 2 5 2 3" xfId="12276" xr:uid="{D2723D06-2A0F-40A9-A47C-9EA5218F8CDD}"/>
    <cellStyle name="Normal 12 2 2 5 3" xfId="5907" xr:uid="{00000000-0005-0000-0000-0000EE0D0000}"/>
    <cellStyle name="Normal 12 2 2 5 3 2" xfId="14349" xr:uid="{0CEE3508-F323-42FD-9516-5D0CF5E668D5}"/>
    <cellStyle name="Normal 12 2 2 5 4" xfId="10131" xr:uid="{998C4FBB-9D96-4DAA-8E67-7A09732D86B6}"/>
    <cellStyle name="Normal 12 2 2 6" xfId="2013" xr:uid="{00000000-0005-0000-0000-0000EF0D0000}"/>
    <cellStyle name="Normal 12 2 2 6 2" xfId="4242" xr:uid="{00000000-0005-0000-0000-0000F00D0000}"/>
    <cellStyle name="Normal 12 2 2 6 2 2" xfId="8465" xr:uid="{00000000-0005-0000-0000-0000F10D0000}"/>
    <cellStyle name="Normal 12 2 2 6 2 2 2" xfId="16907" xr:uid="{EA5202F5-9F98-478E-B86F-95D978E6E4D4}"/>
    <cellStyle name="Normal 12 2 2 6 2 3" xfId="12689" xr:uid="{32C83EE8-C82D-4AD8-89FE-8F234DB81379}"/>
    <cellStyle name="Normal 12 2 2 6 3" xfId="6320" xr:uid="{00000000-0005-0000-0000-0000F20D0000}"/>
    <cellStyle name="Normal 12 2 2 6 3 2" xfId="14762" xr:uid="{A0395A2D-E6AC-4CE9-8031-6C2359CB7C06}"/>
    <cellStyle name="Normal 12 2 2 6 4" xfId="10544" xr:uid="{3647EA19-C6FE-4319-A119-FE5ACE22D802}"/>
    <cellStyle name="Normal 12 2 2 7" xfId="2449" xr:uid="{00000000-0005-0000-0000-0000F30D0000}"/>
    <cellStyle name="Normal 12 2 2 7 2" xfId="6733" xr:uid="{00000000-0005-0000-0000-0000F40D0000}"/>
    <cellStyle name="Normal 12 2 2 7 2 2" xfId="15175" xr:uid="{16D7A38D-B43A-4407-A573-707719712673}"/>
    <cellStyle name="Normal 12 2 2 7 3" xfId="10957" xr:uid="{15B531C0-455E-42EF-BFFD-60230003345A}"/>
    <cellStyle name="Normal 12 2 2 8" xfId="4667" xr:uid="{00000000-0005-0000-0000-0000F50D0000}"/>
    <cellStyle name="Normal 12 2 2 8 2" xfId="13109" xr:uid="{8C9D2863-15B6-4FC8-A405-DF20D6E908AF}"/>
    <cellStyle name="Normal 12 2 2 9" xfId="8891" xr:uid="{64168860-D2B6-4528-B656-31620971235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2 2 2" xfId="15670" xr:uid="{5F6C8E4C-F905-4643-9A0B-F0CB3EEA95E2}"/>
    <cellStyle name="Normal 12 2 3 2 2 3" xfId="11452" xr:uid="{6CBE2245-2060-4BCF-B14F-931883A99926}"/>
    <cellStyle name="Normal 12 2 3 2 3" xfId="5083" xr:uid="{00000000-0005-0000-0000-0000FA0D0000}"/>
    <cellStyle name="Normal 12 2 3 2 3 2" xfId="13525" xr:uid="{48FA8D5E-5E15-405E-B2C6-AEFFF7644D12}"/>
    <cellStyle name="Normal 12 2 3 2 4" xfId="9307" xr:uid="{0C457A71-AE6A-49E4-8753-EC1432E192AE}"/>
    <cellStyle name="Normal 12 2 3 3" xfId="1187" xr:uid="{00000000-0005-0000-0000-0000FB0D0000}"/>
    <cellStyle name="Normal 12 2 3 3 2" xfId="3418" xr:uid="{00000000-0005-0000-0000-0000FC0D0000}"/>
    <cellStyle name="Normal 12 2 3 3 2 2" xfId="7641" xr:uid="{00000000-0005-0000-0000-0000FD0D0000}"/>
    <cellStyle name="Normal 12 2 3 3 2 2 2" xfId="16083" xr:uid="{00E7FC07-AD8E-4056-8850-0EAAED5706CC}"/>
    <cellStyle name="Normal 12 2 3 3 2 3" xfId="11865" xr:uid="{E4A845D5-6F5C-4B17-A105-BCBC591DF182}"/>
    <cellStyle name="Normal 12 2 3 3 3" xfId="5496" xr:uid="{00000000-0005-0000-0000-0000FE0D0000}"/>
    <cellStyle name="Normal 12 2 3 3 3 2" xfId="13938" xr:uid="{A747BD09-5AE8-4A8D-906F-4497C317EA46}"/>
    <cellStyle name="Normal 12 2 3 3 4" xfId="9720" xr:uid="{90FCA170-3C62-4FE7-A306-8D9FA5E2018B}"/>
    <cellStyle name="Normal 12 2 3 4" xfId="1601" xr:uid="{00000000-0005-0000-0000-0000FF0D0000}"/>
    <cellStyle name="Normal 12 2 3 4 2" xfId="3831" xr:uid="{00000000-0005-0000-0000-0000000E0000}"/>
    <cellStyle name="Normal 12 2 3 4 2 2" xfId="8054" xr:uid="{00000000-0005-0000-0000-0000010E0000}"/>
    <cellStyle name="Normal 12 2 3 4 2 2 2" xfId="16496" xr:uid="{7F5F7B0D-CD94-4DD2-996F-06AE55DBEA44}"/>
    <cellStyle name="Normal 12 2 3 4 2 3" xfId="12278" xr:uid="{EB651EC5-F631-46BD-A9E8-BB42B728FCFF}"/>
    <cellStyle name="Normal 12 2 3 4 3" xfId="5909" xr:uid="{00000000-0005-0000-0000-0000020E0000}"/>
    <cellStyle name="Normal 12 2 3 4 3 2" xfId="14351" xr:uid="{A1EAE540-2053-4447-8A97-776BDE1741CA}"/>
    <cellStyle name="Normal 12 2 3 4 4" xfId="10133" xr:uid="{603D8E1E-131B-404B-8986-1380A0944FCC}"/>
    <cellStyle name="Normal 12 2 3 5" xfId="2015" xr:uid="{00000000-0005-0000-0000-0000030E0000}"/>
    <cellStyle name="Normal 12 2 3 5 2" xfId="4244" xr:uid="{00000000-0005-0000-0000-0000040E0000}"/>
    <cellStyle name="Normal 12 2 3 5 2 2" xfId="8467" xr:uid="{00000000-0005-0000-0000-0000050E0000}"/>
    <cellStyle name="Normal 12 2 3 5 2 2 2" xfId="16909" xr:uid="{16835B23-B3D8-43CA-8CBB-0428D0DA0CE8}"/>
    <cellStyle name="Normal 12 2 3 5 2 3" xfId="12691" xr:uid="{A76CFE0A-E26E-4165-ADE6-FC295DC65E4A}"/>
    <cellStyle name="Normal 12 2 3 5 3" xfId="6322" xr:uid="{00000000-0005-0000-0000-0000060E0000}"/>
    <cellStyle name="Normal 12 2 3 5 3 2" xfId="14764" xr:uid="{B2EC813A-606E-4E87-8403-8F1A5A012C47}"/>
    <cellStyle name="Normal 12 2 3 5 4" xfId="10546" xr:uid="{3327D6A0-032A-4C1B-8FCC-2D365CA408A0}"/>
    <cellStyle name="Normal 12 2 3 6" xfId="2451" xr:uid="{00000000-0005-0000-0000-0000070E0000}"/>
    <cellStyle name="Normal 12 2 3 6 2" xfId="6735" xr:uid="{00000000-0005-0000-0000-0000080E0000}"/>
    <cellStyle name="Normal 12 2 3 6 2 2" xfId="15177" xr:uid="{F314B18B-2DAA-48CD-B761-B934735BACF1}"/>
    <cellStyle name="Normal 12 2 3 6 3" xfId="10959" xr:uid="{B1D208C2-51FD-47B8-959D-F6880F2F55CC}"/>
    <cellStyle name="Normal 12 2 3 7" xfId="4669" xr:uid="{00000000-0005-0000-0000-0000090E0000}"/>
    <cellStyle name="Normal 12 2 3 7 2" xfId="13111" xr:uid="{1426EF86-FD5F-4C7F-8643-CCAB478BDC17}"/>
    <cellStyle name="Normal 12 2 3 8" xfId="8893" xr:uid="{32F94F3E-D554-4AA5-96D8-42394EBB0CFB}"/>
    <cellStyle name="Normal 12 2 4" xfId="761" xr:uid="{00000000-0005-0000-0000-00000A0E0000}"/>
    <cellStyle name="Normal 12 2 4 2" xfId="3002" xr:uid="{00000000-0005-0000-0000-00000B0E0000}"/>
    <cellStyle name="Normal 12 2 4 2 2" xfId="7225" xr:uid="{00000000-0005-0000-0000-00000C0E0000}"/>
    <cellStyle name="Normal 12 2 4 2 2 2" xfId="15667" xr:uid="{A9429A46-CC1F-46AD-9C9D-CD273419DA7B}"/>
    <cellStyle name="Normal 12 2 4 2 3" xfId="11449" xr:uid="{F56F9B5A-186A-4D20-B768-9F6625EEE92B}"/>
    <cellStyle name="Normal 12 2 4 3" xfId="5080" xr:uid="{00000000-0005-0000-0000-00000D0E0000}"/>
    <cellStyle name="Normal 12 2 4 3 2" xfId="13522" xr:uid="{8E80CA0A-0803-492B-BEB7-E0ADB53D31C9}"/>
    <cellStyle name="Normal 12 2 4 4" xfId="9304" xr:uid="{64EDEC4C-C2BA-4575-8FA4-22327BDD858D}"/>
    <cellStyle name="Normal 12 2 5" xfId="1184" xr:uid="{00000000-0005-0000-0000-00000E0E0000}"/>
    <cellStyle name="Normal 12 2 5 2" xfId="3415" xr:uid="{00000000-0005-0000-0000-00000F0E0000}"/>
    <cellStyle name="Normal 12 2 5 2 2" xfId="7638" xr:uid="{00000000-0005-0000-0000-0000100E0000}"/>
    <cellStyle name="Normal 12 2 5 2 2 2" xfId="16080" xr:uid="{9A1B8F76-A164-47E8-AA00-B40482284558}"/>
    <cellStyle name="Normal 12 2 5 2 3" xfId="11862" xr:uid="{D0AC5787-A682-4CDF-8036-240FFA94516E}"/>
    <cellStyle name="Normal 12 2 5 3" xfId="5493" xr:uid="{00000000-0005-0000-0000-0000110E0000}"/>
    <cellStyle name="Normal 12 2 5 3 2" xfId="13935" xr:uid="{A449D8EB-4FAF-4A66-8F0C-278F9DBD09F7}"/>
    <cellStyle name="Normal 12 2 5 4" xfId="9717" xr:uid="{4733A04F-FF57-44B9-9F7B-3056ECE4F6B8}"/>
    <cellStyle name="Normal 12 2 6" xfId="1598" xr:uid="{00000000-0005-0000-0000-0000120E0000}"/>
    <cellStyle name="Normal 12 2 6 2" xfId="3828" xr:uid="{00000000-0005-0000-0000-0000130E0000}"/>
    <cellStyle name="Normal 12 2 6 2 2" xfId="8051" xr:uid="{00000000-0005-0000-0000-0000140E0000}"/>
    <cellStyle name="Normal 12 2 6 2 2 2" xfId="16493" xr:uid="{4A77E340-FF13-4510-ADE3-B8E57F1DDF1A}"/>
    <cellStyle name="Normal 12 2 6 2 3" xfId="12275" xr:uid="{8A5058B2-C434-4894-B8E1-F260C9B4054E}"/>
    <cellStyle name="Normal 12 2 6 3" xfId="5906" xr:uid="{00000000-0005-0000-0000-0000150E0000}"/>
    <cellStyle name="Normal 12 2 6 3 2" xfId="14348" xr:uid="{7B551404-DCF6-4412-860A-0C418E292348}"/>
    <cellStyle name="Normal 12 2 6 4" xfId="10130" xr:uid="{D38AEC2E-5B54-4EF4-BB1E-D18F40CCBBCE}"/>
    <cellStyle name="Normal 12 2 7" xfId="2012" xr:uid="{00000000-0005-0000-0000-0000160E0000}"/>
    <cellStyle name="Normal 12 2 7 2" xfId="4241" xr:uid="{00000000-0005-0000-0000-0000170E0000}"/>
    <cellStyle name="Normal 12 2 7 2 2" xfId="8464" xr:uid="{00000000-0005-0000-0000-0000180E0000}"/>
    <cellStyle name="Normal 12 2 7 2 2 2" xfId="16906" xr:uid="{105C6E42-A91D-4BEA-9868-05B179AD43A8}"/>
    <cellStyle name="Normal 12 2 7 2 3" xfId="12688" xr:uid="{BDEA8B3D-7C54-4A73-A451-AF1F5E4A38F0}"/>
    <cellStyle name="Normal 12 2 7 3" xfId="6319" xr:uid="{00000000-0005-0000-0000-0000190E0000}"/>
    <cellStyle name="Normal 12 2 7 3 2" xfId="14761" xr:uid="{FFC3C1FA-00B7-473F-81D2-08D4BAF2B310}"/>
    <cellStyle name="Normal 12 2 7 4" xfId="10543" xr:uid="{9816467F-55C3-4A1E-ACD3-4A7D3A2ED708}"/>
    <cellStyle name="Normal 12 2 8" xfId="2448" xr:uid="{00000000-0005-0000-0000-00001A0E0000}"/>
    <cellStyle name="Normal 12 2 8 2" xfId="6732" xr:uid="{00000000-0005-0000-0000-00001B0E0000}"/>
    <cellStyle name="Normal 12 2 8 2 2" xfId="15174" xr:uid="{C09DDBA1-8079-42DE-941A-852164706907}"/>
    <cellStyle name="Normal 12 2 8 3" xfId="10956" xr:uid="{B36F34D4-ED6A-4FCF-B868-4D1F4E4FC2A0}"/>
    <cellStyle name="Normal 12 2 9" xfId="4666" xr:uid="{00000000-0005-0000-0000-00001C0E0000}"/>
    <cellStyle name="Normal 12 2 9 2" xfId="13108" xr:uid="{3C4D2AC6-C6CB-4EF9-A129-DC0C2501A4DA}"/>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2 2 2" xfId="15672" xr:uid="{D5F7F535-EE89-4CCD-BD8A-82061FCFB7E7}"/>
    <cellStyle name="Normal 12 3 2 2 2 3" xfId="11454" xr:uid="{E05EE717-D3FD-4205-B611-ADDCBABC55C5}"/>
    <cellStyle name="Normal 12 3 2 2 3" xfId="5085" xr:uid="{00000000-0005-0000-0000-0000220E0000}"/>
    <cellStyle name="Normal 12 3 2 2 3 2" xfId="13527" xr:uid="{322AC77F-8016-444F-AC51-1253ED678930}"/>
    <cellStyle name="Normal 12 3 2 2 4" xfId="9309" xr:uid="{BCD4D1E0-820A-4B04-8B5E-48A1D4DBB9FB}"/>
    <cellStyle name="Normal 12 3 2 3" xfId="1189" xr:uid="{00000000-0005-0000-0000-0000230E0000}"/>
    <cellStyle name="Normal 12 3 2 3 2" xfId="3420" xr:uid="{00000000-0005-0000-0000-0000240E0000}"/>
    <cellStyle name="Normal 12 3 2 3 2 2" xfId="7643" xr:uid="{00000000-0005-0000-0000-0000250E0000}"/>
    <cellStyle name="Normal 12 3 2 3 2 2 2" xfId="16085" xr:uid="{EE7F3A25-D83F-4838-821A-BC9AE771DE89}"/>
    <cellStyle name="Normal 12 3 2 3 2 3" xfId="11867" xr:uid="{8657064D-1AA7-48F5-B1D4-992BCAD5B151}"/>
    <cellStyle name="Normal 12 3 2 3 3" xfId="5498" xr:uid="{00000000-0005-0000-0000-0000260E0000}"/>
    <cellStyle name="Normal 12 3 2 3 3 2" xfId="13940" xr:uid="{7AB0BA0F-4AF2-4451-9666-D55BF450F44B}"/>
    <cellStyle name="Normal 12 3 2 3 4" xfId="9722" xr:uid="{825ABFFB-5785-471C-9DE9-BD9FF989E524}"/>
    <cellStyle name="Normal 12 3 2 4" xfId="1603" xr:uid="{00000000-0005-0000-0000-0000270E0000}"/>
    <cellStyle name="Normal 12 3 2 4 2" xfId="3833" xr:uid="{00000000-0005-0000-0000-0000280E0000}"/>
    <cellStyle name="Normal 12 3 2 4 2 2" xfId="8056" xr:uid="{00000000-0005-0000-0000-0000290E0000}"/>
    <cellStyle name="Normal 12 3 2 4 2 2 2" xfId="16498" xr:uid="{63D43D18-3CB6-40FD-A6A1-A532ABCB4D7C}"/>
    <cellStyle name="Normal 12 3 2 4 2 3" xfId="12280" xr:uid="{DB90C56E-39F3-4821-A124-6E45A2FFA4BF}"/>
    <cellStyle name="Normal 12 3 2 4 3" xfId="5911" xr:uid="{00000000-0005-0000-0000-00002A0E0000}"/>
    <cellStyle name="Normal 12 3 2 4 3 2" xfId="14353" xr:uid="{81C2CC54-C6F5-41A0-B977-C4D69BA47E3D}"/>
    <cellStyle name="Normal 12 3 2 4 4" xfId="10135" xr:uid="{60B69A55-4B9D-4855-8344-D5780F32FD23}"/>
    <cellStyle name="Normal 12 3 2 5" xfId="2017" xr:uid="{00000000-0005-0000-0000-00002B0E0000}"/>
    <cellStyle name="Normal 12 3 2 5 2" xfId="4246" xr:uid="{00000000-0005-0000-0000-00002C0E0000}"/>
    <cellStyle name="Normal 12 3 2 5 2 2" xfId="8469" xr:uid="{00000000-0005-0000-0000-00002D0E0000}"/>
    <cellStyle name="Normal 12 3 2 5 2 2 2" xfId="16911" xr:uid="{DF95F4C5-1C03-4C0B-A524-B826ED8570FE}"/>
    <cellStyle name="Normal 12 3 2 5 2 3" xfId="12693" xr:uid="{047E6858-021C-4FF2-A08A-FD4925C36E7D}"/>
    <cellStyle name="Normal 12 3 2 5 3" xfId="6324" xr:uid="{00000000-0005-0000-0000-00002E0E0000}"/>
    <cellStyle name="Normal 12 3 2 5 3 2" xfId="14766" xr:uid="{ACAA95A7-91E8-4DD6-AA08-92DF5EED231F}"/>
    <cellStyle name="Normal 12 3 2 5 4" xfId="10548" xr:uid="{AF99EDFD-12F0-4B2C-A729-1A06052660AC}"/>
    <cellStyle name="Normal 12 3 2 6" xfId="2453" xr:uid="{00000000-0005-0000-0000-00002F0E0000}"/>
    <cellStyle name="Normal 12 3 2 6 2" xfId="6737" xr:uid="{00000000-0005-0000-0000-0000300E0000}"/>
    <cellStyle name="Normal 12 3 2 6 2 2" xfId="15179" xr:uid="{552A73AF-2C2D-4732-AFDB-4E7BF1148097}"/>
    <cellStyle name="Normal 12 3 2 6 3" xfId="10961" xr:uid="{DFDB4CDB-B7C9-474F-AD02-69E31CB999F9}"/>
    <cellStyle name="Normal 12 3 2 7" xfId="4671" xr:uid="{00000000-0005-0000-0000-0000310E0000}"/>
    <cellStyle name="Normal 12 3 2 7 2" xfId="13113" xr:uid="{BF43F871-C8A9-4A4E-88A0-C139E5A763B1}"/>
    <cellStyle name="Normal 12 3 2 8" xfId="8895" xr:uid="{9F108733-127F-4C20-AE4F-4D7E3FA6CC18}"/>
    <cellStyle name="Normal 12 3 3" xfId="765" xr:uid="{00000000-0005-0000-0000-0000320E0000}"/>
    <cellStyle name="Normal 12 3 3 2" xfId="3006" xr:uid="{00000000-0005-0000-0000-0000330E0000}"/>
    <cellStyle name="Normal 12 3 3 2 2" xfId="7229" xr:uid="{00000000-0005-0000-0000-0000340E0000}"/>
    <cellStyle name="Normal 12 3 3 2 2 2" xfId="15671" xr:uid="{52242AB8-3406-477B-AA9E-4D7CCC8DDD16}"/>
    <cellStyle name="Normal 12 3 3 2 3" xfId="11453" xr:uid="{874415FF-1272-42DE-98F6-176EAC5DDD87}"/>
    <cellStyle name="Normal 12 3 3 3" xfId="5084" xr:uid="{00000000-0005-0000-0000-0000350E0000}"/>
    <cellStyle name="Normal 12 3 3 3 2" xfId="13526" xr:uid="{BBA91278-A688-4FB2-8DFE-7D64D51952B5}"/>
    <cellStyle name="Normal 12 3 3 4" xfId="9308" xr:uid="{7B062C95-D949-4E5F-9FD6-1CC9DA286ED2}"/>
    <cellStyle name="Normal 12 3 4" xfId="1188" xr:uid="{00000000-0005-0000-0000-0000360E0000}"/>
    <cellStyle name="Normal 12 3 4 2" xfId="3419" xr:uid="{00000000-0005-0000-0000-0000370E0000}"/>
    <cellStyle name="Normal 12 3 4 2 2" xfId="7642" xr:uid="{00000000-0005-0000-0000-0000380E0000}"/>
    <cellStyle name="Normal 12 3 4 2 2 2" xfId="16084" xr:uid="{A25D7D94-F751-491A-BA7C-B7DC931564F3}"/>
    <cellStyle name="Normal 12 3 4 2 3" xfId="11866" xr:uid="{7A9D662C-9579-4CD2-B5EC-35B67B4F1B28}"/>
    <cellStyle name="Normal 12 3 4 3" xfId="5497" xr:uid="{00000000-0005-0000-0000-0000390E0000}"/>
    <cellStyle name="Normal 12 3 4 3 2" xfId="13939" xr:uid="{D7FB6584-AF5A-4407-810D-259BA4EA88EB}"/>
    <cellStyle name="Normal 12 3 4 4" xfId="9721" xr:uid="{21AF4567-3058-42D9-A733-1C2D78B56D95}"/>
    <cellStyle name="Normal 12 3 5" xfId="1602" xr:uid="{00000000-0005-0000-0000-00003A0E0000}"/>
    <cellStyle name="Normal 12 3 5 2" xfId="3832" xr:uid="{00000000-0005-0000-0000-00003B0E0000}"/>
    <cellStyle name="Normal 12 3 5 2 2" xfId="8055" xr:uid="{00000000-0005-0000-0000-00003C0E0000}"/>
    <cellStyle name="Normal 12 3 5 2 2 2" xfId="16497" xr:uid="{88B78794-ECAF-4EF9-B866-FCF2D18918C5}"/>
    <cellStyle name="Normal 12 3 5 2 3" xfId="12279" xr:uid="{A84EE515-E3F5-45C4-B94A-F1C308CD5573}"/>
    <cellStyle name="Normal 12 3 5 3" xfId="5910" xr:uid="{00000000-0005-0000-0000-00003D0E0000}"/>
    <cellStyle name="Normal 12 3 5 3 2" xfId="14352" xr:uid="{D9BEDCC5-4F77-4FED-94AC-87DB397BE247}"/>
    <cellStyle name="Normal 12 3 5 4" xfId="10134" xr:uid="{F54BAC4D-63F3-47A6-9B95-45000AA09738}"/>
    <cellStyle name="Normal 12 3 6" xfId="2016" xr:uid="{00000000-0005-0000-0000-00003E0E0000}"/>
    <cellStyle name="Normal 12 3 6 2" xfId="4245" xr:uid="{00000000-0005-0000-0000-00003F0E0000}"/>
    <cellStyle name="Normal 12 3 6 2 2" xfId="8468" xr:uid="{00000000-0005-0000-0000-0000400E0000}"/>
    <cellStyle name="Normal 12 3 6 2 2 2" xfId="16910" xr:uid="{0423A75A-1DE8-4681-97F9-8210056A9417}"/>
    <cellStyle name="Normal 12 3 6 2 3" xfId="12692" xr:uid="{94A8CBD2-F4D5-48DC-8DFD-E977DD3D25B6}"/>
    <cellStyle name="Normal 12 3 6 3" xfId="6323" xr:uid="{00000000-0005-0000-0000-0000410E0000}"/>
    <cellStyle name="Normal 12 3 6 3 2" xfId="14765" xr:uid="{ED4B5C80-2B7F-4A5A-B5EA-191734C0D041}"/>
    <cellStyle name="Normal 12 3 6 4" xfId="10547" xr:uid="{164C9B9D-386C-47ED-BDF7-84D76EECB098}"/>
    <cellStyle name="Normal 12 3 7" xfId="2452" xr:uid="{00000000-0005-0000-0000-0000420E0000}"/>
    <cellStyle name="Normal 12 3 7 2" xfId="6736" xr:uid="{00000000-0005-0000-0000-0000430E0000}"/>
    <cellStyle name="Normal 12 3 7 2 2" xfId="15178" xr:uid="{156AA133-823C-42F3-9202-4C95B6DDC55A}"/>
    <cellStyle name="Normal 12 3 7 3" xfId="10960" xr:uid="{9D8EE608-54B4-4578-91C3-5C093566DCBD}"/>
    <cellStyle name="Normal 12 3 8" xfId="4670" xr:uid="{00000000-0005-0000-0000-0000440E0000}"/>
    <cellStyle name="Normal 12 3 8 2" xfId="13112" xr:uid="{5B316056-92CF-46E6-A530-C9B724C79AE4}"/>
    <cellStyle name="Normal 12 3 9" xfId="8894" xr:uid="{4AD873F0-3E7A-4C17-9589-12A8E9F0735F}"/>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2 2 2" xfId="15673" xr:uid="{8B6C2B21-9119-44AE-8AEF-BE181533B1D7}"/>
    <cellStyle name="Normal 12 4 2 2 3" xfId="11455" xr:uid="{3DAB0EE0-0540-4467-9BE1-D6FAC7768D2E}"/>
    <cellStyle name="Normal 12 4 2 3" xfId="5086" xr:uid="{00000000-0005-0000-0000-0000490E0000}"/>
    <cellStyle name="Normal 12 4 2 3 2" xfId="13528" xr:uid="{D2D66A3A-A256-4C19-AAE6-CD554EA413F3}"/>
    <cellStyle name="Normal 12 4 2 4" xfId="9310" xr:uid="{A26C5B8A-C11F-4E11-87E0-787D530F6EAB}"/>
    <cellStyle name="Normal 12 4 3" xfId="1190" xr:uid="{00000000-0005-0000-0000-00004A0E0000}"/>
    <cellStyle name="Normal 12 4 3 2" xfId="3421" xr:uid="{00000000-0005-0000-0000-00004B0E0000}"/>
    <cellStyle name="Normal 12 4 3 2 2" xfId="7644" xr:uid="{00000000-0005-0000-0000-00004C0E0000}"/>
    <cellStyle name="Normal 12 4 3 2 2 2" xfId="16086" xr:uid="{236C6521-3321-4708-94D4-DB6B8276AA0C}"/>
    <cellStyle name="Normal 12 4 3 2 3" xfId="11868" xr:uid="{1844163D-7C6C-46EE-997A-BEDB52D62A3B}"/>
    <cellStyle name="Normal 12 4 3 3" xfId="5499" xr:uid="{00000000-0005-0000-0000-00004D0E0000}"/>
    <cellStyle name="Normal 12 4 3 3 2" xfId="13941" xr:uid="{69BBC0DC-0077-4449-9FBB-BB566D2127E1}"/>
    <cellStyle name="Normal 12 4 3 4" xfId="9723" xr:uid="{30B6DD90-CCB7-4DD0-A024-06C6D64ED6B3}"/>
    <cellStyle name="Normal 12 4 4" xfId="1604" xr:uid="{00000000-0005-0000-0000-00004E0E0000}"/>
    <cellStyle name="Normal 12 4 4 2" xfId="3834" xr:uid="{00000000-0005-0000-0000-00004F0E0000}"/>
    <cellStyle name="Normal 12 4 4 2 2" xfId="8057" xr:uid="{00000000-0005-0000-0000-0000500E0000}"/>
    <cellStyle name="Normal 12 4 4 2 2 2" xfId="16499" xr:uid="{6AB9DD12-5D61-4943-B67D-D4D2D11F4955}"/>
    <cellStyle name="Normal 12 4 4 2 3" xfId="12281" xr:uid="{2D1EB294-C7DD-408D-92F3-4ABB16E60AA2}"/>
    <cellStyle name="Normal 12 4 4 3" xfId="5912" xr:uid="{00000000-0005-0000-0000-0000510E0000}"/>
    <cellStyle name="Normal 12 4 4 3 2" xfId="14354" xr:uid="{05C57D34-5919-482C-948A-3D40AA091DA8}"/>
    <cellStyle name="Normal 12 4 4 4" xfId="10136" xr:uid="{9392C41B-7EE1-48FB-8E6C-FB39277D06C3}"/>
    <cellStyle name="Normal 12 4 5" xfId="2018" xr:uid="{00000000-0005-0000-0000-0000520E0000}"/>
    <cellStyle name="Normal 12 4 5 2" xfId="4247" xr:uid="{00000000-0005-0000-0000-0000530E0000}"/>
    <cellStyle name="Normal 12 4 5 2 2" xfId="8470" xr:uid="{00000000-0005-0000-0000-0000540E0000}"/>
    <cellStyle name="Normal 12 4 5 2 2 2" xfId="16912" xr:uid="{3365F76E-BD07-4A68-AD8C-828DC916C91B}"/>
    <cellStyle name="Normal 12 4 5 2 3" xfId="12694" xr:uid="{42F477A1-41C5-47C5-B32B-72D958F3AE33}"/>
    <cellStyle name="Normal 12 4 5 3" xfId="6325" xr:uid="{00000000-0005-0000-0000-0000550E0000}"/>
    <cellStyle name="Normal 12 4 5 3 2" xfId="14767" xr:uid="{DD48D301-A155-42F2-8D84-337E49A8BDA4}"/>
    <cellStyle name="Normal 12 4 5 4" xfId="10549" xr:uid="{F04DAC40-2F45-4CD0-B42A-55E3B4567E5A}"/>
    <cellStyle name="Normal 12 4 6" xfId="2454" xr:uid="{00000000-0005-0000-0000-0000560E0000}"/>
    <cellStyle name="Normal 12 4 6 2" xfId="6738" xr:uid="{00000000-0005-0000-0000-0000570E0000}"/>
    <cellStyle name="Normal 12 4 6 2 2" xfId="15180" xr:uid="{CE80A6A2-027A-4AE2-82D3-B6142F22E798}"/>
    <cellStyle name="Normal 12 4 6 3" xfId="10962" xr:uid="{8979A221-749B-483B-9E17-11B7AE0B3529}"/>
    <cellStyle name="Normal 12 4 7" xfId="4672" xr:uid="{00000000-0005-0000-0000-0000580E0000}"/>
    <cellStyle name="Normal 12 4 7 2" xfId="13114" xr:uid="{8D9081CC-89C6-4C08-9202-1642F36CB145}"/>
    <cellStyle name="Normal 12 4 8" xfId="8896" xr:uid="{AB0BA327-7CC1-43A2-A2D9-2A6E01C369FD}"/>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2 2 2" xfId="15666" xr:uid="{7BDCE7DD-C3BB-4424-8CEC-B914B98FF551}"/>
    <cellStyle name="Normal 12 6 2 3" xfId="11448" xr:uid="{724E771C-6280-4D3B-A654-9B93965002D4}"/>
    <cellStyle name="Normal 12 6 3" xfId="5079" xr:uid="{00000000-0005-0000-0000-00005D0E0000}"/>
    <cellStyle name="Normal 12 6 3 2" xfId="13521" xr:uid="{6D31DCD0-6237-4AF8-A2D4-9C5FE0CA58A1}"/>
    <cellStyle name="Normal 12 6 4" xfId="9303" xr:uid="{55A8B96A-C101-44E1-868B-2CDACC838B77}"/>
    <cellStyle name="Normal 12 7" xfId="1183" xr:uid="{00000000-0005-0000-0000-00005E0E0000}"/>
    <cellStyle name="Normal 12 7 2" xfId="3414" xr:uid="{00000000-0005-0000-0000-00005F0E0000}"/>
    <cellStyle name="Normal 12 7 2 2" xfId="7637" xr:uid="{00000000-0005-0000-0000-0000600E0000}"/>
    <cellStyle name="Normal 12 7 2 2 2" xfId="16079" xr:uid="{6A18A455-FBCC-4E4C-8A0C-5B88F1EF97D0}"/>
    <cellStyle name="Normal 12 7 2 3" xfId="11861" xr:uid="{73AC7E4E-D4DA-4B90-A5DF-4B50CCA17159}"/>
    <cellStyle name="Normal 12 7 3" xfId="5492" xr:uid="{00000000-0005-0000-0000-0000610E0000}"/>
    <cellStyle name="Normal 12 7 3 2" xfId="13934" xr:uid="{0EF787E4-18E5-4720-B76F-F79395C11FDB}"/>
    <cellStyle name="Normal 12 7 4" xfId="9716" xr:uid="{CA761791-8646-46E2-ADCA-86447E486CD7}"/>
    <cellStyle name="Normal 12 8" xfId="1597" xr:uid="{00000000-0005-0000-0000-0000620E0000}"/>
    <cellStyle name="Normal 12 8 2" xfId="3827" xr:uid="{00000000-0005-0000-0000-0000630E0000}"/>
    <cellStyle name="Normal 12 8 2 2" xfId="8050" xr:uid="{00000000-0005-0000-0000-0000640E0000}"/>
    <cellStyle name="Normal 12 8 2 2 2" xfId="16492" xr:uid="{C46E80E9-C3C1-4806-A03B-F717A49CDECB}"/>
    <cellStyle name="Normal 12 8 2 3" xfId="12274" xr:uid="{C2E92FAF-F828-4134-B450-023F6AFFF6AB}"/>
    <cellStyle name="Normal 12 8 3" xfId="5905" xr:uid="{00000000-0005-0000-0000-0000650E0000}"/>
    <cellStyle name="Normal 12 8 3 2" xfId="14347" xr:uid="{4A44022C-4FCA-41D6-9CB6-E931A27845AD}"/>
    <cellStyle name="Normal 12 8 4" xfId="10129" xr:uid="{93058138-65A1-4455-AEAC-FFDA2F1DE7FD}"/>
    <cellStyle name="Normal 12 9" xfId="2011" xr:uid="{00000000-0005-0000-0000-0000660E0000}"/>
    <cellStyle name="Normal 12 9 2" xfId="4240" xr:uid="{00000000-0005-0000-0000-0000670E0000}"/>
    <cellStyle name="Normal 12 9 2 2" xfId="8463" xr:uid="{00000000-0005-0000-0000-0000680E0000}"/>
    <cellStyle name="Normal 12 9 2 2 2" xfId="16905" xr:uid="{20D193FB-00F4-46EF-8F8E-85B378E2140E}"/>
    <cellStyle name="Normal 12 9 2 3" xfId="12687" xr:uid="{491A669F-8202-433F-93CB-23FC742FB8C4}"/>
    <cellStyle name="Normal 12 9 3" xfId="6318" xr:uid="{00000000-0005-0000-0000-0000690E0000}"/>
    <cellStyle name="Normal 12 9 3 2" xfId="14760" xr:uid="{7271F561-6A05-419D-B32C-ABCB93930678}"/>
    <cellStyle name="Normal 12 9 4" xfId="10542" xr:uid="{DF0E1107-1658-4D7D-B604-2F46440C6F9F}"/>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2 2 2" xfId="15674" xr:uid="{DD21084D-657C-47F0-8B60-B8658EA7D3D8}"/>
    <cellStyle name="Normal 14 2 2 3" xfId="11456" xr:uid="{3C4D431B-3398-4D78-ACFA-5F62F6E3DF09}"/>
    <cellStyle name="Normal 14 2 3" xfId="5087" xr:uid="{00000000-0005-0000-0000-0000700E0000}"/>
    <cellStyle name="Normal 14 2 3 2" xfId="13529" xr:uid="{6E5CED25-199F-440F-8143-9FF6F9C3904E}"/>
    <cellStyle name="Normal 14 2 4" xfId="9311" xr:uid="{7C3A73D1-7070-4AD8-A118-F65057D23BDD}"/>
    <cellStyle name="Normal 14 3" xfId="1191" xr:uid="{00000000-0005-0000-0000-0000710E0000}"/>
    <cellStyle name="Normal 14 3 2" xfId="3422" xr:uid="{00000000-0005-0000-0000-0000720E0000}"/>
    <cellStyle name="Normal 14 3 2 2" xfId="7645" xr:uid="{00000000-0005-0000-0000-0000730E0000}"/>
    <cellStyle name="Normal 14 3 2 2 2" xfId="16087" xr:uid="{87413370-5833-400B-86BE-0F7032519271}"/>
    <cellStyle name="Normal 14 3 2 3" xfId="11869" xr:uid="{F731E863-0070-436C-B790-2228F3E92A77}"/>
    <cellStyle name="Normal 14 3 3" xfId="5500" xr:uid="{00000000-0005-0000-0000-0000740E0000}"/>
    <cellStyle name="Normal 14 3 3 2" xfId="13942" xr:uid="{02663D24-E615-4038-BBE7-9192B6B593E0}"/>
    <cellStyle name="Normal 14 3 4" xfId="9724" xr:uid="{0E7E67C4-AD30-499D-B11B-325DB67703A9}"/>
    <cellStyle name="Normal 14 4" xfId="1605" xr:uid="{00000000-0005-0000-0000-0000750E0000}"/>
    <cellStyle name="Normal 14 4 2" xfId="3835" xr:uid="{00000000-0005-0000-0000-0000760E0000}"/>
    <cellStyle name="Normal 14 4 2 2" xfId="8058" xr:uid="{00000000-0005-0000-0000-0000770E0000}"/>
    <cellStyle name="Normal 14 4 2 2 2" xfId="16500" xr:uid="{55F94A1D-8C5F-4126-BB0C-BCC1944F9808}"/>
    <cellStyle name="Normal 14 4 2 3" xfId="12282" xr:uid="{B49B1E57-E868-4705-9422-70D512567466}"/>
    <cellStyle name="Normal 14 4 3" xfId="5913" xr:uid="{00000000-0005-0000-0000-0000780E0000}"/>
    <cellStyle name="Normal 14 4 3 2" xfId="14355" xr:uid="{492C2FDC-47F4-40D2-83A6-96679A15F6A1}"/>
    <cellStyle name="Normal 14 4 4" xfId="10137" xr:uid="{51B552CB-3DC5-4C3E-91D1-93265DDB6627}"/>
    <cellStyle name="Normal 14 5" xfId="2019" xr:uid="{00000000-0005-0000-0000-0000790E0000}"/>
    <cellStyle name="Normal 14 5 2" xfId="4248" xr:uid="{00000000-0005-0000-0000-00007A0E0000}"/>
    <cellStyle name="Normal 14 5 2 2" xfId="8471" xr:uid="{00000000-0005-0000-0000-00007B0E0000}"/>
    <cellStyle name="Normal 14 5 2 2 2" xfId="16913" xr:uid="{4BA54002-AA8A-45AE-990B-5DC9333067C1}"/>
    <cellStyle name="Normal 14 5 2 3" xfId="12695" xr:uid="{E2807975-F662-417B-90CB-D45797848D30}"/>
    <cellStyle name="Normal 14 5 3" xfId="6326" xr:uid="{00000000-0005-0000-0000-00007C0E0000}"/>
    <cellStyle name="Normal 14 5 3 2" xfId="14768" xr:uid="{5E9E791A-43FA-4B55-B665-8AFCA4C1FA21}"/>
    <cellStyle name="Normal 14 5 4" xfId="10550" xr:uid="{059FEF15-E85D-4CA3-8194-DA1114E0CE15}"/>
    <cellStyle name="Normal 14 6" xfId="2455" xr:uid="{00000000-0005-0000-0000-00007D0E0000}"/>
    <cellStyle name="Normal 14 6 2" xfId="6739" xr:uid="{00000000-0005-0000-0000-00007E0E0000}"/>
    <cellStyle name="Normal 14 6 2 2" xfId="15181" xr:uid="{CE7F42E4-081F-46B1-B488-7C52ED96B9A2}"/>
    <cellStyle name="Normal 14 6 3" xfId="10963" xr:uid="{B5CDB1F7-3226-4800-B8EE-73CC10D1F8E3}"/>
    <cellStyle name="Normal 14 7" xfId="4673" xr:uid="{00000000-0005-0000-0000-00007F0E0000}"/>
    <cellStyle name="Normal 14 7 2" xfId="13115" xr:uid="{32A84EAB-A81D-4B29-A835-346637BC8757}"/>
    <cellStyle name="Normal 14 8" xfId="8897" xr:uid="{955FBF2C-4F88-4969-B8D7-691C8B3BA379}"/>
    <cellStyle name="Normal 15" xfId="4496" xr:uid="{00000000-0005-0000-0000-0000800E0000}"/>
    <cellStyle name="Normal 15 2" xfId="12941" xr:uid="{BBD44FC0-F558-4F00-B06F-B787595B40FA}"/>
    <cellStyle name="Normal 16" xfId="4500" xr:uid="{00000000-0005-0000-0000-0000810E0000}"/>
    <cellStyle name="Normal 16 2" xfId="8716" xr:uid="{00000000-0005-0000-0000-0000820E0000}"/>
    <cellStyle name="Normal 16 2 2" xfId="17158" xr:uid="{FB507E8B-4262-4435-A6A3-F366B5E8AF04}"/>
    <cellStyle name="Normal 16 3" xfId="8719" xr:uid="{3DE1BEEB-61FA-4094-B10F-9E0444F68763}"/>
    <cellStyle name="Normal 16 3 2" xfId="8723" xr:uid="{FE0BC069-4698-40B2-814D-8E09719245E9}"/>
    <cellStyle name="Normal 16 3 2 2" xfId="8726" xr:uid="{D3E9609F-293A-4CFC-B194-1FF2F92D621D}"/>
    <cellStyle name="Normal 16 3 2 2 2" xfId="17167" xr:uid="{2F84B2BF-7FAA-4F60-9501-852EB14DE588}"/>
    <cellStyle name="Normal 16 3 2 3" xfId="17164" xr:uid="{420107C7-A86C-4AA0-930C-F6C24E6C9257}"/>
    <cellStyle name="Normal 16 3 3" xfId="17161" xr:uid="{6BCB0424-4EA6-4972-85B7-7CCEA066BC71}"/>
    <cellStyle name="Normal 16 4" xfId="12944" xr:uid="{0D2A55FA-F03F-4474-A36D-DEC496A9B3D2}"/>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2 2 2" xfId="16914" xr:uid="{6447C0CA-02C9-4A4E-90C1-B9E20E275E48}"/>
    <cellStyle name="Normal 2 4 2 10 2 3" xfId="12696" xr:uid="{C8A5D348-E04E-4BD4-AA0D-74C4B99DDEC9}"/>
    <cellStyle name="Normal 2 4 2 10 3" xfId="6327" xr:uid="{00000000-0005-0000-0000-0000910E0000}"/>
    <cellStyle name="Normal 2 4 2 10 3 2" xfId="14769" xr:uid="{536EF207-77D8-4484-A9F9-1798141AA30C}"/>
    <cellStyle name="Normal 2 4 2 10 4" xfId="10551" xr:uid="{3C7BD582-8DB5-4BC3-9185-AA097450B95D}"/>
    <cellStyle name="Normal 2 4 2 11" xfId="2456" xr:uid="{00000000-0005-0000-0000-0000920E0000}"/>
    <cellStyle name="Normal 2 4 2 11 2" xfId="6740" xr:uid="{00000000-0005-0000-0000-0000930E0000}"/>
    <cellStyle name="Normal 2 4 2 11 2 2" xfId="15182" xr:uid="{BC1A0B38-9CDE-4ACF-A2B8-79CAF5249A10}"/>
    <cellStyle name="Normal 2 4 2 11 3" xfId="10964" xr:uid="{5AAB9C83-C0C9-4516-920C-D74B0A24328C}"/>
    <cellStyle name="Normal 2 4 2 12" xfId="4674" xr:uid="{00000000-0005-0000-0000-0000940E0000}"/>
    <cellStyle name="Normal 2 4 2 12 2" xfId="13116" xr:uid="{72D4D334-2E88-4631-A365-F41BA74EE8E3}"/>
    <cellStyle name="Normal 2 4 2 13" xfId="8898" xr:uid="{4D631FE3-07E1-470C-849E-1F62BD35FFC2}"/>
    <cellStyle name="Normal 2 4 2 2" xfId="280" xr:uid="{00000000-0005-0000-0000-0000950E0000}"/>
    <cellStyle name="Normal 2 4 2 3" xfId="281" xr:uid="{00000000-0005-0000-0000-0000960E0000}"/>
    <cellStyle name="Normal 2 4 2 3 10" xfId="4675" xr:uid="{00000000-0005-0000-0000-0000970E0000}"/>
    <cellStyle name="Normal 2 4 2 3 10 2" xfId="13117" xr:uid="{1BAE26D4-01E4-4243-9FB3-F52FC11B100B}"/>
    <cellStyle name="Normal 2 4 2 3 11" xfId="8899" xr:uid="{C3CC9070-BC42-4104-AD33-28A375857D0A}"/>
    <cellStyle name="Normal 2 4 2 3 2" xfId="282" xr:uid="{00000000-0005-0000-0000-0000980E0000}"/>
    <cellStyle name="Normal 2 4 2 3 2 10" xfId="8900" xr:uid="{3E6C5EB8-D708-48DB-B67B-6673DBD409E7}"/>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2 2 2" xfId="15679" xr:uid="{0A0DC7BE-5B92-4EE5-9588-2FBA36EA5ACD}"/>
    <cellStyle name="Normal 2 4 2 3 2 2 2 2 2 3" xfId="11461" xr:uid="{DA608E73-232B-4EBE-8230-1CE8144069F8}"/>
    <cellStyle name="Normal 2 4 2 3 2 2 2 2 3" xfId="5092" xr:uid="{00000000-0005-0000-0000-00009E0E0000}"/>
    <cellStyle name="Normal 2 4 2 3 2 2 2 2 3 2" xfId="13534" xr:uid="{F0EE3633-C6AD-4059-8059-C720315570F2}"/>
    <cellStyle name="Normal 2 4 2 3 2 2 2 2 4" xfId="9316" xr:uid="{814DC00F-062B-488C-A867-3329CF44525B}"/>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2 2 2" xfId="16092" xr:uid="{407B7969-DE30-44E1-8868-66CAC2362683}"/>
    <cellStyle name="Normal 2 4 2 3 2 2 2 3 2 3" xfId="11874" xr:uid="{70B227DC-3909-4269-A3A9-663A1E398183}"/>
    <cellStyle name="Normal 2 4 2 3 2 2 2 3 3" xfId="5505" xr:uid="{00000000-0005-0000-0000-0000A20E0000}"/>
    <cellStyle name="Normal 2 4 2 3 2 2 2 3 3 2" xfId="13947" xr:uid="{8CA6ACD3-CAC0-4953-BBF2-8F6DAAA8EE15}"/>
    <cellStyle name="Normal 2 4 2 3 2 2 2 3 4" xfId="9729" xr:uid="{4DFACCEF-FF74-41AD-ADB0-19C0F2DA3F61}"/>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2 2 2" xfId="16505" xr:uid="{E1AA6C86-A9B8-445C-BAA7-F39DAB9049E1}"/>
    <cellStyle name="Normal 2 4 2 3 2 2 2 4 2 3" xfId="12287" xr:uid="{319E7507-2A7D-4582-8C74-84A65C3F6170}"/>
    <cellStyle name="Normal 2 4 2 3 2 2 2 4 3" xfId="5918" xr:uid="{00000000-0005-0000-0000-0000A60E0000}"/>
    <cellStyle name="Normal 2 4 2 3 2 2 2 4 3 2" xfId="14360" xr:uid="{956959EF-48C1-4EA0-92B7-332381EDA23A}"/>
    <cellStyle name="Normal 2 4 2 3 2 2 2 4 4" xfId="10142" xr:uid="{95F37E0B-15EF-4D9C-A60A-559C6F68E1F1}"/>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2 2 2" xfId="16918" xr:uid="{EB85F007-A4D8-41DD-B72A-F245C0B99913}"/>
    <cellStyle name="Normal 2 4 2 3 2 2 2 5 2 3" xfId="12700" xr:uid="{6989238C-FD6C-42D6-A4D3-82D93C0FA9F7}"/>
    <cellStyle name="Normal 2 4 2 3 2 2 2 5 3" xfId="6331" xr:uid="{00000000-0005-0000-0000-0000AA0E0000}"/>
    <cellStyle name="Normal 2 4 2 3 2 2 2 5 3 2" xfId="14773" xr:uid="{6BCEEFB3-BE70-4090-BCDB-9BE3494E2F47}"/>
    <cellStyle name="Normal 2 4 2 3 2 2 2 5 4" xfId="10555" xr:uid="{A7B610A3-9920-4211-AFAB-35F78660CC7D}"/>
    <cellStyle name="Normal 2 4 2 3 2 2 2 6" xfId="2460" xr:uid="{00000000-0005-0000-0000-0000AB0E0000}"/>
    <cellStyle name="Normal 2 4 2 3 2 2 2 6 2" xfId="6744" xr:uid="{00000000-0005-0000-0000-0000AC0E0000}"/>
    <cellStyle name="Normal 2 4 2 3 2 2 2 6 2 2" xfId="15186" xr:uid="{8DA72B5A-4C2A-4800-8A8E-FC21F006ACD7}"/>
    <cellStyle name="Normal 2 4 2 3 2 2 2 6 3" xfId="10968" xr:uid="{35A21E83-0291-4AB8-84C2-B89E716E85F8}"/>
    <cellStyle name="Normal 2 4 2 3 2 2 2 7" xfId="4678" xr:uid="{00000000-0005-0000-0000-0000AD0E0000}"/>
    <cellStyle name="Normal 2 4 2 3 2 2 2 7 2" xfId="13120" xr:uid="{33C9629B-DED5-4A2C-8758-B85FE63C230D}"/>
    <cellStyle name="Normal 2 4 2 3 2 2 2 8" xfId="8902" xr:uid="{FACDA3E5-82D9-4F2D-88C4-4B20B63F8608}"/>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2 2 2" xfId="15678" xr:uid="{9DA4273C-46CF-4B25-A6F0-2788EFA7F287}"/>
    <cellStyle name="Normal 2 4 2 3 2 2 3 2 3" xfId="11460" xr:uid="{CB311AFF-F060-4685-8A67-D73DC1E70BEE}"/>
    <cellStyle name="Normal 2 4 2 3 2 2 3 3" xfId="5091" xr:uid="{00000000-0005-0000-0000-0000B10E0000}"/>
    <cellStyle name="Normal 2 4 2 3 2 2 3 3 2" xfId="13533" xr:uid="{247221A2-6463-411B-B342-522565645A2A}"/>
    <cellStyle name="Normal 2 4 2 3 2 2 3 4" xfId="9315" xr:uid="{530F5780-9D7A-4D2C-8D23-F8B34AC2388C}"/>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2 2 2" xfId="16091" xr:uid="{66747012-3769-421C-9423-883F75CE3CEE}"/>
    <cellStyle name="Normal 2 4 2 3 2 2 4 2 3" xfId="11873" xr:uid="{79C661FF-34EA-45BE-B3B1-F79C4BD38C78}"/>
    <cellStyle name="Normal 2 4 2 3 2 2 4 3" xfId="5504" xr:uid="{00000000-0005-0000-0000-0000B50E0000}"/>
    <cellStyle name="Normal 2 4 2 3 2 2 4 3 2" xfId="13946" xr:uid="{BC2E8B6D-E2D5-4C16-A434-09359FA819A1}"/>
    <cellStyle name="Normal 2 4 2 3 2 2 4 4" xfId="9728" xr:uid="{0EB2A0E1-5A5B-4605-9A46-0BFCD0E8922E}"/>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2 2 2" xfId="16504" xr:uid="{387AA6AD-29B5-40AD-AFF7-AAABCA0C856C}"/>
    <cellStyle name="Normal 2 4 2 3 2 2 5 2 3" xfId="12286" xr:uid="{624AE925-FB55-4A00-9352-7FE08BA2DC43}"/>
    <cellStyle name="Normal 2 4 2 3 2 2 5 3" xfId="5917" xr:uid="{00000000-0005-0000-0000-0000B90E0000}"/>
    <cellStyle name="Normal 2 4 2 3 2 2 5 3 2" xfId="14359" xr:uid="{7C2C5DDE-EDEF-47C9-8573-CF8FED20044B}"/>
    <cellStyle name="Normal 2 4 2 3 2 2 5 4" xfId="10141" xr:uid="{3CDDCC39-73A3-42ED-8F65-487D9076B26B}"/>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2 2 2" xfId="16917" xr:uid="{0913D00A-66AF-4767-95B8-B67CD2B378CA}"/>
    <cellStyle name="Normal 2 4 2 3 2 2 6 2 3" xfId="12699" xr:uid="{6C79687A-8651-455D-93CE-4462E80F6F29}"/>
    <cellStyle name="Normal 2 4 2 3 2 2 6 3" xfId="6330" xr:uid="{00000000-0005-0000-0000-0000BD0E0000}"/>
    <cellStyle name="Normal 2 4 2 3 2 2 6 3 2" xfId="14772" xr:uid="{78DCE889-B41C-49FB-A2A2-6F70CBBA001F}"/>
    <cellStyle name="Normal 2 4 2 3 2 2 6 4" xfId="10554" xr:uid="{0ECD8A23-D6AB-4501-80FC-4730A9A7B148}"/>
    <cellStyle name="Normal 2 4 2 3 2 2 7" xfId="2459" xr:uid="{00000000-0005-0000-0000-0000BE0E0000}"/>
    <cellStyle name="Normal 2 4 2 3 2 2 7 2" xfId="6743" xr:uid="{00000000-0005-0000-0000-0000BF0E0000}"/>
    <cellStyle name="Normal 2 4 2 3 2 2 7 2 2" xfId="15185" xr:uid="{D4C3A689-47F8-4FBB-A441-A6DD05DCD276}"/>
    <cellStyle name="Normal 2 4 2 3 2 2 7 3" xfId="10967" xr:uid="{D5C56D66-14D7-4084-831D-561F2BD43001}"/>
    <cellStyle name="Normal 2 4 2 3 2 2 8" xfId="4677" xr:uid="{00000000-0005-0000-0000-0000C00E0000}"/>
    <cellStyle name="Normal 2 4 2 3 2 2 8 2" xfId="13119" xr:uid="{6C53F3CF-BD2C-487A-8CDF-0278DC1833C5}"/>
    <cellStyle name="Normal 2 4 2 3 2 2 9" xfId="8901" xr:uid="{913D7829-2097-4070-BD6E-49610064B29F}"/>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2 2 2" xfId="15680" xr:uid="{0C1B6B98-CF03-40BA-8D93-CD2C02DDF8A5}"/>
    <cellStyle name="Normal 2 4 2 3 2 3 2 2 3" xfId="11462" xr:uid="{0EAD9955-D18D-4F88-891B-9744DA7DA713}"/>
    <cellStyle name="Normal 2 4 2 3 2 3 2 3" xfId="5093" xr:uid="{00000000-0005-0000-0000-0000C50E0000}"/>
    <cellStyle name="Normal 2 4 2 3 2 3 2 3 2" xfId="13535" xr:uid="{8C5C1A9B-23BD-4C7C-94C1-E6DFD01DD16C}"/>
    <cellStyle name="Normal 2 4 2 3 2 3 2 4" xfId="9317" xr:uid="{9FA2D662-CF63-4E6B-9730-2FD71BCAC80B}"/>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2 2 2" xfId="16093" xr:uid="{9A004D22-2804-4A9E-9276-5D6B1B876DF5}"/>
    <cellStyle name="Normal 2 4 2 3 2 3 3 2 3" xfId="11875" xr:uid="{2E273F65-0410-4382-8423-D5579102EF33}"/>
    <cellStyle name="Normal 2 4 2 3 2 3 3 3" xfId="5506" xr:uid="{00000000-0005-0000-0000-0000C90E0000}"/>
    <cellStyle name="Normal 2 4 2 3 2 3 3 3 2" xfId="13948" xr:uid="{F221E76E-CB82-4731-8D02-5445B088C218}"/>
    <cellStyle name="Normal 2 4 2 3 2 3 3 4" xfId="9730" xr:uid="{FAD8A6B0-9DA4-489E-B06F-21265580C588}"/>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2 2 2" xfId="16506" xr:uid="{BB1EA6D3-9663-47F1-97EE-18A1B2F37446}"/>
    <cellStyle name="Normal 2 4 2 3 2 3 4 2 3" xfId="12288" xr:uid="{51D0FEEE-652F-4A66-B954-8B3824808C1F}"/>
    <cellStyle name="Normal 2 4 2 3 2 3 4 3" xfId="5919" xr:uid="{00000000-0005-0000-0000-0000CD0E0000}"/>
    <cellStyle name="Normal 2 4 2 3 2 3 4 3 2" xfId="14361" xr:uid="{3BCFE120-2369-4C89-B8F5-E67E3C8AC08B}"/>
    <cellStyle name="Normal 2 4 2 3 2 3 4 4" xfId="10143" xr:uid="{C6A5907B-65E8-4623-A12C-23B51FE25EFF}"/>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2 2 2" xfId="16919" xr:uid="{82D5B3D2-CE5C-4079-9F1F-AFE3CCE64CDC}"/>
    <cellStyle name="Normal 2 4 2 3 2 3 5 2 3" xfId="12701" xr:uid="{59923563-9AD1-4AF0-B13C-33471C52A5B0}"/>
    <cellStyle name="Normal 2 4 2 3 2 3 5 3" xfId="6332" xr:uid="{00000000-0005-0000-0000-0000D10E0000}"/>
    <cellStyle name="Normal 2 4 2 3 2 3 5 3 2" xfId="14774" xr:uid="{FBCD5D3B-8EE6-4FDB-A2A1-FF8DBA7A08EF}"/>
    <cellStyle name="Normal 2 4 2 3 2 3 5 4" xfId="10556" xr:uid="{CF807236-49FD-48DD-842F-0F2669216E4B}"/>
    <cellStyle name="Normal 2 4 2 3 2 3 6" xfId="2461" xr:uid="{00000000-0005-0000-0000-0000D20E0000}"/>
    <cellStyle name="Normal 2 4 2 3 2 3 6 2" xfId="6745" xr:uid="{00000000-0005-0000-0000-0000D30E0000}"/>
    <cellStyle name="Normal 2 4 2 3 2 3 6 2 2" xfId="15187" xr:uid="{D78A6B39-23E6-4AAD-9258-4E5A857C1E6F}"/>
    <cellStyle name="Normal 2 4 2 3 2 3 6 3" xfId="10969" xr:uid="{E46EE3B8-A26D-4D05-9FE1-9F738D949CE1}"/>
    <cellStyle name="Normal 2 4 2 3 2 3 7" xfId="4679" xr:uid="{00000000-0005-0000-0000-0000D40E0000}"/>
    <cellStyle name="Normal 2 4 2 3 2 3 7 2" xfId="13121" xr:uid="{AF2BF053-2569-4197-A057-58A03007F9F5}"/>
    <cellStyle name="Normal 2 4 2 3 2 3 8" xfId="8903" xr:uid="{292C2F78-3E08-4AB1-B306-80CB4739CABC}"/>
    <cellStyle name="Normal 2 4 2 3 2 4" xfId="773" xr:uid="{00000000-0005-0000-0000-0000D50E0000}"/>
    <cellStyle name="Normal 2 4 2 3 2 4 2" xfId="3012" xr:uid="{00000000-0005-0000-0000-0000D60E0000}"/>
    <cellStyle name="Normal 2 4 2 3 2 4 2 2" xfId="7235" xr:uid="{00000000-0005-0000-0000-0000D70E0000}"/>
    <cellStyle name="Normal 2 4 2 3 2 4 2 2 2" xfId="15677" xr:uid="{A04EA2B2-FE48-468B-A236-853B298E0B44}"/>
    <cellStyle name="Normal 2 4 2 3 2 4 2 3" xfId="11459" xr:uid="{9BD82BB0-F00B-474F-9573-506C88D9F322}"/>
    <cellStyle name="Normal 2 4 2 3 2 4 3" xfId="5090" xr:uid="{00000000-0005-0000-0000-0000D80E0000}"/>
    <cellStyle name="Normal 2 4 2 3 2 4 3 2" xfId="13532" xr:uid="{22E5F1E0-46DD-4D83-B35A-934240F3101E}"/>
    <cellStyle name="Normal 2 4 2 3 2 4 4" xfId="9314" xr:uid="{215E7FAE-EA4E-4CAB-B5B6-8CF3E68BBE74}"/>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2 2 2" xfId="16090" xr:uid="{19E106BE-8F01-4970-A861-D40C94818EC8}"/>
    <cellStyle name="Normal 2 4 2 3 2 5 2 3" xfId="11872" xr:uid="{1EE1B584-AD78-4ED3-B122-07019ABE0AAF}"/>
    <cellStyle name="Normal 2 4 2 3 2 5 3" xfId="5503" xr:uid="{00000000-0005-0000-0000-0000DC0E0000}"/>
    <cellStyle name="Normal 2 4 2 3 2 5 3 2" xfId="13945" xr:uid="{5D58C091-EE74-4146-A699-9F8C9E6406D3}"/>
    <cellStyle name="Normal 2 4 2 3 2 5 4" xfId="9727" xr:uid="{533719F9-7F9F-466B-A3D9-1A39C7A483FF}"/>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2 2 2" xfId="16503" xr:uid="{ADCDB835-18E2-4208-A49A-D7C2862E7EDA}"/>
    <cellStyle name="Normal 2 4 2 3 2 6 2 3" xfId="12285" xr:uid="{9BF1B313-0FE2-4E64-88ED-4DCA3DC90868}"/>
    <cellStyle name="Normal 2 4 2 3 2 6 3" xfId="5916" xr:uid="{00000000-0005-0000-0000-0000E00E0000}"/>
    <cellStyle name="Normal 2 4 2 3 2 6 3 2" xfId="14358" xr:uid="{592C57F1-96CB-47B8-AA0A-D6DB744F6652}"/>
    <cellStyle name="Normal 2 4 2 3 2 6 4" xfId="10140" xr:uid="{46A95DED-96B4-4B2F-8766-ED51C97820B3}"/>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2 2 2" xfId="16916" xr:uid="{81D5FFDD-7C4B-48F1-9EB6-F0064AF19571}"/>
    <cellStyle name="Normal 2 4 2 3 2 7 2 3" xfId="12698" xr:uid="{332455CD-45A7-4166-96F6-BB66EE8EED8B}"/>
    <cellStyle name="Normal 2 4 2 3 2 7 3" xfId="6329" xr:uid="{00000000-0005-0000-0000-0000E40E0000}"/>
    <cellStyle name="Normal 2 4 2 3 2 7 3 2" xfId="14771" xr:uid="{A272F0A1-6522-453E-92AC-D5C9B2CA15DB}"/>
    <cellStyle name="Normal 2 4 2 3 2 7 4" xfId="10553" xr:uid="{BA258396-1752-49DD-877A-74C33777F975}"/>
    <cellStyle name="Normal 2 4 2 3 2 8" xfId="2458" xr:uid="{00000000-0005-0000-0000-0000E50E0000}"/>
    <cellStyle name="Normal 2 4 2 3 2 8 2" xfId="6742" xr:uid="{00000000-0005-0000-0000-0000E60E0000}"/>
    <cellStyle name="Normal 2 4 2 3 2 8 2 2" xfId="15184" xr:uid="{20DCDE58-DD80-43D8-B48A-7DC5D0CE70E4}"/>
    <cellStyle name="Normal 2 4 2 3 2 8 3" xfId="10966" xr:uid="{83975482-B4A8-473F-8B0D-AB6FA199294C}"/>
    <cellStyle name="Normal 2 4 2 3 2 9" xfId="4676" xr:uid="{00000000-0005-0000-0000-0000E70E0000}"/>
    <cellStyle name="Normal 2 4 2 3 2 9 2" xfId="13118" xr:uid="{55DB122F-FE0B-46F8-AF6A-994B23EBF3BB}"/>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2 2 2" xfId="15682" xr:uid="{1F65AD0D-7371-4CCF-A338-0B4D122019FC}"/>
    <cellStyle name="Normal 2 4 2 3 3 2 2 2 3" xfId="11464" xr:uid="{AA773311-77F8-41F3-84CC-5E12383DBEAC}"/>
    <cellStyle name="Normal 2 4 2 3 3 2 2 3" xfId="5095" xr:uid="{00000000-0005-0000-0000-0000ED0E0000}"/>
    <cellStyle name="Normal 2 4 2 3 3 2 2 3 2" xfId="13537" xr:uid="{04ED6A3D-5951-48F2-8E9D-C13B85C69E7B}"/>
    <cellStyle name="Normal 2 4 2 3 3 2 2 4" xfId="9319" xr:uid="{B3142803-45D3-4093-891C-EE6955E9608E}"/>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2 2 2" xfId="16095" xr:uid="{9ED57478-C75B-414F-BF23-7BDFAEC75BE4}"/>
    <cellStyle name="Normal 2 4 2 3 3 2 3 2 3" xfId="11877" xr:uid="{CEEF140F-A33A-4983-A833-B8CB07629D12}"/>
    <cellStyle name="Normal 2 4 2 3 3 2 3 3" xfId="5508" xr:uid="{00000000-0005-0000-0000-0000F10E0000}"/>
    <cellStyle name="Normal 2 4 2 3 3 2 3 3 2" xfId="13950" xr:uid="{DE56EEA7-1E00-45F6-A0A5-454883F3F75C}"/>
    <cellStyle name="Normal 2 4 2 3 3 2 3 4" xfId="9732" xr:uid="{15964950-65E7-48E9-8B84-85427DA689AD}"/>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2 2 2" xfId="16508" xr:uid="{EEE2CE61-DB17-4065-937B-FB88154DEAAD}"/>
    <cellStyle name="Normal 2 4 2 3 3 2 4 2 3" xfId="12290" xr:uid="{3C9A2037-7C29-4408-8806-95874E1E5EA4}"/>
    <cellStyle name="Normal 2 4 2 3 3 2 4 3" xfId="5921" xr:uid="{00000000-0005-0000-0000-0000F50E0000}"/>
    <cellStyle name="Normal 2 4 2 3 3 2 4 3 2" xfId="14363" xr:uid="{19EAE913-00F7-4A28-A2B9-028F162933EC}"/>
    <cellStyle name="Normal 2 4 2 3 3 2 4 4" xfId="10145" xr:uid="{A5270BC0-ACC1-4D82-AE8B-EBE32A14C867}"/>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2 2 2" xfId="16921" xr:uid="{DFF241C4-D034-4F1D-A0AE-8DACEAB36C29}"/>
    <cellStyle name="Normal 2 4 2 3 3 2 5 2 3" xfId="12703" xr:uid="{23D1922F-EA35-4763-8B6A-9843B7D0D5D5}"/>
    <cellStyle name="Normal 2 4 2 3 3 2 5 3" xfId="6334" xr:uid="{00000000-0005-0000-0000-0000F90E0000}"/>
    <cellStyle name="Normal 2 4 2 3 3 2 5 3 2" xfId="14776" xr:uid="{27867076-2C13-4D28-93CE-8194EFBC134B}"/>
    <cellStyle name="Normal 2 4 2 3 3 2 5 4" xfId="10558" xr:uid="{B96D196C-6216-4D55-B424-8F9FF054F1BC}"/>
    <cellStyle name="Normal 2 4 2 3 3 2 6" xfId="2463" xr:uid="{00000000-0005-0000-0000-0000FA0E0000}"/>
    <cellStyle name="Normal 2 4 2 3 3 2 6 2" xfId="6747" xr:uid="{00000000-0005-0000-0000-0000FB0E0000}"/>
    <cellStyle name="Normal 2 4 2 3 3 2 6 2 2" xfId="15189" xr:uid="{2C3FA242-CCEB-4720-97BA-604032FCD005}"/>
    <cellStyle name="Normal 2 4 2 3 3 2 6 3" xfId="10971" xr:uid="{71048E1F-B856-491B-9C81-2699A34F23CF}"/>
    <cellStyle name="Normal 2 4 2 3 3 2 7" xfId="4681" xr:uid="{00000000-0005-0000-0000-0000FC0E0000}"/>
    <cellStyle name="Normal 2 4 2 3 3 2 7 2" xfId="13123" xr:uid="{14AFDD89-7B44-40EE-A367-DDD7E1619D27}"/>
    <cellStyle name="Normal 2 4 2 3 3 2 8" xfId="8905" xr:uid="{6F57F059-12C9-4547-936F-82F058584DF2}"/>
    <cellStyle name="Normal 2 4 2 3 3 3" xfId="777" xr:uid="{00000000-0005-0000-0000-0000FD0E0000}"/>
    <cellStyle name="Normal 2 4 2 3 3 3 2" xfId="3016" xr:uid="{00000000-0005-0000-0000-0000FE0E0000}"/>
    <cellStyle name="Normal 2 4 2 3 3 3 2 2" xfId="7239" xr:uid="{00000000-0005-0000-0000-0000FF0E0000}"/>
    <cellStyle name="Normal 2 4 2 3 3 3 2 2 2" xfId="15681" xr:uid="{04FD0345-E7FE-4B48-900E-1DA906BF7571}"/>
    <cellStyle name="Normal 2 4 2 3 3 3 2 3" xfId="11463" xr:uid="{CB4DACEB-86FA-42F5-9567-03C580A7CC6E}"/>
    <cellStyle name="Normal 2 4 2 3 3 3 3" xfId="5094" xr:uid="{00000000-0005-0000-0000-0000000F0000}"/>
    <cellStyle name="Normal 2 4 2 3 3 3 3 2" xfId="13536" xr:uid="{D64CD5B1-7AB2-49D4-830E-4062EA44F544}"/>
    <cellStyle name="Normal 2 4 2 3 3 3 4" xfId="9318" xr:uid="{023FCFAA-9C94-4647-A77B-A735D6005258}"/>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2 2 2" xfId="16094" xr:uid="{91355BFE-2744-4044-89DE-C4B7DD8B360C}"/>
    <cellStyle name="Normal 2 4 2 3 3 4 2 3" xfId="11876" xr:uid="{77F3523C-0FF2-46E4-A2A2-81BCE1E26448}"/>
    <cellStyle name="Normal 2 4 2 3 3 4 3" xfId="5507" xr:uid="{00000000-0005-0000-0000-0000040F0000}"/>
    <cellStyle name="Normal 2 4 2 3 3 4 3 2" xfId="13949" xr:uid="{73E02FBB-6B94-4435-ADB4-96F4CCCCEEEB}"/>
    <cellStyle name="Normal 2 4 2 3 3 4 4" xfId="9731" xr:uid="{0F5A0BFF-2A72-4E66-BA0D-2B0F149E97C3}"/>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2 2 2" xfId="16507" xr:uid="{72DF7540-F271-45A7-BA5A-EDEC99CB9A8A}"/>
    <cellStyle name="Normal 2 4 2 3 3 5 2 3" xfId="12289" xr:uid="{9C497780-A327-4F05-920A-0F8855589FC0}"/>
    <cellStyle name="Normal 2 4 2 3 3 5 3" xfId="5920" xr:uid="{00000000-0005-0000-0000-0000080F0000}"/>
    <cellStyle name="Normal 2 4 2 3 3 5 3 2" xfId="14362" xr:uid="{364660F8-53CD-4E63-9001-80260B7136AB}"/>
    <cellStyle name="Normal 2 4 2 3 3 5 4" xfId="10144" xr:uid="{3D57B44E-DD18-4D09-B547-CC3EEE54B9F7}"/>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2 2 2" xfId="16920" xr:uid="{DECA6A1F-1000-4810-993E-2A84BF9EE842}"/>
    <cellStyle name="Normal 2 4 2 3 3 6 2 3" xfId="12702" xr:uid="{64B3D6F6-9E12-4FDC-9F6D-9EAEFE3F9BE0}"/>
    <cellStyle name="Normal 2 4 2 3 3 6 3" xfId="6333" xr:uid="{00000000-0005-0000-0000-00000C0F0000}"/>
    <cellStyle name="Normal 2 4 2 3 3 6 3 2" xfId="14775" xr:uid="{9FE719AA-0105-4593-8188-77DF6C9507B7}"/>
    <cellStyle name="Normal 2 4 2 3 3 6 4" xfId="10557" xr:uid="{4DDBB1B3-B7FD-473C-BEA3-E1BBAECBED97}"/>
    <cellStyle name="Normal 2 4 2 3 3 7" xfId="2462" xr:uid="{00000000-0005-0000-0000-00000D0F0000}"/>
    <cellStyle name="Normal 2 4 2 3 3 7 2" xfId="6746" xr:uid="{00000000-0005-0000-0000-00000E0F0000}"/>
    <cellStyle name="Normal 2 4 2 3 3 7 2 2" xfId="15188" xr:uid="{39D11754-968A-44A2-A911-068480E637B2}"/>
    <cellStyle name="Normal 2 4 2 3 3 7 3" xfId="10970" xr:uid="{80DECC8A-6D98-4F95-A203-8EEF9CC18416}"/>
    <cellStyle name="Normal 2 4 2 3 3 8" xfId="4680" xr:uid="{00000000-0005-0000-0000-00000F0F0000}"/>
    <cellStyle name="Normal 2 4 2 3 3 8 2" xfId="13122" xr:uid="{E41F533C-613C-4C94-96FD-F614CA986170}"/>
    <cellStyle name="Normal 2 4 2 3 3 9" xfId="8904" xr:uid="{7434FACA-F46B-4BDB-A6B1-870A588D795B}"/>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2 2 2" xfId="15683" xr:uid="{B6824E48-009E-4600-AED6-61C57FCA86B1}"/>
    <cellStyle name="Normal 2 4 2 3 4 2 2 3" xfId="11465" xr:uid="{6420586E-9B20-4B6C-A7EC-7797771603EA}"/>
    <cellStyle name="Normal 2 4 2 3 4 2 3" xfId="5096" xr:uid="{00000000-0005-0000-0000-0000140F0000}"/>
    <cellStyle name="Normal 2 4 2 3 4 2 3 2" xfId="13538" xr:uid="{D306F3F7-6982-4C55-87CB-232E1B51F372}"/>
    <cellStyle name="Normal 2 4 2 3 4 2 4" xfId="9320" xr:uid="{A26B123B-B88E-4676-A2B7-AB2DC645CA74}"/>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2 2 2" xfId="16096" xr:uid="{7CF28576-A4EF-4F48-9444-3AA6AFF8D820}"/>
    <cellStyle name="Normal 2 4 2 3 4 3 2 3" xfId="11878" xr:uid="{34409C6B-2800-41B3-BAB1-C5E9B6213A30}"/>
    <cellStyle name="Normal 2 4 2 3 4 3 3" xfId="5509" xr:uid="{00000000-0005-0000-0000-0000180F0000}"/>
    <cellStyle name="Normal 2 4 2 3 4 3 3 2" xfId="13951" xr:uid="{42B390C5-4365-44B0-BDA0-A8E56A15143B}"/>
    <cellStyle name="Normal 2 4 2 3 4 3 4" xfId="9733" xr:uid="{6C5063C7-7C45-41CB-B1D9-6DCFC0686F7C}"/>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2 2 2" xfId="16509" xr:uid="{01C186BE-85D1-4EAD-8E07-58A0303396FA}"/>
    <cellStyle name="Normal 2 4 2 3 4 4 2 3" xfId="12291" xr:uid="{EF81D561-A477-421F-999A-5EFA85A8728C}"/>
    <cellStyle name="Normal 2 4 2 3 4 4 3" xfId="5922" xr:uid="{00000000-0005-0000-0000-00001C0F0000}"/>
    <cellStyle name="Normal 2 4 2 3 4 4 3 2" xfId="14364" xr:uid="{849387E8-6C31-476F-8E69-66E073AD2343}"/>
    <cellStyle name="Normal 2 4 2 3 4 4 4" xfId="10146" xr:uid="{195D764E-DF3C-4CC4-BE30-0D0CB9B368E9}"/>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2 2 2" xfId="16922" xr:uid="{0ED56356-7416-4B37-8263-8DE6ADDA4A51}"/>
    <cellStyle name="Normal 2 4 2 3 4 5 2 3" xfId="12704" xr:uid="{2A2A1392-8F90-4E6C-BB1A-0C5C69D82B8D}"/>
    <cellStyle name="Normal 2 4 2 3 4 5 3" xfId="6335" xr:uid="{00000000-0005-0000-0000-0000200F0000}"/>
    <cellStyle name="Normal 2 4 2 3 4 5 3 2" xfId="14777" xr:uid="{37FBFCB1-6FF0-4978-ABBD-DDF2CD2DD41C}"/>
    <cellStyle name="Normal 2 4 2 3 4 5 4" xfId="10559" xr:uid="{800E95EB-93C5-45B8-A6D7-D3AB22FCF2FE}"/>
    <cellStyle name="Normal 2 4 2 3 4 6" xfId="2464" xr:uid="{00000000-0005-0000-0000-0000210F0000}"/>
    <cellStyle name="Normal 2 4 2 3 4 6 2" xfId="6748" xr:uid="{00000000-0005-0000-0000-0000220F0000}"/>
    <cellStyle name="Normal 2 4 2 3 4 6 2 2" xfId="15190" xr:uid="{5E9A8D38-3B49-4504-B4F4-D0C2D999C060}"/>
    <cellStyle name="Normal 2 4 2 3 4 6 3" xfId="10972" xr:uid="{A3983FFD-892B-4838-B6E6-F545EA4ED066}"/>
    <cellStyle name="Normal 2 4 2 3 4 7" xfId="4682" xr:uid="{00000000-0005-0000-0000-0000230F0000}"/>
    <cellStyle name="Normal 2 4 2 3 4 7 2" xfId="13124" xr:uid="{E331CAE4-A9EB-4F4E-8730-1E1E48C05B70}"/>
    <cellStyle name="Normal 2 4 2 3 4 8" xfId="8906" xr:uid="{2620B67B-2181-4A74-A7EE-B6A28AB668DE}"/>
    <cellStyle name="Normal 2 4 2 3 5" xfId="772" xr:uid="{00000000-0005-0000-0000-0000240F0000}"/>
    <cellStyle name="Normal 2 4 2 3 5 2" xfId="3011" xr:uid="{00000000-0005-0000-0000-0000250F0000}"/>
    <cellStyle name="Normal 2 4 2 3 5 2 2" xfId="7234" xr:uid="{00000000-0005-0000-0000-0000260F0000}"/>
    <cellStyle name="Normal 2 4 2 3 5 2 2 2" xfId="15676" xr:uid="{DE5872B7-8FE1-4BD7-B0C3-A8DB18C490D4}"/>
    <cellStyle name="Normal 2 4 2 3 5 2 3" xfId="11458" xr:uid="{0FB540E2-7C87-447F-8C72-BA75D68646D3}"/>
    <cellStyle name="Normal 2 4 2 3 5 3" xfId="5089" xr:uid="{00000000-0005-0000-0000-0000270F0000}"/>
    <cellStyle name="Normal 2 4 2 3 5 3 2" xfId="13531" xr:uid="{628D131B-7AB0-465C-BCC9-D4AF260CAD66}"/>
    <cellStyle name="Normal 2 4 2 3 5 4" xfId="9313" xr:uid="{9DC9CBF0-458E-41FC-B2BF-63CCE5E287B1}"/>
    <cellStyle name="Normal 2 4 2 3 6" xfId="1194" xr:uid="{00000000-0005-0000-0000-0000280F0000}"/>
    <cellStyle name="Normal 2 4 2 3 6 2" xfId="3424" xr:uid="{00000000-0005-0000-0000-0000290F0000}"/>
    <cellStyle name="Normal 2 4 2 3 6 2 2" xfId="7647" xr:uid="{00000000-0005-0000-0000-00002A0F0000}"/>
    <cellStyle name="Normal 2 4 2 3 6 2 2 2" xfId="16089" xr:uid="{969B2650-E6ED-43E6-88BC-49BDADE7A989}"/>
    <cellStyle name="Normal 2 4 2 3 6 2 3" xfId="11871" xr:uid="{CBE9C78C-54C1-4DD4-8139-8A081F5B671A}"/>
    <cellStyle name="Normal 2 4 2 3 6 3" xfId="5502" xr:uid="{00000000-0005-0000-0000-00002B0F0000}"/>
    <cellStyle name="Normal 2 4 2 3 6 3 2" xfId="13944" xr:uid="{91EB6224-0643-4591-97D9-27788163625A}"/>
    <cellStyle name="Normal 2 4 2 3 6 4" xfId="9726" xr:uid="{79A3F46A-7349-4B11-B9E7-E35D3BDAD788}"/>
    <cellStyle name="Normal 2 4 2 3 7" xfId="1607" xr:uid="{00000000-0005-0000-0000-00002C0F0000}"/>
    <cellStyle name="Normal 2 4 2 3 7 2" xfId="3837" xr:uid="{00000000-0005-0000-0000-00002D0F0000}"/>
    <cellStyle name="Normal 2 4 2 3 7 2 2" xfId="8060" xr:uid="{00000000-0005-0000-0000-00002E0F0000}"/>
    <cellStyle name="Normal 2 4 2 3 7 2 2 2" xfId="16502" xr:uid="{4C600512-C013-40A9-BB04-33EE3DF9A6D1}"/>
    <cellStyle name="Normal 2 4 2 3 7 2 3" xfId="12284" xr:uid="{942A578A-4B46-40FD-A5C5-EAC079DFE1BC}"/>
    <cellStyle name="Normal 2 4 2 3 7 3" xfId="5915" xr:uid="{00000000-0005-0000-0000-00002F0F0000}"/>
    <cellStyle name="Normal 2 4 2 3 7 3 2" xfId="14357" xr:uid="{EFB6E057-B1F7-44C5-989C-03ACABC57AF7}"/>
    <cellStyle name="Normal 2 4 2 3 7 4" xfId="10139" xr:uid="{2E4368A2-6F9C-4688-8A43-8009CA551D4A}"/>
    <cellStyle name="Normal 2 4 2 3 8" xfId="2021" xr:uid="{00000000-0005-0000-0000-0000300F0000}"/>
    <cellStyle name="Normal 2 4 2 3 8 2" xfId="4250" xr:uid="{00000000-0005-0000-0000-0000310F0000}"/>
    <cellStyle name="Normal 2 4 2 3 8 2 2" xfId="8473" xr:uid="{00000000-0005-0000-0000-0000320F0000}"/>
    <cellStyle name="Normal 2 4 2 3 8 2 2 2" xfId="16915" xr:uid="{A3537ABE-CBB3-4439-9A7E-5B163B3F7A3E}"/>
    <cellStyle name="Normal 2 4 2 3 8 2 3" xfId="12697" xr:uid="{8522DF7C-092A-480A-8284-A28C1CE53970}"/>
    <cellStyle name="Normal 2 4 2 3 8 3" xfId="6328" xr:uid="{00000000-0005-0000-0000-0000330F0000}"/>
    <cellStyle name="Normal 2 4 2 3 8 3 2" xfId="14770" xr:uid="{0CE0D7DD-C079-4E74-ADCD-350BC337E3C8}"/>
    <cellStyle name="Normal 2 4 2 3 8 4" xfId="10552" xr:uid="{4EF58E23-1C36-4F17-A776-9F36A457F8EB}"/>
    <cellStyle name="Normal 2 4 2 3 9" xfId="2457" xr:uid="{00000000-0005-0000-0000-0000340F0000}"/>
    <cellStyle name="Normal 2 4 2 3 9 2" xfId="6741" xr:uid="{00000000-0005-0000-0000-0000350F0000}"/>
    <cellStyle name="Normal 2 4 2 3 9 2 2" xfId="15183" xr:uid="{81ADFDF1-6DBB-4734-AF18-E6906C8946B8}"/>
    <cellStyle name="Normal 2 4 2 3 9 3" xfId="10965" xr:uid="{11B89BB4-2111-4656-B675-3B0FEAF2F7A6}"/>
    <cellStyle name="Normal 2 4 2 4" xfId="289" xr:uid="{00000000-0005-0000-0000-0000360F0000}"/>
    <cellStyle name="Normal 2 4 2 4 10" xfId="8907" xr:uid="{9E421C13-9B3C-4A5A-BB4F-719B233A018B}"/>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2 2 2" xfId="15686" xr:uid="{77E573B7-01CC-4775-96B0-C3B19333DCD6}"/>
    <cellStyle name="Normal 2 4 2 4 2 2 2 2 3" xfId="11468" xr:uid="{3EFFFB74-7111-49FE-A4B1-993A56F1CD76}"/>
    <cellStyle name="Normal 2 4 2 4 2 2 2 3" xfId="5099" xr:uid="{00000000-0005-0000-0000-00003C0F0000}"/>
    <cellStyle name="Normal 2 4 2 4 2 2 2 3 2" xfId="13541" xr:uid="{A2B8F894-257C-4F79-9021-6F34BB8B7338}"/>
    <cellStyle name="Normal 2 4 2 4 2 2 2 4" xfId="9323" xr:uid="{C72385FE-20BE-461C-9195-1D58627F019A}"/>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2 2 2" xfId="16099" xr:uid="{35809A77-FA1D-4879-A317-FF20128A48FA}"/>
    <cellStyle name="Normal 2 4 2 4 2 2 3 2 3" xfId="11881" xr:uid="{63981656-143F-4C58-A74B-82F93E323201}"/>
    <cellStyle name="Normal 2 4 2 4 2 2 3 3" xfId="5512" xr:uid="{00000000-0005-0000-0000-0000400F0000}"/>
    <cellStyle name="Normal 2 4 2 4 2 2 3 3 2" xfId="13954" xr:uid="{5286EF90-A3E2-4E0F-8078-619FDDC17912}"/>
    <cellStyle name="Normal 2 4 2 4 2 2 3 4" xfId="9736" xr:uid="{F699B9D2-E6C4-4285-91B8-FA3FE055D9B7}"/>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2 2 2" xfId="16512" xr:uid="{7F0593DC-7256-4CE6-BEFE-14E5D8F3BC0C}"/>
    <cellStyle name="Normal 2 4 2 4 2 2 4 2 3" xfId="12294" xr:uid="{07CE12A9-0D44-4C47-ACE6-C35B21D5F5F1}"/>
    <cellStyle name="Normal 2 4 2 4 2 2 4 3" xfId="5925" xr:uid="{00000000-0005-0000-0000-0000440F0000}"/>
    <cellStyle name="Normal 2 4 2 4 2 2 4 3 2" xfId="14367" xr:uid="{DC28E771-F862-4982-B074-A8B0F3734DBF}"/>
    <cellStyle name="Normal 2 4 2 4 2 2 4 4" xfId="10149" xr:uid="{7AFEA58F-9AF7-4E80-93B4-820625A8FA67}"/>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2 2 2" xfId="16925" xr:uid="{17B0E668-93B6-4A78-84FC-248CAA2612D0}"/>
    <cellStyle name="Normal 2 4 2 4 2 2 5 2 3" xfId="12707" xr:uid="{28795F3E-7ACB-41AC-9573-D220D43D5753}"/>
    <cellStyle name="Normal 2 4 2 4 2 2 5 3" xfId="6338" xr:uid="{00000000-0005-0000-0000-0000480F0000}"/>
    <cellStyle name="Normal 2 4 2 4 2 2 5 3 2" xfId="14780" xr:uid="{1ECA3E75-A7F4-44FB-8A9D-CE5DE3600367}"/>
    <cellStyle name="Normal 2 4 2 4 2 2 5 4" xfId="10562" xr:uid="{1E8436FA-9C4D-4825-8FC3-FEFFC3D32E82}"/>
    <cellStyle name="Normal 2 4 2 4 2 2 6" xfId="2467" xr:uid="{00000000-0005-0000-0000-0000490F0000}"/>
    <cellStyle name="Normal 2 4 2 4 2 2 6 2" xfId="6751" xr:uid="{00000000-0005-0000-0000-00004A0F0000}"/>
    <cellStyle name="Normal 2 4 2 4 2 2 6 2 2" xfId="15193" xr:uid="{B80344D6-7940-4252-A6FC-5E9ABAC855B0}"/>
    <cellStyle name="Normal 2 4 2 4 2 2 6 3" xfId="10975" xr:uid="{E2E1D54C-E705-417E-83B2-A81FAD86FCF4}"/>
    <cellStyle name="Normal 2 4 2 4 2 2 7" xfId="4685" xr:uid="{00000000-0005-0000-0000-00004B0F0000}"/>
    <cellStyle name="Normal 2 4 2 4 2 2 7 2" xfId="13127" xr:uid="{AE4730D5-A6BF-494A-943E-CF49C1B522FC}"/>
    <cellStyle name="Normal 2 4 2 4 2 2 8" xfId="8909" xr:uid="{D1E5CA0C-BED2-4459-905B-90BE3DAC4141}"/>
    <cellStyle name="Normal 2 4 2 4 2 3" xfId="781" xr:uid="{00000000-0005-0000-0000-00004C0F0000}"/>
    <cellStyle name="Normal 2 4 2 4 2 3 2" xfId="3020" xr:uid="{00000000-0005-0000-0000-00004D0F0000}"/>
    <cellStyle name="Normal 2 4 2 4 2 3 2 2" xfId="7243" xr:uid="{00000000-0005-0000-0000-00004E0F0000}"/>
    <cellStyle name="Normal 2 4 2 4 2 3 2 2 2" xfId="15685" xr:uid="{C40CE42C-00F8-4EE1-9B9E-8F89514170FA}"/>
    <cellStyle name="Normal 2 4 2 4 2 3 2 3" xfId="11467" xr:uid="{08B08595-FC07-47F4-99EE-F8BB9239F026}"/>
    <cellStyle name="Normal 2 4 2 4 2 3 3" xfId="5098" xr:uid="{00000000-0005-0000-0000-00004F0F0000}"/>
    <cellStyle name="Normal 2 4 2 4 2 3 3 2" xfId="13540" xr:uid="{32FA8C0D-B7BD-4B0F-8DEF-CF965E0E4275}"/>
    <cellStyle name="Normal 2 4 2 4 2 3 4" xfId="9322" xr:uid="{7B343A68-0F95-4500-9F7A-FB43465155DE}"/>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2 2 2" xfId="16098" xr:uid="{11847FE7-1F53-4FD2-AF07-87B1B7BA12CA}"/>
    <cellStyle name="Normal 2 4 2 4 2 4 2 3" xfId="11880" xr:uid="{17BFA5C2-4223-488D-8F64-98C80801E63E}"/>
    <cellStyle name="Normal 2 4 2 4 2 4 3" xfId="5511" xr:uid="{00000000-0005-0000-0000-0000530F0000}"/>
    <cellStyle name="Normal 2 4 2 4 2 4 3 2" xfId="13953" xr:uid="{18BE88CA-E939-40AD-A635-ECBEAA693CF4}"/>
    <cellStyle name="Normal 2 4 2 4 2 4 4" xfId="9735" xr:uid="{6DAFD289-0D65-489D-A7CD-ADD382A58837}"/>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2 2 2" xfId="16511" xr:uid="{5269A2E2-BCAC-477A-A304-6344B5F48EED}"/>
    <cellStyle name="Normal 2 4 2 4 2 5 2 3" xfId="12293" xr:uid="{4717EFA3-160C-4537-B146-8E42F41738E1}"/>
    <cellStyle name="Normal 2 4 2 4 2 5 3" xfId="5924" xr:uid="{00000000-0005-0000-0000-0000570F0000}"/>
    <cellStyle name="Normal 2 4 2 4 2 5 3 2" xfId="14366" xr:uid="{3462B908-29EC-4EA8-967F-F2F157E304AA}"/>
    <cellStyle name="Normal 2 4 2 4 2 5 4" xfId="10148" xr:uid="{9CBB11BD-37CC-4751-9472-4DDACEEDB41D}"/>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2 2 2" xfId="16924" xr:uid="{15D027EF-67A3-4778-8E43-4312EFEB34E0}"/>
    <cellStyle name="Normal 2 4 2 4 2 6 2 3" xfId="12706" xr:uid="{5CF6847D-FEAC-427C-B21B-4974409BCE29}"/>
    <cellStyle name="Normal 2 4 2 4 2 6 3" xfId="6337" xr:uid="{00000000-0005-0000-0000-00005B0F0000}"/>
    <cellStyle name="Normal 2 4 2 4 2 6 3 2" xfId="14779" xr:uid="{17EC7252-308C-402E-AE23-D1D54B1046CE}"/>
    <cellStyle name="Normal 2 4 2 4 2 6 4" xfId="10561" xr:uid="{C5E64059-1A44-4D57-A063-09E286F3900B}"/>
    <cellStyle name="Normal 2 4 2 4 2 7" xfId="2466" xr:uid="{00000000-0005-0000-0000-00005C0F0000}"/>
    <cellStyle name="Normal 2 4 2 4 2 7 2" xfId="6750" xr:uid="{00000000-0005-0000-0000-00005D0F0000}"/>
    <cellStyle name="Normal 2 4 2 4 2 7 2 2" xfId="15192" xr:uid="{2917BDEE-8377-4775-9A41-A5E62E11A7DC}"/>
    <cellStyle name="Normal 2 4 2 4 2 7 3" xfId="10974" xr:uid="{EBCEF50A-E999-4AFF-B634-8ECF008A5111}"/>
    <cellStyle name="Normal 2 4 2 4 2 8" xfId="4684" xr:uid="{00000000-0005-0000-0000-00005E0F0000}"/>
    <cellStyle name="Normal 2 4 2 4 2 8 2" xfId="13126" xr:uid="{214B27FD-7979-452F-9D5E-98C78A521FC7}"/>
    <cellStyle name="Normal 2 4 2 4 2 9" xfId="8908" xr:uid="{202BC1B8-B0EA-45B2-BEC0-10370728D711}"/>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2 2 2" xfId="15687" xr:uid="{96581148-DB2B-4C4E-9DE3-EED540C232AF}"/>
    <cellStyle name="Normal 2 4 2 4 3 2 2 3" xfId="11469" xr:uid="{C5F09E7E-5F66-4C2B-AE4B-AFBE7A62BAE8}"/>
    <cellStyle name="Normal 2 4 2 4 3 2 3" xfId="5100" xr:uid="{00000000-0005-0000-0000-0000630F0000}"/>
    <cellStyle name="Normal 2 4 2 4 3 2 3 2" xfId="13542" xr:uid="{875FA902-583B-4C51-89FC-4F824AAAEBDF}"/>
    <cellStyle name="Normal 2 4 2 4 3 2 4" xfId="9324" xr:uid="{76491162-F1BC-48A3-8FB6-CE3129309742}"/>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2 2 2" xfId="16100" xr:uid="{CC62E0D4-C696-4886-85D8-6F77E25B7354}"/>
    <cellStyle name="Normal 2 4 2 4 3 3 2 3" xfId="11882" xr:uid="{EA45E14F-DC7B-40A8-8864-F5F9A87DC52D}"/>
    <cellStyle name="Normal 2 4 2 4 3 3 3" xfId="5513" xr:uid="{00000000-0005-0000-0000-0000670F0000}"/>
    <cellStyle name="Normal 2 4 2 4 3 3 3 2" xfId="13955" xr:uid="{5D893DAF-AFCF-4774-A48F-030167DAAE87}"/>
    <cellStyle name="Normal 2 4 2 4 3 3 4" xfId="9737" xr:uid="{D6B09556-5FE5-43F2-B195-700CF73F64B8}"/>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2 2 2" xfId="16513" xr:uid="{B55A7856-62DD-4EB3-AA97-AA37F342B6C0}"/>
    <cellStyle name="Normal 2 4 2 4 3 4 2 3" xfId="12295" xr:uid="{425B9970-6FD9-493E-84AE-D044647FC048}"/>
    <cellStyle name="Normal 2 4 2 4 3 4 3" xfId="5926" xr:uid="{00000000-0005-0000-0000-00006B0F0000}"/>
    <cellStyle name="Normal 2 4 2 4 3 4 3 2" xfId="14368" xr:uid="{77213BD1-2660-4CB9-A17C-783367545438}"/>
    <cellStyle name="Normal 2 4 2 4 3 4 4" xfId="10150" xr:uid="{49B1726C-FF81-40CA-AAC8-0D94952A487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2 2 2" xfId="16926" xr:uid="{A770C837-22AB-4BDE-9A88-D73B38DE5DBF}"/>
    <cellStyle name="Normal 2 4 2 4 3 5 2 3" xfId="12708" xr:uid="{D0FBDE3F-07E5-4C3B-93DD-293BD5F45981}"/>
    <cellStyle name="Normal 2 4 2 4 3 5 3" xfId="6339" xr:uid="{00000000-0005-0000-0000-00006F0F0000}"/>
    <cellStyle name="Normal 2 4 2 4 3 5 3 2" xfId="14781" xr:uid="{2F9E8649-DDCC-49D9-B408-22D5A9957E80}"/>
    <cellStyle name="Normal 2 4 2 4 3 5 4" xfId="10563" xr:uid="{EF0434D0-3B54-49CA-9408-AB30FFAF1543}"/>
    <cellStyle name="Normal 2 4 2 4 3 6" xfId="2468" xr:uid="{00000000-0005-0000-0000-0000700F0000}"/>
    <cellStyle name="Normal 2 4 2 4 3 6 2" xfId="6752" xr:uid="{00000000-0005-0000-0000-0000710F0000}"/>
    <cellStyle name="Normal 2 4 2 4 3 6 2 2" xfId="15194" xr:uid="{19E77B78-33D1-4FAD-BCBA-FBB5AB86A9D8}"/>
    <cellStyle name="Normal 2 4 2 4 3 6 3" xfId="10976" xr:uid="{747EE08D-8DEC-4D49-A801-3F7F85ED0781}"/>
    <cellStyle name="Normal 2 4 2 4 3 7" xfId="4686" xr:uid="{00000000-0005-0000-0000-0000720F0000}"/>
    <cellStyle name="Normal 2 4 2 4 3 7 2" xfId="13128" xr:uid="{341C06FC-2729-4F44-9969-0F291E946A8B}"/>
    <cellStyle name="Normal 2 4 2 4 3 8" xfId="8910" xr:uid="{777049E4-AFAB-44C4-B76E-80EACB33BC0C}"/>
    <cellStyle name="Normal 2 4 2 4 4" xfId="780" xr:uid="{00000000-0005-0000-0000-0000730F0000}"/>
    <cellStyle name="Normal 2 4 2 4 4 2" xfId="3019" xr:uid="{00000000-0005-0000-0000-0000740F0000}"/>
    <cellStyle name="Normal 2 4 2 4 4 2 2" xfId="7242" xr:uid="{00000000-0005-0000-0000-0000750F0000}"/>
    <cellStyle name="Normal 2 4 2 4 4 2 2 2" xfId="15684" xr:uid="{609996BD-C7DA-42ED-ABB4-B9D281CF9662}"/>
    <cellStyle name="Normal 2 4 2 4 4 2 3" xfId="11466" xr:uid="{F7B29A49-CEC1-490B-8C07-B16C409674BD}"/>
    <cellStyle name="Normal 2 4 2 4 4 3" xfId="5097" xr:uid="{00000000-0005-0000-0000-0000760F0000}"/>
    <cellStyle name="Normal 2 4 2 4 4 3 2" xfId="13539" xr:uid="{4EB76FBB-6EF6-41B2-AEF7-581B2E69D6B7}"/>
    <cellStyle name="Normal 2 4 2 4 4 4" xfId="9321" xr:uid="{3DDEA53A-72B4-48A9-AED6-63D1A196B97D}"/>
    <cellStyle name="Normal 2 4 2 4 5" xfId="1202" xr:uid="{00000000-0005-0000-0000-0000770F0000}"/>
    <cellStyle name="Normal 2 4 2 4 5 2" xfId="3432" xr:uid="{00000000-0005-0000-0000-0000780F0000}"/>
    <cellStyle name="Normal 2 4 2 4 5 2 2" xfId="7655" xr:uid="{00000000-0005-0000-0000-0000790F0000}"/>
    <cellStyle name="Normal 2 4 2 4 5 2 2 2" xfId="16097" xr:uid="{7852A1B5-FF39-42BC-91B2-00A50FE0A802}"/>
    <cellStyle name="Normal 2 4 2 4 5 2 3" xfId="11879" xr:uid="{EF504EE7-EB30-4695-99DD-A052632BF7D9}"/>
    <cellStyle name="Normal 2 4 2 4 5 3" xfId="5510" xr:uid="{00000000-0005-0000-0000-00007A0F0000}"/>
    <cellStyle name="Normal 2 4 2 4 5 3 2" xfId="13952" xr:uid="{B24C1B38-B802-426B-B197-5211D0539DA9}"/>
    <cellStyle name="Normal 2 4 2 4 5 4" xfId="9734" xr:uid="{8A03625C-7BEF-4163-A739-2827A95A0ECC}"/>
    <cellStyle name="Normal 2 4 2 4 6" xfId="1615" xr:uid="{00000000-0005-0000-0000-00007B0F0000}"/>
    <cellStyle name="Normal 2 4 2 4 6 2" xfId="3845" xr:uid="{00000000-0005-0000-0000-00007C0F0000}"/>
    <cellStyle name="Normal 2 4 2 4 6 2 2" xfId="8068" xr:uid="{00000000-0005-0000-0000-00007D0F0000}"/>
    <cellStyle name="Normal 2 4 2 4 6 2 2 2" xfId="16510" xr:uid="{266992BB-1E97-46C1-B5CC-846ACE60E5A6}"/>
    <cellStyle name="Normal 2 4 2 4 6 2 3" xfId="12292" xr:uid="{90D8C7D0-3D71-40CF-B7D5-697D630D2642}"/>
    <cellStyle name="Normal 2 4 2 4 6 3" xfId="5923" xr:uid="{00000000-0005-0000-0000-00007E0F0000}"/>
    <cellStyle name="Normal 2 4 2 4 6 3 2" xfId="14365" xr:uid="{17E525F8-FD03-47ED-B8AB-3452790E875C}"/>
    <cellStyle name="Normal 2 4 2 4 6 4" xfId="10147" xr:uid="{510AB40C-3301-4F2F-A34C-06F653AB64F2}"/>
    <cellStyle name="Normal 2 4 2 4 7" xfId="2029" xr:uid="{00000000-0005-0000-0000-00007F0F0000}"/>
    <cellStyle name="Normal 2 4 2 4 7 2" xfId="4258" xr:uid="{00000000-0005-0000-0000-0000800F0000}"/>
    <cellStyle name="Normal 2 4 2 4 7 2 2" xfId="8481" xr:uid="{00000000-0005-0000-0000-0000810F0000}"/>
    <cellStyle name="Normal 2 4 2 4 7 2 2 2" xfId="16923" xr:uid="{CA9BA62A-9E48-4173-88E0-B05B93C216D2}"/>
    <cellStyle name="Normal 2 4 2 4 7 2 3" xfId="12705" xr:uid="{03D621AC-EE16-4599-8612-B46598E71033}"/>
    <cellStyle name="Normal 2 4 2 4 7 3" xfId="6336" xr:uid="{00000000-0005-0000-0000-0000820F0000}"/>
    <cellStyle name="Normal 2 4 2 4 7 3 2" xfId="14778" xr:uid="{E5606AA0-3F29-4E1A-AF9F-5038979CD51F}"/>
    <cellStyle name="Normal 2 4 2 4 7 4" xfId="10560" xr:uid="{65C66539-B9E2-4113-86C8-0BC4DA4973C4}"/>
    <cellStyle name="Normal 2 4 2 4 8" xfId="2465" xr:uid="{00000000-0005-0000-0000-0000830F0000}"/>
    <cellStyle name="Normal 2 4 2 4 8 2" xfId="6749" xr:uid="{00000000-0005-0000-0000-0000840F0000}"/>
    <cellStyle name="Normal 2 4 2 4 8 2 2" xfId="15191" xr:uid="{C9803899-95AD-4308-A702-F54AB0BF7E38}"/>
    <cellStyle name="Normal 2 4 2 4 8 3" xfId="10973" xr:uid="{8BC59C3C-9976-436E-8722-1E099AB6CF06}"/>
    <cellStyle name="Normal 2 4 2 4 9" xfId="4683" xr:uid="{00000000-0005-0000-0000-0000850F0000}"/>
    <cellStyle name="Normal 2 4 2 4 9 2" xfId="13125" xr:uid="{29C6F308-13A0-485E-B8AE-D1FBFE149EF5}"/>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2 2 2" xfId="15689" xr:uid="{292F1EF7-52ED-401C-ACC2-513C8240F03E}"/>
    <cellStyle name="Normal 2 4 2 5 2 2 2 3" xfId="11471" xr:uid="{90A290DB-D06F-4B19-B62D-9091343CD122}"/>
    <cellStyle name="Normal 2 4 2 5 2 2 3" xfId="5102" xr:uid="{00000000-0005-0000-0000-00008B0F0000}"/>
    <cellStyle name="Normal 2 4 2 5 2 2 3 2" xfId="13544" xr:uid="{14E43437-4BE2-473A-A981-2D8F9925DFDC}"/>
    <cellStyle name="Normal 2 4 2 5 2 2 4" xfId="9326" xr:uid="{6491C9AB-A479-4B78-AB3A-54D6D0A0A88D}"/>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2 2 2" xfId="16102" xr:uid="{BEF3B6A8-8897-49DD-8301-309F19896CD0}"/>
    <cellStyle name="Normal 2 4 2 5 2 3 2 3" xfId="11884" xr:uid="{E1A2D7F9-D7D3-44FF-B573-12382B038813}"/>
    <cellStyle name="Normal 2 4 2 5 2 3 3" xfId="5515" xr:uid="{00000000-0005-0000-0000-00008F0F0000}"/>
    <cellStyle name="Normal 2 4 2 5 2 3 3 2" xfId="13957" xr:uid="{21725342-D8C9-4CB6-BE9B-096C2D27DD90}"/>
    <cellStyle name="Normal 2 4 2 5 2 3 4" xfId="9739" xr:uid="{3118A0DE-70B8-4FD7-9644-682FF1CCF7E3}"/>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2 2 2" xfId="16515" xr:uid="{E41F5EF2-8070-4BBA-8C8F-AFD029F28DD7}"/>
    <cellStyle name="Normal 2 4 2 5 2 4 2 3" xfId="12297" xr:uid="{95D436E8-1DB1-426C-8F87-DA158CF1E0C0}"/>
    <cellStyle name="Normal 2 4 2 5 2 4 3" xfId="5928" xr:uid="{00000000-0005-0000-0000-0000930F0000}"/>
    <cellStyle name="Normal 2 4 2 5 2 4 3 2" xfId="14370" xr:uid="{832158A5-429C-40B1-92B0-C691310308CD}"/>
    <cellStyle name="Normal 2 4 2 5 2 4 4" xfId="10152" xr:uid="{5BB2A553-ADED-40A9-AE54-DD3F4A664B46}"/>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2 2 2" xfId="16928" xr:uid="{645C2326-65E3-427F-AD76-24501CE47575}"/>
    <cellStyle name="Normal 2 4 2 5 2 5 2 3" xfId="12710" xr:uid="{A15154AB-EEDE-4F8E-8F23-F2AD69C74769}"/>
    <cellStyle name="Normal 2 4 2 5 2 5 3" xfId="6341" xr:uid="{00000000-0005-0000-0000-0000970F0000}"/>
    <cellStyle name="Normal 2 4 2 5 2 5 3 2" xfId="14783" xr:uid="{F41AACF5-69D3-4A02-8A86-F5D4BFAABE77}"/>
    <cellStyle name="Normal 2 4 2 5 2 5 4" xfId="10565" xr:uid="{09F8C9ED-0488-47F7-9565-593905D61DD1}"/>
    <cellStyle name="Normal 2 4 2 5 2 6" xfId="2470" xr:uid="{00000000-0005-0000-0000-0000980F0000}"/>
    <cellStyle name="Normal 2 4 2 5 2 6 2" xfId="6754" xr:uid="{00000000-0005-0000-0000-0000990F0000}"/>
    <cellStyle name="Normal 2 4 2 5 2 6 2 2" xfId="15196" xr:uid="{2B5F33B2-C914-468F-A51F-46474F7B9363}"/>
    <cellStyle name="Normal 2 4 2 5 2 6 3" xfId="10978" xr:uid="{AE032E17-AC18-4973-B76C-851479A51130}"/>
    <cellStyle name="Normal 2 4 2 5 2 7" xfId="4688" xr:uid="{00000000-0005-0000-0000-00009A0F0000}"/>
    <cellStyle name="Normal 2 4 2 5 2 7 2" xfId="13130" xr:uid="{A630AA1D-6935-4638-AC1D-5B17E957FF4E}"/>
    <cellStyle name="Normal 2 4 2 5 2 8" xfId="8912" xr:uid="{A5939AF9-6F45-4A9F-A044-ABC31A22E6FB}"/>
    <cellStyle name="Normal 2 4 2 5 3" xfId="784" xr:uid="{00000000-0005-0000-0000-00009B0F0000}"/>
    <cellStyle name="Normal 2 4 2 5 3 2" xfId="3023" xr:uid="{00000000-0005-0000-0000-00009C0F0000}"/>
    <cellStyle name="Normal 2 4 2 5 3 2 2" xfId="7246" xr:uid="{00000000-0005-0000-0000-00009D0F0000}"/>
    <cellStyle name="Normal 2 4 2 5 3 2 2 2" xfId="15688" xr:uid="{C44C231C-B766-422B-8321-F6D6F4819FD5}"/>
    <cellStyle name="Normal 2 4 2 5 3 2 3" xfId="11470" xr:uid="{3AF44C80-624F-47C1-B2C0-A4E14C1AC915}"/>
    <cellStyle name="Normal 2 4 2 5 3 3" xfId="5101" xr:uid="{00000000-0005-0000-0000-00009E0F0000}"/>
    <cellStyle name="Normal 2 4 2 5 3 3 2" xfId="13543" xr:uid="{6147DDFD-5F1E-4C62-858E-382C9949AFEE}"/>
    <cellStyle name="Normal 2 4 2 5 3 4" xfId="9325" xr:uid="{A1CBC211-34C6-4478-9C4B-A1C705C88F15}"/>
    <cellStyle name="Normal 2 4 2 5 4" xfId="1206" xr:uid="{00000000-0005-0000-0000-00009F0F0000}"/>
    <cellStyle name="Normal 2 4 2 5 4 2" xfId="3436" xr:uid="{00000000-0005-0000-0000-0000A00F0000}"/>
    <cellStyle name="Normal 2 4 2 5 4 2 2" xfId="7659" xr:uid="{00000000-0005-0000-0000-0000A10F0000}"/>
    <cellStyle name="Normal 2 4 2 5 4 2 2 2" xfId="16101" xr:uid="{5CE8E935-3C5D-4A9B-B2F1-EDC4D4E011CF}"/>
    <cellStyle name="Normal 2 4 2 5 4 2 3" xfId="11883" xr:uid="{2C0B5EEB-8AC2-4DC7-8307-D0FA578FB8AF}"/>
    <cellStyle name="Normal 2 4 2 5 4 3" xfId="5514" xr:uid="{00000000-0005-0000-0000-0000A20F0000}"/>
    <cellStyle name="Normal 2 4 2 5 4 3 2" xfId="13956" xr:uid="{C54E4235-F2F3-4C5E-AA5F-25762009FBE8}"/>
    <cellStyle name="Normal 2 4 2 5 4 4" xfId="9738" xr:uid="{B71953E8-A7B3-4EDF-BE6C-75A34ECE4123}"/>
    <cellStyle name="Normal 2 4 2 5 5" xfId="1619" xr:uid="{00000000-0005-0000-0000-0000A30F0000}"/>
    <cellStyle name="Normal 2 4 2 5 5 2" xfId="3849" xr:uid="{00000000-0005-0000-0000-0000A40F0000}"/>
    <cellStyle name="Normal 2 4 2 5 5 2 2" xfId="8072" xr:uid="{00000000-0005-0000-0000-0000A50F0000}"/>
    <cellStyle name="Normal 2 4 2 5 5 2 2 2" xfId="16514" xr:uid="{851B5307-FCFA-4F7B-9F2D-17D92770FC9E}"/>
    <cellStyle name="Normal 2 4 2 5 5 2 3" xfId="12296" xr:uid="{1CCDCE43-FED2-4687-8F54-B1F812B6569F}"/>
    <cellStyle name="Normal 2 4 2 5 5 3" xfId="5927" xr:uid="{00000000-0005-0000-0000-0000A60F0000}"/>
    <cellStyle name="Normal 2 4 2 5 5 3 2" xfId="14369" xr:uid="{07B0BB0E-DC8B-4F0E-9E7B-A389136B4126}"/>
    <cellStyle name="Normal 2 4 2 5 5 4" xfId="10151" xr:uid="{1EFC1151-2E10-4CB0-80E2-D03708AA4C84}"/>
    <cellStyle name="Normal 2 4 2 5 6" xfId="2033" xr:uid="{00000000-0005-0000-0000-0000A70F0000}"/>
    <cellStyle name="Normal 2 4 2 5 6 2" xfId="4262" xr:uid="{00000000-0005-0000-0000-0000A80F0000}"/>
    <cellStyle name="Normal 2 4 2 5 6 2 2" xfId="8485" xr:uid="{00000000-0005-0000-0000-0000A90F0000}"/>
    <cellStyle name="Normal 2 4 2 5 6 2 2 2" xfId="16927" xr:uid="{6D6E1546-BA48-4F33-BDF1-390B9B276F4D}"/>
    <cellStyle name="Normal 2 4 2 5 6 2 3" xfId="12709" xr:uid="{5968AD6C-3B86-4722-9115-C08B160432A9}"/>
    <cellStyle name="Normal 2 4 2 5 6 3" xfId="6340" xr:uid="{00000000-0005-0000-0000-0000AA0F0000}"/>
    <cellStyle name="Normal 2 4 2 5 6 3 2" xfId="14782" xr:uid="{A9D8F18F-F443-469E-A1A4-FA7991984206}"/>
    <cellStyle name="Normal 2 4 2 5 6 4" xfId="10564" xr:uid="{1E73AE00-F527-45B2-BDD6-F096E156F9C9}"/>
    <cellStyle name="Normal 2 4 2 5 7" xfId="2469" xr:uid="{00000000-0005-0000-0000-0000AB0F0000}"/>
    <cellStyle name="Normal 2 4 2 5 7 2" xfId="6753" xr:uid="{00000000-0005-0000-0000-0000AC0F0000}"/>
    <cellStyle name="Normal 2 4 2 5 7 2 2" xfId="15195" xr:uid="{58858388-1DA9-4F14-8F78-D5EF7F3BAA4B}"/>
    <cellStyle name="Normal 2 4 2 5 7 3" xfId="10977" xr:uid="{968E862D-6987-45B7-A508-3E8BD9B79E89}"/>
    <cellStyle name="Normal 2 4 2 5 8" xfId="4687" xr:uid="{00000000-0005-0000-0000-0000AD0F0000}"/>
    <cellStyle name="Normal 2 4 2 5 8 2" xfId="13129" xr:uid="{0098B033-8261-48A4-BB3A-D332565DFA95}"/>
    <cellStyle name="Normal 2 4 2 5 9" xfId="8911" xr:uid="{62E7EBDB-D316-43E0-A146-6B1B6AE01904}"/>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2 2 2" xfId="15690" xr:uid="{17DCB6E2-4D5C-4A17-BBB2-435100C9FB79}"/>
    <cellStyle name="Normal 2 4 2 6 2 2 3" xfId="11472" xr:uid="{908F2CF8-A634-4C9E-9859-5A725A979DC8}"/>
    <cellStyle name="Normal 2 4 2 6 2 3" xfId="5103" xr:uid="{00000000-0005-0000-0000-0000B20F0000}"/>
    <cellStyle name="Normal 2 4 2 6 2 3 2" xfId="13545" xr:uid="{7FD13B69-E1A7-4F74-AB7C-6BEDCA10356E}"/>
    <cellStyle name="Normal 2 4 2 6 2 4" xfId="9327" xr:uid="{7D895024-A02B-4F7E-AADE-11B1BCC0B5C5}"/>
    <cellStyle name="Normal 2 4 2 6 3" xfId="1208" xr:uid="{00000000-0005-0000-0000-0000B30F0000}"/>
    <cellStyle name="Normal 2 4 2 6 3 2" xfId="3438" xr:uid="{00000000-0005-0000-0000-0000B40F0000}"/>
    <cellStyle name="Normal 2 4 2 6 3 2 2" xfId="7661" xr:uid="{00000000-0005-0000-0000-0000B50F0000}"/>
    <cellStyle name="Normal 2 4 2 6 3 2 2 2" xfId="16103" xr:uid="{7980E353-2F60-43F1-BEB1-403971B5C922}"/>
    <cellStyle name="Normal 2 4 2 6 3 2 3" xfId="11885" xr:uid="{4FE25A01-2D0F-4828-B647-EDB2FD46544C}"/>
    <cellStyle name="Normal 2 4 2 6 3 3" xfId="5516" xr:uid="{00000000-0005-0000-0000-0000B60F0000}"/>
    <cellStyle name="Normal 2 4 2 6 3 3 2" xfId="13958" xr:uid="{D50D0FF2-FC95-44FD-9DBD-4AA829804C50}"/>
    <cellStyle name="Normal 2 4 2 6 3 4" xfId="9740" xr:uid="{62B8E2F3-4044-457E-8D3D-7F5E9359DF9D}"/>
    <cellStyle name="Normal 2 4 2 6 4" xfId="1621" xr:uid="{00000000-0005-0000-0000-0000B70F0000}"/>
    <cellStyle name="Normal 2 4 2 6 4 2" xfId="3851" xr:uid="{00000000-0005-0000-0000-0000B80F0000}"/>
    <cellStyle name="Normal 2 4 2 6 4 2 2" xfId="8074" xr:uid="{00000000-0005-0000-0000-0000B90F0000}"/>
    <cellStyle name="Normal 2 4 2 6 4 2 2 2" xfId="16516" xr:uid="{CADA81E8-15F4-475A-A99B-27F3AD585102}"/>
    <cellStyle name="Normal 2 4 2 6 4 2 3" xfId="12298" xr:uid="{D9FB3269-499E-4390-93CB-134BFB67B73D}"/>
    <cellStyle name="Normal 2 4 2 6 4 3" xfId="5929" xr:uid="{00000000-0005-0000-0000-0000BA0F0000}"/>
    <cellStyle name="Normal 2 4 2 6 4 3 2" xfId="14371" xr:uid="{AD1B56F0-6A70-41BB-9E6B-B7D18247732A}"/>
    <cellStyle name="Normal 2 4 2 6 4 4" xfId="10153" xr:uid="{3DCC79E0-FEA4-449D-A255-5E7A2B72AE82}"/>
    <cellStyle name="Normal 2 4 2 6 5" xfId="2035" xr:uid="{00000000-0005-0000-0000-0000BB0F0000}"/>
    <cellStyle name="Normal 2 4 2 6 5 2" xfId="4264" xr:uid="{00000000-0005-0000-0000-0000BC0F0000}"/>
    <cellStyle name="Normal 2 4 2 6 5 2 2" xfId="8487" xr:uid="{00000000-0005-0000-0000-0000BD0F0000}"/>
    <cellStyle name="Normal 2 4 2 6 5 2 2 2" xfId="16929" xr:uid="{1F363E7C-6F7F-4128-922E-88685136AF0F}"/>
    <cellStyle name="Normal 2 4 2 6 5 2 3" xfId="12711" xr:uid="{3A613906-BE57-4F60-84F8-8D90912B86D0}"/>
    <cellStyle name="Normal 2 4 2 6 5 3" xfId="6342" xr:uid="{00000000-0005-0000-0000-0000BE0F0000}"/>
    <cellStyle name="Normal 2 4 2 6 5 3 2" xfId="14784" xr:uid="{F1D9FA9D-AEC1-412A-9134-09A89D4A9562}"/>
    <cellStyle name="Normal 2 4 2 6 5 4" xfId="10566" xr:uid="{EDD63B4A-F1AE-49B7-8893-E5093AF3617A}"/>
    <cellStyle name="Normal 2 4 2 6 6" xfId="2471" xr:uid="{00000000-0005-0000-0000-0000BF0F0000}"/>
    <cellStyle name="Normal 2 4 2 6 6 2" xfId="6755" xr:uid="{00000000-0005-0000-0000-0000C00F0000}"/>
    <cellStyle name="Normal 2 4 2 6 6 2 2" xfId="15197" xr:uid="{B7687D58-3C66-4FB6-BA23-7A454EB33C41}"/>
    <cellStyle name="Normal 2 4 2 6 6 3" xfId="10979" xr:uid="{E4182065-6764-4856-B072-2D865369F0E1}"/>
    <cellStyle name="Normal 2 4 2 6 7" xfId="4689" xr:uid="{00000000-0005-0000-0000-0000C10F0000}"/>
    <cellStyle name="Normal 2 4 2 6 7 2" xfId="13131" xr:uid="{9B8CDCC0-4354-4B0A-A797-DAE86FC23BE1}"/>
    <cellStyle name="Normal 2 4 2 6 8" xfId="8913" xr:uid="{8ED9F22E-0F48-4426-906D-55CB8B276589}"/>
    <cellStyle name="Normal 2 4 2 7" xfId="771" xr:uid="{00000000-0005-0000-0000-0000C20F0000}"/>
    <cellStyle name="Normal 2 4 2 7 2" xfId="3010" xr:uid="{00000000-0005-0000-0000-0000C30F0000}"/>
    <cellStyle name="Normal 2 4 2 7 2 2" xfId="7233" xr:uid="{00000000-0005-0000-0000-0000C40F0000}"/>
    <cellStyle name="Normal 2 4 2 7 2 2 2" xfId="15675" xr:uid="{07C7FEF6-21EB-4FC4-9F69-4D43D748C44F}"/>
    <cellStyle name="Normal 2 4 2 7 2 3" xfId="11457" xr:uid="{0817EC8D-ECF0-405B-8C48-9A0F19DA9618}"/>
    <cellStyle name="Normal 2 4 2 7 3" xfId="5088" xr:uid="{00000000-0005-0000-0000-0000C50F0000}"/>
    <cellStyle name="Normal 2 4 2 7 3 2" xfId="13530" xr:uid="{3A95D9CD-CF42-4784-A02F-2339AE6DD15B}"/>
    <cellStyle name="Normal 2 4 2 7 4" xfId="9312" xr:uid="{D2D18D41-E6F4-452A-B0AB-FC34E05A3C90}"/>
    <cellStyle name="Normal 2 4 2 8" xfId="1193" xr:uid="{00000000-0005-0000-0000-0000C60F0000}"/>
    <cellStyle name="Normal 2 4 2 8 2" xfId="3423" xr:uid="{00000000-0005-0000-0000-0000C70F0000}"/>
    <cellStyle name="Normal 2 4 2 8 2 2" xfId="7646" xr:uid="{00000000-0005-0000-0000-0000C80F0000}"/>
    <cellStyle name="Normal 2 4 2 8 2 2 2" xfId="16088" xr:uid="{C4A7161C-8D23-4FD0-A318-67985BC91D3C}"/>
    <cellStyle name="Normal 2 4 2 8 2 3" xfId="11870" xr:uid="{38291CDE-18AC-4902-889E-EFC06683C5A4}"/>
    <cellStyle name="Normal 2 4 2 8 3" xfId="5501" xr:uid="{00000000-0005-0000-0000-0000C90F0000}"/>
    <cellStyle name="Normal 2 4 2 8 3 2" xfId="13943" xr:uid="{FB89B59C-887C-46DF-AC75-F3AD54F0A3A9}"/>
    <cellStyle name="Normal 2 4 2 8 4" xfId="9725" xr:uid="{F398088F-A3C7-4D1D-840C-377761702491}"/>
    <cellStyle name="Normal 2 4 2 9" xfId="1606" xr:uid="{00000000-0005-0000-0000-0000CA0F0000}"/>
    <cellStyle name="Normal 2 4 2 9 2" xfId="3836" xr:uid="{00000000-0005-0000-0000-0000CB0F0000}"/>
    <cellStyle name="Normal 2 4 2 9 2 2" xfId="8059" xr:uid="{00000000-0005-0000-0000-0000CC0F0000}"/>
    <cellStyle name="Normal 2 4 2 9 2 2 2" xfId="16501" xr:uid="{0450EBC2-61D9-44E9-BAAD-05E1B9C10E92}"/>
    <cellStyle name="Normal 2 4 2 9 2 3" xfId="12283" xr:uid="{56848251-2D9B-4CBB-BA80-BF4B047D940A}"/>
    <cellStyle name="Normal 2 4 2 9 3" xfId="5914" xr:uid="{00000000-0005-0000-0000-0000CD0F0000}"/>
    <cellStyle name="Normal 2 4 2 9 3 2" xfId="14356" xr:uid="{36D1DDE7-0337-478A-A46B-1B4B16D73475}"/>
    <cellStyle name="Normal 2 4 2 9 4" xfId="10138" xr:uid="{D2CB7BE1-94A6-4360-8CAF-448BC65945D6}"/>
    <cellStyle name="Normal 2 4 3" xfId="296" xr:uid="{00000000-0005-0000-0000-0000CE0F0000}"/>
    <cellStyle name="Normal 2 4 3 10" xfId="8914" xr:uid="{0216C242-71FD-4316-8C3A-A8D3FC82E7C4}"/>
    <cellStyle name="Normal 2 4 3 2" xfId="297" xr:uid="{00000000-0005-0000-0000-0000CF0F0000}"/>
    <cellStyle name="Normal 2 4 3 3" xfId="298" xr:uid="{00000000-0005-0000-0000-0000D00F0000}"/>
    <cellStyle name="Normal 2 4 3 3 10" xfId="8915" xr:uid="{714D5851-A193-40B9-86E5-BE1EE1C9CD8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2 2 2" xfId="15694" xr:uid="{904CF007-4118-4030-B943-FDF2202DC676}"/>
    <cellStyle name="Normal 2 4 3 3 2 2 2 2 3" xfId="11476" xr:uid="{2774AA96-6428-44FC-A4D2-8605D250982F}"/>
    <cellStyle name="Normal 2 4 3 3 2 2 2 3" xfId="5107" xr:uid="{00000000-0005-0000-0000-0000D60F0000}"/>
    <cellStyle name="Normal 2 4 3 3 2 2 2 3 2" xfId="13549" xr:uid="{ADD11F05-700D-46BF-ACB7-65A38AB587DE}"/>
    <cellStyle name="Normal 2 4 3 3 2 2 2 4" xfId="9331" xr:uid="{4E055F62-59EB-4AD9-871F-8B1D2A9886C6}"/>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2 2 2" xfId="16107" xr:uid="{2ACE190D-330D-493A-AEDC-7ABBB11B1D08}"/>
    <cellStyle name="Normal 2 4 3 3 2 2 3 2 3" xfId="11889" xr:uid="{27A36247-BA0A-447A-8E42-03DF6C7CAA60}"/>
    <cellStyle name="Normal 2 4 3 3 2 2 3 3" xfId="5520" xr:uid="{00000000-0005-0000-0000-0000DA0F0000}"/>
    <cellStyle name="Normal 2 4 3 3 2 2 3 3 2" xfId="13962" xr:uid="{6AEB926E-A23A-4FEF-B552-14012206B4C6}"/>
    <cellStyle name="Normal 2 4 3 3 2 2 3 4" xfId="9744" xr:uid="{729AC688-D66B-41F7-8700-DD56E6EFB485}"/>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2 2 2" xfId="16520" xr:uid="{F8FD61D7-C74D-46F8-ACE5-7F045C3F8C28}"/>
    <cellStyle name="Normal 2 4 3 3 2 2 4 2 3" xfId="12302" xr:uid="{F46D7C93-04C4-44DB-97EA-EF422D8311F5}"/>
    <cellStyle name="Normal 2 4 3 3 2 2 4 3" xfId="5933" xr:uid="{00000000-0005-0000-0000-0000DE0F0000}"/>
    <cellStyle name="Normal 2 4 3 3 2 2 4 3 2" xfId="14375" xr:uid="{18FADADF-31F0-4DCD-A46D-2153EFD843EB}"/>
    <cellStyle name="Normal 2 4 3 3 2 2 4 4" xfId="10157" xr:uid="{3ABA1B7A-E572-4673-9C04-92B59490D597}"/>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2 2 2" xfId="16933" xr:uid="{69167941-D0DD-4EFC-B013-E7E7B8B13B0F}"/>
    <cellStyle name="Normal 2 4 3 3 2 2 5 2 3" xfId="12715" xr:uid="{3858C881-D8CD-4ABC-9343-EC358E2BCB06}"/>
    <cellStyle name="Normal 2 4 3 3 2 2 5 3" xfId="6346" xr:uid="{00000000-0005-0000-0000-0000E20F0000}"/>
    <cellStyle name="Normal 2 4 3 3 2 2 5 3 2" xfId="14788" xr:uid="{585344B0-E0C5-46C2-A452-8CA721ECFED6}"/>
    <cellStyle name="Normal 2 4 3 3 2 2 5 4" xfId="10570" xr:uid="{8A9C85C6-8259-41F9-9E8E-D73B8CB456F8}"/>
    <cellStyle name="Normal 2 4 3 3 2 2 6" xfId="2475" xr:uid="{00000000-0005-0000-0000-0000E30F0000}"/>
    <cellStyle name="Normal 2 4 3 3 2 2 6 2" xfId="6759" xr:uid="{00000000-0005-0000-0000-0000E40F0000}"/>
    <cellStyle name="Normal 2 4 3 3 2 2 6 2 2" xfId="15201" xr:uid="{E63B5EEC-72C6-4D90-85C3-EC2D579D74AC}"/>
    <cellStyle name="Normal 2 4 3 3 2 2 6 3" xfId="10983" xr:uid="{935DEA6B-544E-471A-B2FF-F47BC595FCF9}"/>
    <cellStyle name="Normal 2 4 3 3 2 2 7" xfId="4693" xr:uid="{00000000-0005-0000-0000-0000E50F0000}"/>
    <cellStyle name="Normal 2 4 3 3 2 2 7 2" xfId="13135" xr:uid="{61238AEF-03C5-4BDD-99DC-6AAC4019F0DB}"/>
    <cellStyle name="Normal 2 4 3 3 2 2 8" xfId="8917" xr:uid="{27810596-40EC-466B-86A7-47B556E94312}"/>
    <cellStyle name="Normal 2 4 3 3 2 3" xfId="789" xr:uid="{00000000-0005-0000-0000-0000E60F0000}"/>
    <cellStyle name="Normal 2 4 3 3 2 3 2" xfId="3028" xr:uid="{00000000-0005-0000-0000-0000E70F0000}"/>
    <cellStyle name="Normal 2 4 3 3 2 3 2 2" xfId="7251" xr:uid="{00000000-0005-0000-0000-0000E80F0000}"/>
    <cellStyle name="Normal 2 4 3 3 2 3 2 2 2" xfId="15693" xr:uid="{1EDFE72E-CCF1-44FB-8687-9DBBF316EB3B}"/>
    <cellStyle name="Normal 2 4 3 3 2 3 2 3" xfId="11475" xr:uid="{6D7C34B3-32FD-4FC3-A4C8-8C9EA299A0C1}"/>
    <cellStyle name="Normal 2 4 3 3 2 3 3" xfId="5106" xr:uid="{00000000-0005-0000-0000-0000E90F0000}"/>
    <cellStyle name="Normal 2 4 3 3 2 3 3 2" xfId="13548" xr:uid="{61D68F61-1E2E-4958-8C71-24B70244F85F}"/>
    <cellStyle name="Normal 2 4 3 3 2 3 4" xfId="9330" xr:uid="{DD02D0C3-1586-4B5D-8F3D-EFBA5F5FAEC6}"/>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2 2 2" xfId="16106" xr:uid="{5A1D2C16-7106-46D4-B685-BF4B38F79B7E}"/>
    <cellStyle name="Normal 2 4 3 3 2 4 2 3" xfId="11888" xr:uid="{0C040A72-B46A-4081-ADD9-96EFA327E0E2}"/>
    <cellStyle name="Normal 2 4 3 3 2 4 3" xfId="5519" xr:uid="{00000000-0005-0000-0000-0000ED0F0000}"/>
    <cellStyle name="Normal 2 4 3 3 2 4 3 2" xfId="13961" xr:uid="{BC81C02C-DD58-4E10-8F7B-5512D11BCA94}"/>
    <cellStyle name="Normal 2 4 3 3 2 4 4" xfId="9743" xr:uid="{C7A0E015-1BEC-419F-A222-52A63A652D8B}"/>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2 2 2" xfId="16519" xr:uid="{68E16750-7DDF-4A48-B106-B260F3588F2D}"/>
    <cellStyle name="Normal 2 4 3 3 2 5 2 3" xfId="12301" xr:uid="{C05EA0B8-2404-4D6C-ACD2-1948683CDA66}"/>
    <cellStyle name="Normal 2 4 3 3 2 5 3" xfId="5932" xr:uid="{00000000-0005-0000-0000-0000F10F0000}"/>
    <cellStyle name="Normal 2 4 3 3 2 5 3 2" xfId="14374" xr:uid="{857D2BB4-5FA1-44BD-BBDD-3263859F69B9}"/>
    <cellStyle name="Normal 2 4 3 3 2 5 4" xfId="10156" xr:uid="{599D2F4F-AC3D-45C2-B7DD-114C0EB49CD7}"/>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2 2 2" xfId="16932" xr:uid="{CD5C58C5-7234-45C2-80DA-8580277A6BE5}"/>
    <cellStyle name="Normal 2 4 3 3 2 6 2 3" xfId="12714" xr:uid="{9E61BC1B-8859-4033-B717-59076D2409BC}"/>
    <cellStyle name="Normal 2 4 3 3 2 6 3" xfId="6345" xr:uid="{00000000-0005-0000-0000-0000F50F0000}"/>
    <cellStyle name="Normal 2 4 3 3 2 6 3 2" xfId="14787" xr:uid="{930F51E8-4E80-430C-A96C-8BDC9D1C3475}"/>
    <cellStyle name="Normal 2 4 3 3 2 6 4" xfId="10569" xr:uid="{9FAF149C-AE7D-44C1-BF4F-2D02804E6BA6}"/>
    <cellStyle name="Normal 2 4 3 3 2 7" xfId="2474" xr:uid="{00000000-0005-0000-0000-0000F60F0000}"/>
    <cellStyle name="Normal 2 4 3 3 2 7 2" xfId="6758" xr:uid="{00000000-0005-0000-0000-0000F70F0000}"/>
    <cellStyle name="Normal 2 4 3 3 2 7 2 2" xfId="15200" xr:uid="{AC271C6D-BDCE-4B12-9264-B487018075CB}"/>
    <cellStyle name="Normal 2 4 3 3 2 7 3" xfId="10982" xr:uid="{666FE985-315D-4799-AF69-B89C7A2EEB3A}"/>
    <cellStyle name="Normal 2 4 3 3 2 8" xfId="4692" xr:uid="{00000000-0005-0000-0000-0000F80F0000}"/>
    <cellStyle name="Normal 2 4 3 3 2 8 2" xfId="13134" xr:uid="{F992DD0E-B69D-4F0A-AF8F-944FFA38B2FB}"/>
    <cellStyle name="Normal 2 4 3 3 2 9" xfId="8916" xr:uid="{465689DE-5DB3-4949-A26C-6A131E09451F}"/>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2 2 2" xfId="15695" xr:uid="{BBE21358-A479-4909-B25F-950415ACEF93}"/>
    <cellStyle name="Normal 2 4 3 3 3 2 2 3" xfId="11477" xr:uid="{BEE9B77A-10B2-49D3-96CA-C403E127101F}"/>
    <cellStyle name="Normal 2 4 3 3 3 2 3" xfId="5108" xr:uid="{00000000-0005-0000-0000-0000FD0F0000}"/>
    <cellStyle name="Normal 2 4 3 3 3 2 3 2" xfId="13550" xr:uid="{92495E16-1831-4C24-B680-A35DF76E23F7}"/>
    <cellStyle name="Normal 2 4 3 3 3 2 4" xfId="9332" xr:uid="{C984C405-DB2A-4DE4-ADC3-BB97546C85D2}"/>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2 2 2" xfId="16108" xr:uid="{948E0E2B-F66C-49D0-8BF0-DE584498AEA3}"/>
    <cellStyle name="Normal 2 4 3 3 3 3 2 3" xfId="11890" xr:uid="{7946860B-119E-40FA-BECE-F36A6B1D26A7}"/>
    <cellStyle name="Normal 2 4 3 3 3 3 3" xfId="5521" xr:uid="{00000000-0005-0000-0000-000001100000}"/>
    <cellStyle name="Normal 2 4 3 3 3 3 3 2" xfId="13963" xr:uid="{D91F7624-3AA6-4B42-8372-747E2944E1CF}"/>
    <cellStyle name="Normal 2 4 3 3 3 3 4" xfId="9745" xr:uid="{9B6AA0DB-AF6A-4097-BE34-81E4EA620BDD}"/>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2 2 2" xfId="16521" xr:uid="{581336B5-908B-4DDF-A0F0-E526B1FD017A}"/>
    <cellStyle name="Normal 2 4 3 3 3 4 2 3" xfId="12303" xr:uid="{9CF5779E-0224-44F3-85C4-CA16F12471C0}"/>
    <cellStyle name="Normal 2 4 3 3 3 4 3" xfId="5934" xr:uid="{00000000-0005-0000-0000-000005100000}"/>
    <cellStyle name="Normal 2 4 3 3 3 4 3 2" xfId="14376" xr:uid="{0D3243DD-5AA0-46B5-B986-114D55B1E935}"/>
    <cellStyle name="Normal 2 4 3 3 3 4 4" xfId="10158" xr:uid="{ED9011B1-231D-4DB5-9E0C-F0AEC15C0501}"/>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2 2 2" xfId="16934" xr:uid="{573B79BB-333D-4B6A-B794-84DA9A4BCAC3}"/>
    <cellStyle name="Normal 2 4 3 3 3 5 2 3" xfId="12716" xr:uid="{E6B22E76-E520-4D82-B32A-6D938F6A154A}"/>
    <cellStyle name="Normal 2 4 3 3 3 5 3" xfId="6347" xr:uid="{00000000-0005-0000-0000-000009100000}"/>
    <cellStyle name="Normal 2 4 3 3 3 5 3 2" xfId="14789" xr:uid="{B5173860-EBB1-4BAC-A8B3-25F11F3E9782}"/>
    <cellStyle name="Normal 2 4 3 3 3 5 4" xfId="10571" xr:uid="{971AD34F-3D9D-4F67-8E64-D51C0FDAFC44}"/>
    <cellStyle name="Normal 2 4 3 3 3 6" xfId="2476" xr:uid="{00000000-0005-0000-0000-00000A100000}"/>
    <cellStyle name="Normal 2 4 3 3 3 6 2" xfId="6760" xr:uid="{00000000-0005-0000-0000-00000B100000}"/>
    <cellStyle name="Normal 2 4 3 3 3 6 2 2" xfId="15202" xr:uid="{82953DA0-D378-4814-B1C4-92EC6C3E79DB}"/>
    <cellStyle name="Normal 2 4 3 3 3 6 3" xfId="10984" xr:uid="{BC45301C-9C19-4E47-9ABB-4C8AF921B055}"/>
    <cellStyle name="Normal 2 4 3 3 3 7" xfId="4694" xr:uid="{00000000-0005-0000-0000-00000C100000}"/>
    <cellStyle name="Normal 2 4 3 3 3 7 2" xfId="13136" xr:uid="{4B386000-0248-49E3-848B-961D02318CAB}"/>
    <cellStyle name="Normal 2 4 3 3 3 8" xfId="8918" xr:uid="{9484BF5A-ECBF-4E84-8477-1E439977CD9C}"/>
    <cellStyle name="Normal 2 4 3 3 4" xfId="788" xr:uid="{00000000-0005-0000-0000-00000D100000}"/>
    <cellStyle name="Normal 2 4 3 3 4 2" xfId="3027" xr:uid="{00000000-0005-0000-0000-00000E100000}"/>
    <cellStyle name="Normal 2 4 3 3 4 2 2" xfId="7250" xr:uid="{00000000-0005-0000-0000-00000F100000}"/>
    <cellStyle name="Normal 2 4 3 3 4 2 2 2" xfId="15692" xr:uid="{741C8C05-2230-4150-B9FE-13A668BE3C3C}"/>
    <cellStyle name="Normal 2 4 3 3 4 2 3" xfId="11474" xr:uid="{DA04007F-5D8D-476D-B660-02C773D263BC}"/>
    <cellStyle name="Normal 2 4 3 3 4 3" xfId="5105" xr:uid="{00000000-0005-0000-0000-000010100000}"/>
    <cellStyle name="Normal 2 4 3 3 4 3 2" xfId="13547" xr:uid="{5DAE47E8-C672-45CB-AC22-558D5ACDFFCD}"/>
    <cellStyle name="Normal 2 4 3 3 4 4" xfId="9329" xr:uid="{3943B695-7137-4791-BAE4-B10270F84CFA}"/>
    <cellStyle name="Normal 2 4 3 3 5" xfId="1210" xr:uid="{00000000-0005-0000-0000-000011100000}"/>
    <cellStyle name="Normal 2 4 3 3 5 2" xfId="3440" xr:uid="{00000000-0005-0000-0000-000012100000}"/>
    <cellStyle name="Normal 2 4 3 3 5 2 2" xfId="7663" xr:uid="{00000000-0005-0000-0000-000013100000}"/>
    <cellStyle name="Normal 2 4 3 3 5 2 2 2" xfId="16105" xr:uid="{3E04F48E-7533-4BE5-AC38-676419310EBC}"/>
    <cellStyle name="Normal 2 4 3 3 5 2 3" xfId="11887" xr:uid="{D3CEFAEE-9D6D-41C5-95ED-DEA9B293B111}"/>
    <cellStyle name="Normal 2 4 3 3 5 3" xfId="5518" xr:uid="{00000000-0005-0000-0000-000014100000}"/>
    <cellStyle name="Normal 2 4 3 3 5 3 2" xfId="13960" xr:uid="{F3862515-FBEE-4074-8D98-AC140F0C55F0}"/>
    <cellStyle name="Normal 2 4 3 3 5 4" xfId="9742" xr:uid="{D9199E02-6343-4C35-B1B3-BB744E6BBFEE}"/>
    <cellStyle name="Normal 2 4 3 3 6" xfId="1623" xr:uid="{00000000-0005-0000-0000-000015100000}"/>
    <cellStyle name="Normal 2 4 3 3 6 2" xfId="3853" xr:uid="{00000000-0005-0000-0000-000016100000}"/>
    <cellStyle name="Normal 2 4 3 3 6 2 2" xfId="8076" xr:uid="{00000000-0005-0000-0000-000017100000}"/>
    <cellStyle name="Normal 2 4 3 3 6 2 2 2" xfId="16518" xr:uid="{F8D11F5F-6130-48BB-BFFF-7D4174B1B62A}"/>
    <cellStyle name="Normal 2 4 3 3 6 2 3" xfId="12300" xr:uid="{AC8CE2E8-C6EE-4965-8AB5-55C47D2D3AD7}"/>
    <cellStyle name="Normal 2 4 3 3 6 3" xfId="5931" xr:uid="{00000000-0005-0000-0000-000018100000}"/>
    <cellStyle name="Normal 2 4 3 3 6 3 2" xfId="14373" xr:uid="{4FF4B569-C898-4C08-B4EF-22E93B385BE5}"/>
    <cellStyle name="Normal 2 4 3 3 6 4" xfId="10155" xr:uid="{F01E794D-A7BF-40EA-90A1-CFF8782AF62E}"/>
    <cellStyle name="Normal 2 4 3 3 7" xfId="2037" xr:uid="{00000000-0005-0000-0000-000019100000}"/>
    <cellStyle name="Normal 2 4 3 3 7 2" xfId="4266" xr:uid="{00000000-0005-0000-0000-00001A100000}"/>
    <cellStyle name="Normal 2 4 3 3 7 2 2" xfId="8489" xr:uid="{00000000-0005-0000-0000-00001B100000}"/>
    <cellStyle name="Normal 2 4 3 3 7 2 2 2" xfId="16931" xr:uid="{CDF59196-9A26-41E3-A234-F24AB113B9AD}"/>
    <cellStyle name="Normal 2 4 3 3 7 2 3" xfId="12713" xr:uid="{1F4D9030-FFA0-40FB-803C-EC28BEEAF34A}"/>
    <cellStyle name="Normal 2 4 3 3 7 3" xfId="6344" xr:uid="{00000000-0005-0000-0000-00001C100000}"/>
    <cellStyle name="Normal 2 4 3 3 7 3 2" xfId="14786" xr:uid="{9B76F334-8FC4-4AEC-9E15-6EFDE0B8D41B}"/>
    <cellStyle name="Normal 2 4 3 3 7 4" xfId="10568" xr:uid="{E6965A90-0159-490A-A18C-12AF78CC5FF5}"/>
    <cellStyle name="Normal 2 4 3 3 8" xfId="2473" xr:uid="{00000000-0005-0000-0000-00001D100000}"/>
    <cellStyle name="Normal 2 4 3 3 8 2" xfId="6757" xr:uid="{00000000-0005-0000-0000-00001E100000}"/>
    <cellStyle name="Normal 2 4 3 3 8 2 2" xfId="15199" xr:uid="{6C42215C-A70A-4A1D-99AD-A0D126072D83}"/>
    <cellStyle name="Normal 2 4 3 3 8 3" xfId="10981" xr:uid="{5962A8AB-FDF2-48E2-8202-6F3B91056ACF}"/>
    <cellStyle name="Normal 2 4 3 3 9" xfId="4691" xr:uid="{00000000-0005-0000-0000-00001F100000}"/>
    <cellStyle name="Normal 2 4 3 3 9 2" xfId="13133" xr:uid="{CF9DA6F8-73E8-49F5-94DC-D25E789FA93F}"/>
    <cellStyle name="Normal 2 4 3 4" xfId="787" xr:uid="{00000000-0005-0000-0000-000020100000}"/>
    <cellStyle name="Normal 2 4 3 4 2" xfId="3026" xr:uid="{00000000-0005-0000-0000-000021100000}"/>
    <cellStyle name="Normal 2 4 3 4 2 2" xfId="7249" xr:uid="{00000000-0005-0000-0000-000022100000}"/>
    <cellStyle name="Normal 2 4 3 4 2 2 2" xfId="15691" xr:uid="{0B89C405-857E-49AA-ABB6-806C54E926CD}"/>
    <cellStyle name="Normal 2 4 3 4 2 3" xfId="11473" xr:uid="{3F488543-3CC5-4C7D-8D39-AED633DA35A0}"/>
    <cellStyle name="Normal 2 4 3 4 3" xfId="5104" xr:uid="{00000000-0005-0000-0000-000023100000}"/>
    <cellStyle name="Normal 2 4 3 4 3 2" xfId="13546" xr:uid="{3F8F8C9B-9045-46F7-83C2-66D7665A4C71}"/>
    <cellStyle name="Normal 2 4 3 4 4" xfId="9328" xr:uid="{7110A651-CD39-4D20-ACA2-0615CCE9B86B}"/>
    <cellStyle name="Normal 2 4 3 5" xfId="1209" xr:uid="{00000000-0005-0000-0000-000024100000}"/>
    <cellStyle name="Normal 2 4 3 5 2" xfId="3439" xr:uid="{00000000-0005-0000-0000-000025100000}"/>
    <cellStyle name="Normal 2 4 3 5 2 2" xfId="7662" xr:uid="{00000000-0005-0000-0000-000026100000}"/>
    <cellStyle name="Normal 2 4 3 5 2 2 2" xfId="16104" xr:uid="{87A5D6BF-3F11-455A-A6D6-97950FF8014E}"/>
    <cellStyle name="Normal 2 4 3 5 2 3" xfId="11886" xr:uid="{7B0ADD11-5E36-48FA-B681-06BA913F697E}"/>
    <cellStyle name="Normal 2 4 3 5 3" xfId="5517" xr:uid="{00000000-0005-0000-0000-000027100000}"/>
    <cellStyle name="Normal 2 4 3 5 3 2" xfId="13959" xr:uid="{A5251879-8AAF-4251-94F3-0B0BB7BF0923}"/>
    <cellStyle name="Normal 2 4 3 5 4" xfId="9741" xr:uid="{BEA5CC96-5EFD-49CB-A751-B6AE314DB395}"/>
    <cellStyle name="Normal 2 4 3 6" xfId="1622" xr:uid="{00000000-0005-0000-0000-000028100000}"/>
    <cellStyle name="Normal 2 4 3 6 2" xfId="3852" xr:uid="{00000000-0005-0000-0000-000029100000}"/>
    <cellStyle name="Normal 2 4 3 6 2 2" xfId="8075" xr:uid="{00000000-0005-0000-0000-00002A100000}"/>
    <cellStyle name="Normal 2 4 3 6 2 2 2" xfId="16517" xr:uid="{F6B243F8-D930-45CC-8563-D2E7AD8584CB}"/>
    <cellStyle name="Normal 2 4 3 6 2 3" xfId="12299" xr:uid="{F23D8422-07E7-4C58-A6A6-27A021550508}"/>
    <cellStyle name="Normal 2 4 3 6 3" xfId="5930" xr:uid="{00000000-0005-0000-0000-00002B100000}"/>
    <cellStyle name="Normal 2 4 3 6 3 2" xfId="14372" xr:uid="{F5F41282-85A4-4C59-9DFF-F274AF9AA992}"/>
    <cellStyle name="Normal 2 4 3 6 4" xfId="10154" xr:uid="{F71CE3AB-3851-450F-A3C0-C869AE5D2A0F}"/>
    <cellStyle name="Normal 2 4 3 7" xfId="2036" xr:uid="{00000000-0005-0000-0000-00002C100000}"/>
    <cellStyle name="Normal 2 4 3 7 2" xfId="4265" xr:uid="{00000000-0005-0000-0000-00002D100000}"/>
    <cellStyle name="Normal 2 4 3 7 2 2" xfId="8488" xr:uid="{00000000-0005-0000-0000-00002E100000}"/>
    <cellStyle name="Normal 2 4 3 7 2 2 2" xfId="16930" xr:uid="{A53834D5-9864-4BB4-89D0-B3722EA20BF6}"/>
    <cellStyle name="Normal 2 4 3 7 2 3" xfId="12712" xr:uid="{4A957794-1627-41A5-BF38-58B6C0CFF3AA}"/>
    <cellStyle name="Normal 2 4 3 7 3" xfId="6343" xr:uid="{00000000-0005-0000-0000-00002F100000}"/>
    <cellStyle name="Normal 2 4 3 7 3 2" xfId="14785" xr:uid="{BA52AA15-FB78-4253-9873-05CB35F9C743}"/>
    <cellStyle name="Normal 2 4 3 7 4" xfId="10567" xr:uid="{4A83EC19-F3A8-437F-BD4B-314FF5EE979A}"/>
    <cellStyle name="Normal 2 4 3 8" xfId="2472" xr:uid="{00000000-0005-0000-0000-000030100000}"/>
    <cellStyle name="Normal 2 4 3 8 2" xfId="6756" xr:uid="{00000000-0005-0000-0000-000031100000}"/>
    <cellStyle name="Normal 2 4 3 8 2 2" xfId="15198" xr:uid="{AF2DD3EE-2003-4DCC-97B3-FA1757738944}"/>
    <cellStyle name="Normal 2 4 3 8 3" xfId="10980" xr:uid="{5CA6846E-6B12-4CC9-9522-847CA40BE025}"/>
    <cellStyle name="Normal 2 4 3 9" xfId="4690" xr:uid="{00000000-0005-0000-0000-000032100000}"/>
    <cellStyle name="Normal 2 4 3 9 2" xfId="13132" xr:uid="{312A6B52-7DC7-4F34-ABBC-B524434D7F86}"/>
    <cellStyle name="Normal 2 4 4" xfId="302" xr:uid="{00000000-0005-0000-0000-000033100000}"/>
    <cellStyle name="Normal 2 4 5" xfId="303" xr:uid="{00000000-0005-0000-0000-000034100000}"/>
    <cellStyle name="Normal 2 4 5 10" xfId="4695" xr:uid="{00000000-0005-0000-0000-000035100000}"/>
    <cellStyle name="Normal 2 4 5 10 2" xfId="13137" xr:uid="{D2E88100-3DFF-4403-A4D0-ACE20F03B4BC}"/>
    <cellStyle name="Normal 2 4 5 11" xfId="8919" xr:uid="{8D6B3DA6-FE9A-4EF1-B03F-6596F5C4AAE0}"/>
    <cellStyle name="Normal 2 4 5 2" xfId="304" xr:uid="{00000000-0005-0000-0000-000036100000}"/>
    <cellStyle name="Normal 2 4 5 2 10" xfId="8920" xr:uid="{A812CFA1-CA1D-4AAE-8710-F56917384D0A}"/>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2 2 2" xfId="15699" xr:uid="{D344B0F5-0F89-4330-B526-CB0D248C9A3F}"/>
    <cellStyle name="Normal 2 4 5 2 2 2 2 2 3" xfId="11481" xr:uid="{CFCDA775-5450-4E12-BA5D-B4C72508B67A}"/>
    <cellStyle name="Normal 2 4 5 2 2 2 2 3" xfId="5112" xr:uid="{00000000-0005-0000-0000-00003C100000}"/>
    <cellStyle name="Normal 2 4 5 2 2 2 2 3 2" xfId="13554" xr:uid="{CB9F09AF-111F-489B-ADA7-8E57647FF5D3}"/>
    <cellStyle name="Normal 2 4 5 2 2 2 2 4" xfId="9336" xr:uid="{A047EF4E-F59B-4EB3-9FDB-4BCF9D3A9A41}"/>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2 2 2" xfId="16112" xr:uid="{8F0A6E73-EBA6-4F45-8639-1C69E7F59E60}"/>
    <cellStyle name="Normal 2 4 5 2 2 2 3 2 3" xfId="11894" xr:uid="{A92FC639-38F3-4F5D-80E1-C95A93D7D0BD}"/>
    <cellStyle name="Normal 2 4 5 2 2 2 3 3" xfId="5525" xr:uid="{00000000-0005-0000-0000-000040100000}"/>
    <cellStyle name="Normal 2 4 5 2 2 2 3 3 2" xfId="13967" xr:uid="{8DB3D304-13DA-4FF6-9C9D-31ABEC55220D}"/>
    <cellStyle name="Normal 2 4 5 2 2 2 3 4" xfId="9749" xr:uid="{2EC904D2-209E-4E1C-BBD6-F32A46DC4513}"/>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2 2 2" xfId="16525" xr:uid="{CDA87DEE-24AB-466E-B144-6C767DC56D08}"/>
    <cellStyle name="Normal 2 4 5 2 2 2 4 2 3" xfId="12307" xr:uid="{69C35575-0205-4B41-B74C-8BE7635ECABB}"/>
    <cellStyle name="Normal 2 4 5 2 2 2 4 3" xfId="5938" xr:uid="{00000000-0005-0000-0000-000044100000}"/>
    <cellStyle name="Normal 2 4 5 2 2 2 4 3 2" xfId="14380" xr:uid="{6BF50514-783E-4000-8CC6-4B53E9A276CF}"/>
    <cellStyle name="Normal 2 4 5 2 2 2 4 4" xfId="10162" xr:uid="{3BD6AA6B-9424-4401-85FE-765783673E3E}"/>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2 2 2" xfId="16938" xr:uid="{673FF033-C4AF-4087-AE0E-05E29E3BA31F}"/>
    <cellStyle name="Normal 2 4 5 2 2 2 5 2 3" xfId="12720" xr:uid="{A762A5F9-B404-44E7-8377-9D9FE6C3626F}"/>
    <cellStyle name="Normal 2 4 5 2 2 2 5 3" xfId="6351" xr:uid="{00000000-0005-0000-0000-000048100000}"/>
    <cellStyle name="Normal 2 4 5 2 2 2 5 3 2" xfId="14793" xr:uid="{E06660B5-FC8A-490A-A156-1014A34AE61A}"/>
    <cellStyle name="Normal 2 4 5 2 2 2 5 4" xfId="10575" xr:uid="{2837B88B-C4B2-4619-902D-F60524BD4D11}"/>
    <cellStyle name="Normal 2 4 5 2 2 2 6" xfId="2480" xr:uid="{00000000-0005-0000-0000-000049100000}"/>
    <cellStyle name="Normal 2 4 5 2 2 2 6 2" xfId="6764" xr:uid="{00000000-0005-0000-0000-00004A100000}"/>
    <cellStyle name="Normal 2 4 5 2 2 2 6 2 2" xfId="15206" xr:uid="{3061BB3B-B92A-406C-88CD-F120E3FB8747}"/>
    <cellStyle name="Normal 2 4 5 2 2 2 6 3" xfId="10988" xr:uid="{AA9C0730-BF36-4E2A-A56C-336497BA47B3}"/>
    <cellStyle name="Normal 2 4 5 2 2 2 7" xfId="4698" xr:uid="{00000000-0005-0000-0000-00004B100000}"/>
    <cellStyle name="Normal 2 4 5 2 2 2 7 2" xfId="13140" xr:uid="{4C9AE9F8-FCB7-4D2F-A248-12C94DDED5EC}"/>
    <cellStyle name="Normal 2 4 5 2 2 2 8" xfId="8922" xr:uid="{050F94E8-D213-47CB-B880-B9207DE325DC}"/>
    <cellStyle name="Normal 2 4 5 2 2 3" xfId="794" xr:uid="{00000000-0005-0000-0000-00004C100000}"/>
    <cellStyle name="Normal 2 4 5 2 2 3 2" xfId="3033" xr:uid="{00000000-0005-0000-0000-00004D100000}"/>
    <cellStyle name="Normal 2 4 5 2 2 3 2 2" xfId="7256" xr:uid="{00000000-0005-0000-0000-00004E100000}"/>
    <cellStyle name="Normal 2 4 5 2 2 3 2 2 2" xfId="15698" xr:uid="{512A174F-8CE9-4787-A304-4453A5750D07}"/>
    <cellStyle name="Normal 2 4 5 2 2 3 2 3" xfId="11480" xr:uid="{9FCE2F96-6E9B-4ED2-B486-02AECC6BDBD5}"/>
    <cellStyle name="Normal 2 4 5 2 2 3 3" xfId="5111" xr:uid="{00000000-0005-0000-0000-00004F100000}"/>
    <cellStyle name="Normal 2 4 5 2 2 3 3 2" xfId="13553" xr:uid="{D6594377-F2A3-4F3D-B09D-792345C84F7A}"/>
    <cellStyle name="Normal 2 4 5 2 2 3 4" xfId="9335" xr:uid="{8D6F5E28-213B-4CD6-9F8E-B56A48CCAC55}"/>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2 2 2" xfId="16111" xr:uid="{199106F8-0E9F-488E-9DC8-9CBF100B9A8A}"/>
    <cellStyle name="Normal 2 4 5 2 2 4 2 3" xfId="11893" xr:uid="{32240639-5E29-4622-8696-727771C7999C}"/>
    <cellStyle name="Normal 2 4 5 2 2 4 3" xfId="5524" xr:uid="{00000000-0005-0000-0000-000053100000}"/>
    <cellStyle name="Normal 2 4 5 2 2 4 3 2" xfId="13966" xr:uid="{0E8A0A50-589E-46A7-BE6C-60DA6F2B848E}"/>
    <cellStyle name="Normal 2 4 5 2 2 4 4" xfId="9748" xr:uid="{16267B05-2A2F-4150-B2A0-EBC3A1FF9963}"/>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2 2 2" xfId="16524" xr:uid="{5D5CAF1B-94B6-4001-943E-85BBD71179E0}"/>
    <cellStyle name="Normal 2 4 5 2 2 5 2 3" xfId="12306" xr:uid="{F39B9C91-006D-4F16-B60B-B00FA3B06960}"/>
    <cellStyle name="Normal 2 4 5 2 2 5 3" xfId="5937" xr:uid="{00000000-0005-0000-0000-000057100000}"/>
    <cellStyle name="Normal 2 4 5 2 2 5 3 2" xfId="14379" xr:uid="{D204567B-7CFA-463D-BF47-D862A0F9B59C}"/>
    <cellStyle name="Normal 2 4 5 2 2 5 4" xfId="10161" xr:uid="{225A33A8-8E88-4F72-AE8B-550A058E2917}"/>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2 2 2" xfId="16937" xr:uid="{490975C2-F195-4E72-890C-261CA1A80119}"/>
    <cellStyle name="Normal 2 4 5 2 2 6 2 3" xfId="12719" xr:uid="{F44FED6E-1C5D-4FAD-BB3D-6AFFA5A05400}"/>
    <cellStyle name="Normal 2 4 5 2 2 6 3" xfId="6350" xr:uid="{00000000-0005-0000-0000-00005B100000}"/>
    <cellStyle name="Normal 2 4 5 2 2 6 3 2" xfId="14792" xr:uid="{8CA660CF-D667-4A41-8DA1-3566CE8B50B8}"/>
    <cellStyle name="Normal 2 4 5 2 2 6 4" xfId="10574" xr:uid="{68BB8D32-33DF-461F-A7C7-B5898A409AE1}"/>
    <cellStyle name="Normal 2 4 5 2 2 7" xfId="2479" xr:uid="{00000000-0005-0000-0000-00005C100000}"/>
    <cellStyle name="Normal 2 4 5 2 2 7 2" xfId="6763" xr:uid="{00000000-0005-0000-0000-00005D100000}"/>
    <cellStyle name="Normal 2 4 5 2 2 7 2 2" xfId="15205" xr:uid="{C6E6C798-A838-4DFC-ADD2-8BF851BE8E32}"/>
    <cellStyle name="Normal 2 4 5 2 2 7 3" xfId="10987" xr:uid="{FA867EEF-3296-478E-932C-BCBBC66E337E}"/>
    <cellStyle name="Normal 2 4 5 2 2 8" xfId="4697" xr:uid="{00000000-0005-0000-0000-00005E100000}"/>
    <cellStyle name="Normal 2 4 5 2 2 8 2" xfId="13139" xr:uid="{19865141-D334-4011-9C8B-8CEFC97BBDC4}"/>
    <cellStyle name="Normal 2 4 5 2 2 9" xfId="8921" xr:uid="{1D544403-EF2C-4D75-A21B-F719A0664D73}"/>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2 2 2" xfId="15700" xr:uid="{576D19E2-D52B-494D-87ED-EF32614BDF62}"/>
    <cellStyle name="Normal 2 4 5 2 3 2 2 3" xfId="11482" xr:uid="{4DC640BF-F0F3-4B08-A7A1-9601309A1492}"/>
    <cellStyle name="Normal 2 4 5 2 3 2 3" xfId="5113" xr:uid="{00000000-0005-0000-0000-000063100000}"/>
    <cellStyle name="Normal 2 4 5 2 3 2 3 2" xfId="13555" xr:uid="{00F9394E-A640-4646-B154-AC359AE0047A}"/>
    <cellStyle name="Normal 2 4 5 2 3 2 4" xfId="9337" xr:uid="{B681F3ED-98C3-4943-AADA-28A0E5A8C02E}"/>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2 2 2" xfId="16113" xr:uid="{08DC858A-D166-49BF-BB2F-08A86D0EE751}"/>
    <cellStyle name="Normal 2 4 5 2 3 3 2 3" xfId="11895" xr:uid="{C173A172-E047-4875-946D-6C35717CA399}"/>
    <cellStyle name="Normal 2 4 5 2 3 3 3" xfId="5526" xr:uid="{00000000-0005-0000-0000-000067100000}"/>
    <cellStyle name="Normal 2 4 5 2 3 3 3 2" xfId="13968" xr:uid="{A5BA809D-6499-46A1-A066-CED14CD867CD}"/>
    <cellStyle name="Normal 2 4 5 2 3 3 4" xfId="9750" xr:uid="{DBB92490-1412-4012-8BC1-350CD16BCBE7}"/>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2 2 2" xfId="16526" xr:uid="{0EB53C6C-092F-4558-912C-90F7810DFADD}"/>
    <cellStyle name="Normal 2 4 5 2 3 4 2 3" xfId="12308" xr:uid="{AB604851-CD13-49EB-8E8C-3A4DBF0CE527}"/>
    <cellStyle name="Normal 2 4 5 2 3 4 3" xfId="5939" xr:uid="{00000000-0005-0000-0000-00006B100000}"/>
    <cellStyle name="Normal 2 4 5 2 3 4 3 2" xfId="14381" xr:uid="{D9D2AAEF-A681-4FBF-A323-35872BD3478E}"/>
    <cellStyle name="Normal 2 4 5 2 3 4 4" xfId="10163" xr:uid="{46B17DF5-6C82-4600-8D3E-B89A78C003B9}"/>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2 2 2" xfId="16939" xr:uid="{CEE344AD-DA3B-4997-8E62-AAFE46C58680}"/>
    <cellStyle name="Normal 2 4 5 2 3 5 2 3" xfId="12721" xr:uid="{D34ABB6D-578B-4509-A204-3C05D7158C1D}"/>
    <cellStyle name="Normal 2 4 5 2 3 5 3" xfId="6352" xr:uid="{00000000-0005-0000-0000-00006F100000}"/>
    <cellStyle name="Normal 2 4 5 2 3 5 3 2" xfId="14794" xr:uid="{DE91F496-5AA2-45C7-9821-AF5482EA64B4}"/>
    <cellStyle name="Normal 2 4 5 2 3 5 4" xfId="10576" xr:uid="{3F9B9CF4-9401-4AD3-A901-213B12788870}"/>
    <cellStyle name="Normal 2 4 5 2 3 6" xfId="2481" xr:uid="{00000000-0005-0000-0000-000070100000}"/>
    <cellStyle name="Normal 2 4 5 2 3 6 2" xfId="6765" xr:uid="{00000000-0005-0000-0000-000071100000}"/>
    <cellStyle name="Normal 2 4 5 2 3 6 2 2" xfId="15207" xr:uid="{0DB456D0-361B-4E80-9186-5AC0837B0999}"/>
    <cellStyle name="Normal 2 4 5 2 3 6 3" xfId="10989" xr:uid="{CD52D461-C768-45C1-AB2A-6FA65B23A1DC}"/>
    <cellStyle name="Normal 2 4 5 2 3 7" xfId="4699" xr:uid="{00000000-0005-0000-0000-000072100000}"/>
    <cellStyle name="Normal 2 4 5 2 3 7 2" xfId="13141" xr:uid="{3B5F9D15-B700-4CC6-9AEF-D18FAF00E14F}"/>
    <cellStyle name="Normal 2 4 5 2 3 8" xfId="8923" xr:uid="{D2AE209D-4931-4353-8CE7-B36D66A322EC}"/>
    <cellStyle name="Normal 2 4 5 2 4" xfId="793" xr:uid="{00000000-0005-0000-0000-000073100000}"/>
    <cellStyle name="Normal 2 4 5 2 4 2" xfId="3032" xr:uid="{00000000-0005-0000-0000-000074100000}"/>
    <cellStyle name="Normal 2 4 5 2 4 2 2" xfId="7255" xr:uid="{00000000-0005-0000-0000-000075100000}"/>
    <cellStyle name="Normal 2 4 5 2 4 2 2 2" xfId="15697" xr:uid="{C36564AF-EE4E-4C84-AF5D-22A6B6BE22BC}"/>
    <cellStyle name="Normal 2 4 5 2 4 2 3" xfId="11479" xr:uid="{5EBFD403-C83D-41C4-9099-5BC4C81D79CD}"/>
    <cellStyle name="Normal 2 4 5 2 4 3" xfId="5110" xr:uid="{00000000-0005-0000-0000-000076100000}"/>
    <cellStyle name="Normal 2 4 5 2 4 3 2" xfId="13552" xr:uid="{9E0236FF-897A-4E74-A55A-96E32CAA2AD3}"/>
    <cellStyle name="Normal 2 4 5 2 4 4" xfId="9334" xr:uid="{4EEF8D76-7734-4BBA-9DE4-532D118677DC}"/>
    <cellStyle name="Normal 2 4 5 2 5" xfId="1215" xr:uid="{00000000-0005-0000-0000-000077100000}"/>
    <cellStyle name="Normal 2 4 5 2 5 2" xfId="3445" xr:uid="{00000000-0005-0000-0000-000078100000}"/>
    <cellStyle name="Normal 2 4 5 2 5 2 2" xfId="7668" xr:uid="{00000000-0005-0000-0000-000079100000}"/>
    <cellStyle name="Normal 2 4 5 2 5 2 2 2" xfId="16110" xr:uid="{CA617EB4-C6C1-423F-9982-482ED715752F}"/>
    <cellStyle name="Normal 2 4 5 2 5 2 3" xfId="11892" xr:uid="{74E66300-5A42-4BFE-9AC8-028A5E91D725}"/>
    <cellStyle name="Normal 2 4 5 2 5 3" xfId="5523" xr:uid="{00000000-0005-0000-0000-00007A100000}"/>
    <cellStyle name="Normal 2 4 5 2 5 3 2" xfId="13965" xr:uid="{CD26D7AA-0231-4F7E-9439-37365AE175B8}"/>
    <cellStyle name="Normal 2 4 5 2 5 4" xfId="9747" xr:uid="{DF09143A-6B6F-4CA0-A0AD-2F295FD56101}"/>
    <cellStyle name="Normal 2 4 5 2 6" xfId="1628" xr:uid="{00000000-0005-0000-0000-00007B100000}"/>
    <cellStyle name="Normal 2 4 5 2 6 2" xfId="3858" xr:uid="{00000000-0005-0000-0000-00007C100000}"/>
    <cellStyle name="Normal 2 4 5 2 6 2 2" xfId="8081" xr:uid="{00000000-0005-0000-0000-00007D100000}"/>
    <cellStyle name="Normal 2 4 5 2 6 2 2 2" xfId="16523" xr:uid="{A595777A-D2E3-4922-AB62-822087F46B82}"/>
    <cellStyle name="Normal 2 4 5 2 6 2 3" xfId="12305" xr:uid="{B816192C-5E50-4D70-AA15-EB55F01FC32B}"/>
    <cellStyle name="Normal 2 4 5 2 6 3" xfId="5936" xr:uid="{00000000-0005-0000-0000-00007E100000}"/>
    <cellStyle name="Normal 2 4 5 2 6 3 2" xfId="14378" xr:uid="{60D19445-60E3-4A51-86AC-D19805FA273D}"/>
    <cellStyle name="Normal 2 4 5 2 6 4" xfId="10160" xr:uid="{4336E1E9-C6A2-4183-9E7B-CA52236135EB}"/>
    <cellStyle name="Normal 2 4 5 2 7" xfId="2042" xr:uid="{00000000-0005-0000-0000-00007F100000}"/>
    <cellStyle name="Normal 2 4 5 2 7 2" xfId="4271" xr:uid="{00000000-0005-0000-0000-000080100000}"/>
    <cellStyle name="Normal 2 4 5 2 7 2 2" xfId="8494" xr:uid="{00000000-0005-0000-0000-000081100000}"/>
    <cellStyle name="Normal 2 4 5 2 7 2 2 2" xfId="16936" xr:uid="{5225BA47-0F3D-48B6-8A6D-4C4AD58FB381}"/>
    <cellStyle name="Normal 2 4 5 2 7 2 3" xfId="12718" xr:uid="{4CBE15AA-60C9-492C-A9D4-2B474D6D9E4A}"/>
    <cellStyle name="Normal 2 4 5 2 7 3" xfId="6349" xr:uid="{00000000-0005-0000-0000-000082100000}"/>
    <cellStyle name="Normal 2 4 5 2 7 3 2" xfId="14791" xr:uid="{74371283-1976-4006-B048-FDE166792C67}"/>
    <cellStyle name="Normal 2 4 5 2 7 4" xfId="10573" xr:uid="{4AE27E53-38E2-4EB7-A7DE-45A9AA71EDAF}"/>
    <cellStyle name="Normal 2 4 5 2 8" xfId="2478" xr:uid="{00000000-0005-0000-0000-000083100000}"/>
    <cellStyle name="Normal 2 4 5 2 8 2" xfId="6762" xr:uid="{00000000-0005-0000-0000-000084100000}"/>
    <cellStyle name="Normal 2 4 5 2 8 2 2" xfId="15204" xr:uid="{D186CD7E-FC3E-4314-97B4-CB99F1FD20EF}"/>
    <cellStyle name="Normal 2 4 5 2 8 3" xfId="10986" xr:uid="{82FFA750-36E1-4EB1-BA05-4AA26550D1F0}"/>
    <cellStyle name="Normal 2 4 5 2 9" xfId="4696" xr:uid="{00000000-0005-0000-0000-000085100000}"/>
    <cellStyle name="Normal 2 4 5 2 9 2" xfId="13138" xr:uid="{E1A2587B-402F-48D5-9EA5-55530A58732D}"/>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2 2 2" xfId="15702" xr:uid="{FEBA0AC0-675E-4D16-BD6E-678744037EEF}"/>
    <cellStyle name="Normal 2 4 5 3 2 2 2 3" xfId="11484" xr:uid="{4F028A5F-E6BE-41B5-BDA1-87F0EEB7E510}"/>
    <cellStyle name="Normal 2 4 5 3 2 2 3" xfId="5115" xr:uid="{00000000-0005-0000-0000-00008B100000}"/>
    <cellStyle name="Normal 2 4 5 3 2 2 3 2" xfId="13557" xr:uid="{F4E16529-EAD8-4F93-BE18-051C48542B55}"/>
    <cellStyle name="Normal 2 4 5 3 2 2 4" xfId="9339" xr:uid="{2AE2C9CC-5281-4C92-A30F-EFD4497896FD}"/>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2 2 2" xfId="16115" xr:uid="{0A3A7A3F-81BE-4683-BA1E-4DE123FED1DD}"/>
    <cellStyle name="Normal 2 4 5 3 2 3 2 3" xfId="11897" xr:uid="{14FA3934-75B9-442F-A1E9-915F5EDFC07B}"/>
    <cellStyle name="Normal 2 4 5 3 2 3 3" xfId="5528" xr:uid="{00000000-0005-0000-0000-00008F100000}"/>
    <cellStyle name="Normal 2 4 5 3 2 3 3 2" xfId="13970" xr:uid="{7F2CE479-43E1-40FA-9BAD-A31E2C43FAA0}"/>
    <cellStyle name="Normal 2 4 5 3 2 3 4" xfId="9752" xr:uid="{986A8278-7DE6-480F-9DD3-13B35FD923B8}"/>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2 2 2" xfId="16528" xr:uid="{DF67DA3B-B134-4DF0-8656-4878BAF2BE12}"/>
    <cellStyle name="Normal 2 4 5 3 2 4 2 3" xfId="12310" xr:uid="{7876F279-0A7B-4F9F-A617-D85D0BD10695}"/>
    <cellStyle name="Normal 2 4 5 3 2 4 3" xfId="5941" xr:uid="{00000000-0005-0000-0000-000093100000}"/>
    <cellStyle name="Normal 2 4 5 3 2 4 3 2" xfId="14383" xr:uid="{9EAB28AB-D319-4C62-B8C7-0510D06B3392}"/>
    <cellStyle name="Normal 2 4 5 3 2 4 4" xfId="10165" xr:uid="{58F1809B-248D-492A-A185-ADA7AD94C605}"/>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2 2 2" xfId="16941" xr:uid="{A4E9CEF1-1FFE-4BF9-9941-489F17D33A95}"/>
    <cellStyle name="Normal 2 4 5 3 2 5 2 3" xfId="12723" xr:uid="{3CFEBB94-A424-40DC-B2FA-40E85CBC9977}"/>
    <cellStyle name="Normal 2 4 5 3 2 5 3" xfId="6354" xr:uid="{00000000-0005-0000-0000-000097100000}"/>
    <cellStyle name="Normal 2 4 5 3 2 5 3 2" xfId="14796" xr:uid="{DAA73B34-D206-48D0-94DD-19A2318EFAA9}"/>
    <cellStyle name="Normal 2 4 5 3 2 5 4" xfId="10578" xr:uid="{C7AEE1D0-C598-4717-B623-DB0C527D22EC}"/>
    <cellStyle name="Normal 2 4 5 3 2 6" xfId="2483" xr:uid="{00000000-0005-0000-0000-000098100000}"/>
    <cellStyle name="Normal 2 4 5 3 2 6 2" xfId="6767" xr:uid="{00000000-0005-0000-0000-000099100000}"/>
    <cellStyle name="Normal 2 4 5 3 2 6 2 2" xfId="15209" xr:uid="{FC30A505-E307-4BBD-ACE8-B4AAFEDF5A3F}"/>
    <cellStyle name="Normal 2 4 5 3 2 6 3" xfId="10991" xr:uid="{99D1D8E1-69FF-4940-8592-38C38DC9FA9A}"/>
    <cellStyle name="Normal 2 4 5 3 2 7" xfId="4701" xr:uid="{00000000-0005-0000-0000-00009A100000}"/>
    <cellStyle name="Normal 2 4 5 3 2 7 2" xfId="13143" xr:uid="{48E8F0FA-2DDE-4606-A0C3-88868819F3DC}"/>
    <cellStyle name="Normal 2 4 5 3 2 8" xfId="8925" xr:uid="{2078B0DE-B5A0-4F13-8C06-444E4DB5A856}"/>
    <cellStyle name="Normal 2 4 5 3 3" xfId="797" xr:uid="{00000000-0005-0000-0000-00009B100000}"/>
    <cellStyle name="Normal 2 4 5 3 3 2" xfId="3036" xr:uid="{00000000-0005-0000-0000-00009C100000}"/>
    <cellStyle name="Normal 2 4 5 3 3 2 2" xfId="7259" xr:uid="{00000000-0005-0000-0000-00009D100000}"/>
    <cellStyle name="Normal 2 4 5 3 3 2 2 2" xfId="15701" xr:uid="{4AB45556-BAC7-4BFE-A806-1B9D989A491D}"/>
    <cellStyle name="Normal 2 4 5 3 3 2 3" xfId="11483" xr:uid="{4E33577C-3665-4144-AB8A-C0BC3D7451C1}"/>
    <cellStyle name="Normal 2 4 5 3 3 3" xfId="5114" xr:uid="{00000000-0005-0000-0000-00009E100000}"/>
    <cellStyle name="Normal 2 4 5 3 3 3 2" xfId="13556" xr:uid="{830BBE8E-68A5-4B17-BFBA-A85F4D7B5697}"/>
    <cellStyle name="Normal 2 4 5 3 3 4" xfId="9338" xr:uid="{9E219292-71EC-47C8-8A4C-B0336C9E2F50}"/>
    <cellStyle name="Normal 2 4 5 3 4" xfId="1219" xr:uid="{00000000-0005-0000-0000-00009F100000}"/>
    <cellStyle name="Normal 2 4 5 3 4 2" xfId="3449" xr:uid="{00000000-0005-0000-0000-0000A0100000}"/>
    <cellStyle name="Normal 2 4 5 3 4 2 2" xfId="7672" xr:uid="{00000000-0005-0000-0000-0000A1100000}"/>
    <cellStyle name="Normal 2 4 5 3 4 2 2 2" xfId="16114" xr:uid="{AD6149C4-DC4D-44F2-87C0-286BA0431C8B}"/>
    <cellStyle name="Normal 2 4 5 3 4 2 3" xfId="11896" xr:uid="{4D253FA5-41B2-4D60-B1AD-3C1EBA72FFB3}"/>
    <cellStyle name="Normal 2 4 5 3 4 3" xfId="5527" xr:uid="{00000000-0005-0000-0000-0000A2100000}"/>
    <cellStyle name="Normal 2 4 5 3 4 3 2" xfId="13969" xr:uid="{206406E7-94C6-44DF-97A8-758C33AB979C}"/>
    <cellStyle name="Normal 2 4 5 3 4 4" xfId="9751" xr:uid="{9F5E4AC3-4C72-4BCD-B9B5-0E46984B360B}"/>
    <cellStyle name="Normal 2 4 5 3 5" xfId="1632" xr:uid="{00000000-0005-0000-0000-0000A3100000}"/>
    <cellStyle name="Normal 2 4 5 3 5 2" xfId="3862" xr:uid="{00000000-0005-0000-0000-0000A4100000}"/>
    <cellStyle name="Normal 2 4 5 3 5 2 2" xfId="8085" xr:uid="{00000000-0005-0000-0000-0000A5100000}"/>
    <cellStyle name="Normal 2 4 5 3 5 2 2 2" xfId="16527" xr:uid="{FFC0B215-2A0F-4928-A563-976274F1E694}"/>
    <cellStyle name="Normal 2 4 5 3 5 2 3" xfId="12309" xr:uid="{F47CE417-38B0-44BE-9152-7B5CFF3D6F88}"/>
    <cellStyle name="Normal 2 4 5 3 5 3" xfId="5940" xr:uid="{00000000-0005-0000-0000-0000A6100000}"/>
    <cellStyle name="Normal 2 4 5 3 5 3 2" xfId="14382" xr:uid="{2B8BAF94-B220-4A42-AB7E-0B361C72F2CA}"/>
    <cellStyle name="Normal 2 4 5 3 5 4" xfId="10164" xr:uid="{69C7B771-9E9A-4280-AFE6-4DFC3AE35B4C}"/>
    <cellStyle name="Normal 2 4 5 3 6" xfId="2046" xr:uid="{00000000-0005-0000-0000-0000A7100000}"/>
    <cellStyle name="Normal 2 4 5 3 6 2" xfId="4275" xr:uid="{00000000-0005-0000-0000-0000A8100000}"/>
    <cellStyle name="Normal 2 4 5 3 6 2 2" xfId="8498" xr:uid="{00000000-0005-0000-0000-0000A9100000}"/>
    <cellStyle name="Normal 2 4 5 3 6 2 2 2" xfId="16940" xr:uid="{58D6CA0B-6D9F-42F4-AAE8-3F347DA66717}"/>
    <cellStyle name="Normal 2 4 5 3 6 2 3" xfId="12722" xr:uid="{C22E1DB4-7498-4CA3-A038-78F8F2D9795B}"/>
    <cellStyle name="Normal 2 4 5 3 6 3" xfId="6353" xr:uid="{00000000-0005-0000-0000-0000AA100000}"/>
    <cellStyle name="Normal 2 4 5 3 6 3 2" xfId="14795" xr:uid="{512C9B17-E3D3-41C1-BBEA-FC13DBF16C4B}"/>
    <cellStyle name="Normal 2 4 5 3 6 4" xfId="10577" xr:uid="{B5625D6C-77C3-40FE-A90D-4088912565E2}"/>
    <cellStyle name="Normal 2 4 5 3 7" xfId="2482" xr:uid="{00000000-0005-0000-0000-0000AB100000}"/>
    <cellStyle name="Normal 2 4 5 3 7 2" xfId="6766" xr:uid="{00000000-0005-0000-0000-0000AC100000}"/>
    <cellStyle name="Normal 2 4 5 3 7 2 2" xfId="15208" xr:uid="{AF94FE7A-8F34-44BD-BD90-51E3D4F466A6}"/>
    <cellStyle name="Normal 2 4 5 3 7 3" xfId="10990" xr:uid="{85DCC15F-4139-4D7E-8FD7-22084A60D09E}"/>
    <cellStyle name="Normal 2 4 5 3 8" xfId="4700" xr:uid="{00000000-0005-0000-0000-0000AD100000}"/>
    <cellStyle name="Normal 2 4 5 3 8 2" xfId="13142" xr:uid="{C4A2DC2C-89D3-4148-9929-D011AC051B7C}"/>
    <cellStyle name="Normal 2 4 5 3 9" xfId="8924" xr:uid="{98B1BA76-86DC-4610-8FA9-3D6ABB6622B4}"/>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2 2 2" xfId="15703" xr:uid="{4A93BAB0-BD10-416A-A180-33AD2526258D}"/>
    <cellStyle name="Normal 2 4 5 4 2 2 3" xfId="11485" xr:uid="{64A69EC1-C94A-4B33-B12E-286DF97EECFB}"/>
    <cellStyle name="Normal 2 4 5 4 2 3" xfId="5116" xr:uid="{00000000-0005-0000-0000-0000B2100000}"/>
    <cellStyle name="Normal 2 4 5 4 2 3 2" xfId="13558" xr:uid="{6E6748D1-5727-46CB-8B0A-7349A7CA9BEB}"/>
    <cellStyle name="Normal 2 4 5 4 2 4" xfId="9340" xr:uid="{3B0BB2E6-73A5-4838-8243-3C1E452F4827}"/>
    <cellStyle name="Normal 2 4 5 4 3" xfId="1221" xr:uid="{00000000-0005-0000-0000-0000B3100000}"/>
    <cellStyle name="Normal 2 4 5 4 3 2" xfId="3451" xr:uid="{00000000-0005-0000-0000-0000B4100000}"/>
    <cellStyle name="Normal 2 4 5 4 3 2 2" xfId="7674" xr:uid="{00000000-0005-0000-0000-0000B5100000}"/>
    <cellStyle name="Normal 2 4 5 4 3 2 2 2" xfId="16116" xr:uid="{EB14776F-7E30-4064-B1DC-8571C99B7C59}"/>
    <cellStyle name="Normal 2 4 5 4 3 2 3" xfId="11898" xr:uid="{FDD5D414-D249-4809-9530-FF6F85F15B36}"/>
    <cellStyle name="Normal 2 4 5 4 3 3" xfId="5529" xr:uid="{00000000-0005-0000-0000-0000B6100000}"/>
    <cellStyle name="Normal 2 4 5 4 3 3 2" xfId="13971" xr:uid="{8FBA3AEE-6A52-41B7-B06C-20FFD182822A}"/>
    <cellStyle name="Normal 2 4 5 4 3 4" xfId="9753" xr:uid="{8DB5A24E-4944-4980-9281-B13BD388FEAF}"/>
    <cellStyle name="Normal 2 4 5 4 4" xfId="1634" xr:uid="{00000000-0005-0000-0000-0000B7100000}"/>
    <cellStyle name="Normal 2 4 5 4 4 2" xfId="3864" xr:uid="{00000000-0005-0000-0000-0000B8100000}"/>
    <cellStyle name="Normal 2 4 5 4 4 2 2" xfId="8087" xr:uid="{00000000-0005-0000-0000-0000B9100000}"/>
    <cellStyle name="Normal 2 4 5 4 4 2 2 2" xfId="16529" xr:uid="{04A87F57-A9E0-46DF-8B25-2F625617EC1E}"/>
    <cellStyle name="Normal 2 4 5 4 4 2 3" xfId="12311" xr:uid="{386E0A11-79B5-41B7-90DB-7C359490C4E3}"/>
    <cellStyle name="Normal 2 4 5 4 4 3" xfId="5942" xr:uid="{00000000-0005-0000-0000-0000BA100000}"/>
    <cellStyle name="Normal 2 4 5 4 4 3 2" xfId="14384" xr:uid="{3E6246B8-72A5-48CF-8336-8E6994B53F83}"/>
    <cellStyle name="Normal 2 4 5 4 4 4" xfId="10166" xr:uid="{D226C5CD-9890-4556-9D8B-C1A2A77BCC9B}"/>
    <cellStyle name="Normal 2 4 5 4 5" xfId="2048" xr:uid="{00000000-0005-0000-0000-0000BB100000}"/>
    <cellStyle name="Normal 2 4 5 4 5 2" xfId="4277" xr:uid="{00000000-0005-0000-0000-0000BC100000}"/>
    <cellStyle name="Normal 2 4 5 4 5 2 2" xfId="8500" xr:uid="{00000000-0005-0000-0000-0000BD100000}"/>
    <cellStyle name="Normal 2 4 5 4 5 2 2 2" xfId="16942" xr:uid="{DD503573-9592-4100-9E80-324E68D51221}"/>
    <cellStyle name="Normal 2 4 5 4 5 2 3" xfId="12724" xr:uid="{5DAFB659-CA97-4295-92C8-5566A8F0E0B8}"/>
    <cellStyle name="Normal 2 4 5 4 5 3" xfId="6355" xr:uid="{00000000-0005-0000-0000-0000BE100000}"/>
    <cellStyle name="Normal 2 4 5 4 5 3 2" xfId="14797" xr:uid="{06E075F0-4534-44A6-A383-44ADC1007FCA}"/>
    <cellStyle name="Normal 2 4 5 4 5 4" xfId="10579" xr:uid="{54CC7253-E6FD-42E8-98AD-8F694DEB83D5}"/>
    <cellStyle name="Normal 2 4 5 4 6" xfId="2484" xr:uid="{00000000-0005-0000-0000-0000BF100000}"/>
    <cellStyle name="Normal 2 4 5 4 6 2" xfId="6768" xr:uid="{00000000-0005-0000-0000-0000C0100000}"/>
    <cellStyle name="Normal 2 4 5 4 6 2 2" xfId="15210" xr:uid="{AFC1C931-8669-43EF-B2B9-DD724E5C070C}"/>
    <cellStyle name="Normal 2 4 5 4 6 3" xfId="10992" xr:uid="{20C2103B-9E4B-4969-B8CE-AED41CF145CF}"/>
    <cellStyle name="Normal 2 4 5 4 7" xfId="4702" xr:uid="{00000000-0005-0000-0000-0000C1100000}"/>
    <cellStyle name="Normal 2 4 5 4 7 2" xfId="13144" xr:uid="{0AD20774-C370-4F4D-A38A-CA296F1DA3B2}"/>
    <cellStyle name="Normal 2 4 5 4 8" xfId="8926" xr:uid="{177CE971-2310-4BD0-9F1D-10DB6550ADD6}"/>
    <cellStyle name="Normal 2 4 5 5" xfId="792" xr:uid="{00000000-0005-0000-0000-0000C2100000}"/>
    <cellStyle name="Normal 2 4 5 5 2" xfId="3031" xr:uid="{00000000-0005-0000-0000-0000C3100000}"/>
    <cellStyle name="Normal 2 4 5 5 2 2" xfId="7254" xr:uid="{00000000-0005-0000-0000-0000C4100000}"/>
    <cellStyle name="Normal 2 4 5 5 2 2 2" xfId="15696" xr:uid="{272BE3F5-A081-445F-9268-CE2E1051B038}"/>
    <cellStyle name="Normal 2 4 5 5 2 3" xfId="11478" xr:uid="{69BB0C2D-649F-4AF0-80A0-05C236D991A2}"/>
    <cellStyle name="Normal 2 4 5 5 3" xfId="5109" xr:uid="{00000000-0005-0000-0000-0000C5100000}"/>
    <cellStyle name="Normal 2 4 5 5 3 2" xfId="13551" xr:uid="{BBBF332E-389E-4E9E-86D4-823DF7A8E8F9}"/>
    <cellStyle name="Normal 2 4 5 5 4" xfId="9333" xr:uid="{1446F7EF-9254-4D54-8538-4A41926121D4}"/>
    <cellStyle name="Normal 2 4 5 6" xfId="1214" xr:uid="{00000000-0005-0000-0000-0000C6100000}"/>
    <cellStyle name="Normal 2 4 5 6 2" xfId="3444" xr:uid="{00000000-0005-0000-0000-0000C7100000}"/>
    <cellStyle name="Normal 2 4 5 6 2 2" xfId="7667" xr:uid="{00000000-0005-0000-0000-0000C8100000}"/>
    <cellStyle name="Normal 2 4 5 6 2 2 2" xfId="16109" xr:uid="{0ED4771D-9034-4CCB-B29D-06B35DE3A5A2}"/>
    <cellStyle name="Normal 2 4 5 6 2 3" xfId="11891" xr:uid="{8F28B274-D7AE-4B17-AF39-EB811506B8C4}"/>
    <cellStyle name="Normal 2 4 5 6 3" xfId="5522" xr:uid="{00000000-0005-0000-0000-0000C9100000}"/>
    <cellStyle name="Normal 2 4 5 6 3 2" xfId="13964" xr:uid="{B2AF307B-363B-43AB-AC66-3B24E2008535}"/>
    <cellStyle name="Normal 2 4 5 6 4" xfId="9746" xr:uid="{3EC16D29-E1F8-4F38-9F28-120012D54C2C}"/>
    <cellStyle name="Normal 2 4 5 7" xfId="1627" xr:uid="{00000000-0005-0000-0000-0000CA100000}"/>
    <cellStyle name="Normal 2 4 5 7 2" xfId="3857" xr:uid="{00000000-0005-0000-0000-0000CB100000}"/>
    <cellStyle name="Normal 2 4 5 7 2 2" xfId="8080" xr:uid="{00000000-0005-0000-0000-0000CC100000}"/>
    <cellStyle name="Normal 2 4 5 7 2 2 2" xfId="16522" xr:uid="{3B87BC2F-0975-48A3-B947-0443EE716C55}"/>
    <cellStyle name="Normal 2 4 5 7 2 3" xfId="12304" xr:uid="{4C8670D7-EB29-479E-92F3-68DF484F6227}"/>
    <cellStyle name="Normal 2 4 5 7 3" xfId="5935" xr:uid="{00000000-0005-0000-0000-0000CD100000}"/>
    <cellStyle name="Normal 2 4 5 7 3 2" xfId="14377" xr:uid="{93A05A08-02AE-4C16-B4D2-9EAF18860ACC}"/>
    <cellStyle name="Normal 2 4 5 7 4" xfId="10159" xr:uid="{EAFAA8DB-657D-41D5-BAEB-69DCC229FEDA}"/>
    <cellStyle name="Normal 2 4 5 8" xfId="2041" xr:uid="{00000000-0005-0000-0000-0000CE100000}"/>
    <cellStyle name="Normal 2 4 5 8 2" xfId="4270" xr:uid="{00000000-0005-0000-0000-0000CF100000}"/>
    <cellStyle name="Normal 2 4 5 8 2 2" xfId="8493" xr:uid="{00000000-0005-0000-0000-0000D0100000}"/>
    <cellStyle name="Normal 2 4 5 8 2 2 2" xfId="16935" xr:uid="{3931F61A-BABB-49F7-861C-1FE41F6AC848}"/>
    <cellStyle name="Normal 2 4 5 8 2 3" xfId="12717" xr:uid="{CE898764-D1CF-4750-A5FA-6DDDAD45B1FD}"/>
    <cellStyle name="Normal 2 4 5 8 3" xfId="6348" xr:uid="{00000000-0005-0000-0000-0000D1100000}"/>
    <cellStyle name="Normal 2 4 5 8 3 2" xfId="14790" xr:uid="{AAF7EEDB-628B-4AA8-8DDD-713082199321}"/>
    <cellStyle name="Normal 2 4 5 8 4" xfId="10572" xr:uid="{59BDB7B1-B7DF-4573-BC54-6CFF5130A8A7}"/>
    <cellStyle name="Normal 2 4 5 9" xfId="2477" xr:uid="{00000000-0005-0000-0000-0000D2100000}"/>
    <cellStyle name="Normal 2 4 5 9 2" xfId="6761" xr:uid="{00000000-0005-0000-0000-0000D3100000}"/>
    <cellStyle name="Normal 2 4 5 9 2 2" xfId="15203" xr:uid="{7E48AFDB-E2C1-406F-8281-402161FD4629}"/>
    <cellStyle name="Normal 2 4 5 9 3" xfId="10985" xr:uid="{075DACD5-5C45-4130-98EB-7F3A4BFCE3BB}"/>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2 2 2" xfId="15705" xr:uid="{C7F91222-B9AF-4F98-9D55-CBA04D675FB1}"/>
    <cellStyle name="Normal 2 4 7 2 2 2 3" xfId="11487" xr:uid="{4FB8E664-ACC6-4F25-881C-09BA0661F46C}"/>
    <cellStyle name="Normal 2 4 7 2 2 3" xfId="5118" xr:uid="{00000000-0005-0000-0000-0000DA100000}"/>
    <cellStyle name="Normal 2 4 7 2 2 3 2" xfId="13560" xr:uid="{7120A80D-4F7C-461A-AC09-B58A9E7EBBD2}"/>
    <cellStyle name="Normal 2 4 7 2 2 4" xfId="9342" xr:uid="{0A2F321B-19FD-4B76-876D-ABA7AE98E4A5}"/>
    <cellStyle name="Normal 2 4 7 2 3" xfId="1223" xr:uid="{00000000-0005-0000-0000-0000DB100000}"/>
    <cellStyle name="Normal 2 4 7 2 3 2" xfId="3453" xr:uid="{00000000-0005-0000-0000-0000DC100000}"/>
    <cellStyle name="Normal 2 4 7 2 3 2 2" xfId="7676" xr:uid="{00000000-0005-0000-0000-0000DD100000}"/>
    <cellStyle name="Normal 2 4 7 2 3 2 2 2" xfId="16118" xr:uid="{EFF0F271-1111-476A-A695-F7FC425C9E64}"/>
    <cellStyle name="Normal 2 4 7 2 3 2 3" xfId="11900" xr:uid="{B03D875D-D7FE-4594-AA92-5D831D06BCC7}"/>
    <cellStyle name="Normal 2 4 7 2 3 3" xfId="5531" xr:uid="{00000000-0005-0000-0000-0000DE100000}"/>
    <cellStyle name="Normal 2 4 7 2 3 3 2" xfId="13973" xr:uid="{8EA67CF8-16F3-4C3D-B630-E80AF6B9D695}"/>
    <cellStyle name="Normal 2 4 7 2 3 4" xfId="9755" xr:uid="{CE0B2C77-34EB-4C02-84E5-CB0154934132}"/>
    <cellStyle name="Normal 2 4 7 2 4" xfId="1636" xr:uid="{00000000-0005-0000-0000-0000DF100000}"/>
    <cellStyle name="Normal 2 4 7 2 4 2" xfId="3866" xr:uid="{00000000-0005-0000-0000-0000E0100000}"/>
    <cellStyle name="Normal 2 4 7 2 4 2 2" xfId="8089" xr:uid="{00000000-0005-0000-0000-0000E1100000}"/>
    <cellStyle name="Normal 2 4 7 2 4 2 2 2" xfId="16531" xr:uid="{03C9988F-D1B7-4CD0-A1A0-C853C9E74A98}"/>
    <cellStyle name="Normal 2 4 7 2 4 2 3" xfId="12313" xr:uid="{AE368C29-1A99-4227-9EBC-7F9B832B6F61}"/>
    <cellStyle name="Normal 2 4 7 2 4 3" xfId="5944" xr:uid="{00000000-0005-0000-0000-0000E2100000}"/>
    <cellStyle name="Normal 2 4 7 2 4 3 2" xfId="14386" xr:uid="{D7C6BC24-B8D2-4E77-B480-80F0E20EAE0D}"/>
    <cellStyle name="Normal 2 4 7 2 4 4" xfId="10168" xr:uid="{CC59209E-2868-47A9-9979-7E46452B4B53}"/>
    <cellStyle name="Normal 2 4 7 2 5" xfId="2050" xr:uid="{00000000-0005-0000-0000-0000E3100000}"/>
    <cellStyle name="Normal 2 4 7 2 5 2" xfId="4279" xr:uid="{00000000-0005-0000-0000-0000E4100000}"/>
    <cellStyle name="Normal 2 4 7 2 5 2 2" xfId="8502" xr:uid="{00000000-0005-0000-0000-0000E5100000}"/>
    <cellStyle name="Normal 2 4 7 2 5 2 2 2" xfId="16944" xr:uid="{FBBA2945-53B8-40CD-9F5D-A48F7FFBBCF6}"/>
    <cellStyle name="Normal 2 4 7 2 5 2 3" xfId="12726" xr:uid="{C46BBBCB-2714-4FF7-B739-6E91FF4D4DC6}"/>
    <cellStyle name="Normal 2 4 7 2 5 3" xfId="6357" xr:uid="{00000000-0005-0000-0000-0000E6100000}"/>
    <cellStyle name="Normal 2 4 7 2 5 3 2" xfId="14799" xr:uid="{34BE0890-C360-4BB0-A386-6E53270BAF38}"/>
    <cellStyle name="Normal 2 4 7 2 5 4" xfId="10581" xr:uid="{80FE4B09-DFE1-40CC-8BE4-7C1B86021F3E}"/>
    <cellStyle name="Normal 2 4 7 2 6" xfId="2486" xr:uid="{00000000-0005-0000-0000-0000E7100000}"/>
    <cellStyle name="Normal 2 4 7 2 6 2" xfId="6770" xr:uid="{00000000-0005-0000-0000-0000E8100000}"/>
    <cellStyle name="Normal 2 4 7 2 6 2 2" xfId="15212" xr:uid="{95A86C45-39CB-460B-B5D1-C6ED5D58C079}"/>
    <cellStyle name="Normal 2 4 7 2 6 3" xfId="10994" xr:uid="{6F4BCDA4-85F7-4BDD-AA76-0FF61A663DFB}"/>
    <cellStyle name="Normal 2 4 7 2 7" xfId="4704" xr:uid="{00000000-0005-0000-0000-0000E9100000}"/>
    <cellStyle name="Normal 2 4 7 2 7 2" xfId="13146" xr:uid="{93B7C932-8346-4DF0-8989-2D3615BD537D}"/>
    <cellStyle name="Normal 2 4 7 2 8" xfId="8928" xr:uid="{62344EB2-AC62-4BA6-B9BE-C181557398B4}"/>
    <cellStyle name="Normal 2 4 7 3" xfId="800" xr:uid="{00000000-0005-0000-0000-0000EA100000}"/>
    <cellStyle name="Normal 2 4 7 3 2" xfId="3039" xr:uid="{00000000-0005-0000-0000-0000EB100000}"/>
    <cellStyle name="Normal 2 4 7 3 2 2" xfId="7262" xr:uid="{00000000-0005-0000-0000-0000EC100000}"/>
    <cellStyle name="Normal 2 4 7 3 2 2 2" xfId="15704" xr:uid="{044F686E-6719-45D3-A198-B1271927BBC2}"/>
    <cellStyle name="Normal 2 4 7 3 2 3" xfId="11486" xr:uid="{1C00C772-1094-4A2F-B84A-F4C158DBF7F3}"/>
    <cellStyle name="Normal 2 4 7 3 3" xfId="5117" xr:uid="{00000000-0005-0000-0000-0000ED100000}"/>
    <cellStyle name="Normal 2 4 7 3 3 2" xfId="13559" xr:uid="{7FF46B22-69B9-4731-9672-06DF41B46313}"/>
    <cellStyle name="Normal 2 4 7 3 4" xfId="9341" xr:uid="{37474AD0-4738-4E03-B44D-9475146D1FE1}"/>
    <cellStyle name="Normal 2 4 7 4" xfId="1222" xr:uid="{00000000-0005-0000-0000-0000EE100000}"/>
    <cellStyle name="Normal 2 4 7 4 2" xfId="3452" xr:uid="{00000000-0005-0000-0000-0000EF100000}"/>
    <cellStyle name="Normal 2 4 7 4 2 2" xfId="7675" xr:uid="{00000000-0005-0000-0000-0000F0100000}"/>
    <cellStyle name="Normal 2 4 7 4 2 2 2" xfId="16117" xr:uid="{EB16DCAD-D0A8-498D-B1B6-F9DD4D686809}"/>
    <cellStyle name="Normal 2 4 7 4 2 3" xfId="11899" xr:uid="{D7653354-0F08-44E4-89F8-61171C460E9C}"/>
    <cellStyle name="Normal 2 4 7 4 3" xfId="5530" xr:uid="{00000000-0005-0000-0000-0000F1100000}"/>
    <cellStyle name="Normal 2 4 7 4 3 2" xfId="13972" xr:uid="{4C622331-7468-44E8-955B-3F01621B2ED7}"/>
    <cellStyle name="Normal 2 4 7 4 4" xfId="9754" xr:uid="{71B0F0F8-47F9-4C99-B086-9B5D638AA26B}"/>
    <cellStyle name="Normal 2 4 7 5" xfId="1635" xr:uid="{00000000-0005-0000-0000-0000F2100000}"/>
    <cellStyle name="Normal 2 4 7 5 2" xfId="3865" xr:uid="{00000000-0005-0000-0000-0000F3100000}"/>
    <cellStyle name="Normal 2 4 7 5 2 2" xfId="8088" xr:uid="{00000000-0005-0000-0000-0000F4100000}"/>
    <cellStyle name="Normal 2 4 7 5 2 2 2" xfId="16530" xr:uid="{3A0C21CA-0882-4672-B187-820098AC0AC9}"/>
    <cellStyle name="Normal 2 4 7 5 2 3" xfId="12312" xr:uid="{21F2298E-CFB0-4599-8DA7-F0F12671E353}"/>
    <cellStyle name="Normal 2 4 7 5 3" xfId="5943" xr:uid="{00000000-0005-0000-0000-0000F5100000}"/>
    <cellStyle name="Normal 2 4 7 5 3 2" xfId="14385" xr:uid="{58518ECD-177D-4F1A-B4A9-B4FEFC3FCFCC}"/>
    <cellStyle name="Normal 2 4 7 5 4" xfId="10167" xr:uid="{65459AD8-8789-46A7-BEC6-09FE52602B31}"/>
    <cellStyle name="Normal 2 4 7 6" xfId="2049" xr:uid="{00000000-0005-0000-0000-0000F6100000}"/>
    <cellStyle name="Normal 2 4 7 6 2" xfId="4278" xr:uid="{00000000-0005-0000-0000-0000F7100000}"/>
    <cellStyle name="Normal 2 4 7 6 2 2" xfId="8501" xr:uid="{00000000-0005-0000-0000-0000F8100000}"/>
    <cellStyle name="Normal 2 4 7 6 2 2 2" xfId="16943" xr:uid="{7D342397-AECC-4CAA-9C53-BF2C1C77B697}"/>
    <cellStyle name="Normal 2 4 7 6 2 3" xfId="12725" xr:uid="{9C731A72-6542-4223-BDFF-41EC22272C7F}"/>
    <cellStyle name="Normal 2 4 7 6 3" xfId="6356" xr:uid="{00000000-0005-0000-0000-0000F9100000}"/>
    <cellStyle name="Normal 2 4 7 6 3 2" xfId="14798" xr:uid="{B79B8EC3-43A6-4F2E-91EF-805DF3D5C191}"/>
    <cellStyle name="Normal 2 4 7 6 4" xfId="10580" xr:uid="{B6E3195B-1CC4-462A-B8FF-4AAA347B48E2}"/>
    <cellStyle name="Normal 2 4 7 7" xfId="2485" xr:uid="{00000000-0005-0000-0000-0000FA100000}"/>
    <cellStyle name="Normal 2 4 7 7 2" xfId="6769" xr:uid="{00000000-0005-0000-0000-0000FB100000}"/>
    <cellStyle name="Normal 2 4 7 7 2 2" xfId="15211" xr:uid="{A6D01D16-D11C-4CB7-8818-ECEB45B1EAE4}"/>
    <cellStyle name="Normal 2 4 7 7 3" xfId="10993" xr:uid="{10FEBB53-4BEF-4B5E-90C5-1BDE55212E86}"/>
    <cellStyle name="Normal 2 4 7 8" xfId="4703" xr:uid="{00000000-0005-0000-0000-0000FC100000}"/>
    <cellStyle name="Normal 2 4 7 8 2" xfId="13145" xr:uid="{D8A4AF8D-51A0-4541-84C7-3CC4E12B585F}"/>
    <cellStyle name="Normal 2 4 7 9" xfId="8927" xr:uid="{D3FB3CC4-07E3-47BF-B306-32993A7B914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2 2 2" xfId="15706" xr:uid="{42A74FAC-685E-4A7F-93AC-6F3F13F2B87D}"/>
    <cellStyle name="Normal 2 4 8 2 2 3" xfId="11488" xr:uid="{FE2A1EB4-C89C-4F14-9451-165C7F6197FF}"/>
    <cellStyle name="Normal 2 4 8 2 3" xfId="5119" xr:uid="{00000000-0005-0000-0000-000001110000}"/>
    <cellStyle name="Normal 2 4 8 2 3 2" xfId="13561" xr:uid="{23ADBE3A-D9C5-4790-BCB1-774FAFD6E968}"/>
    <cellStyle name="Normal 2 4 8 2 4" xfId="9343" xr:uid="{B2EDC2EB-95C0-4E0D-9E2A-45056DA98C9A}"/>
    <cellStyle name="Normal 2 4 8 3" xfId="1224" xr:uid="{00000000-0005-0000-0000-000002110000}"/>
    <cellStyle name="Normal 2 4 8 3 2" xfId="3454" xr:uid="{00000000-0005-0000-0000-000003110000}"/>
    <cellStyle name="Normal 2 4 8 3 2 2" xfId="7677" xr:uid="{00000000-0005-0000-0000-000004110000}"/>
    <cellStyle name="Normal 2 4 8 3 2 2 2" xfId="16119" xr:uid="{067B718F-B399-4167-B9E4-830E5CB91938}"/>
    <cellStyle name="Normal 2 4 8 3 2 3" xfId="11901" xr:uid="{C46050F9-3BB3-4460-AC86-01C6B8897A86}"/>
    <cellStyle name="Normal 2 4 8 3 3" xfId="5532" xr:uid="{00000000-0005-0000-0000-000005110000}"/>
    <cellStyle name="Normal 2 4 8 3 3 2" xfId="13974" xr:uid="{5583F704-4A29-4B0F-A087-A9BA223337E3}"/>
    <cellStyle name="Normal 2 4 8 3 4" xfId="9756" xr:uid="{075A8A93-C00E-473C-816E-D8B81B24C49D}"/>
    <cellStyle name="Normal 2 4 8 4" xfId="1637" xr:uid="{00000000-0005-0000-0000-000006110000}"/>
    <cellStyle name="Normal 2 4 8 4 2" xfId="3867" xr:uid="{00000000-0005-0000-0000-000007110000}"/>
    <cellStyle name="Normal 2 4 8 4 2 2" xfId="8090" xr:uid="{00000000-0005-0000-0000-000008110000}"/>
    <cellStyle name="Normal 2 4 8 4 2 2 2" xfId="16532" xr:uid="{03DCF01D-CEF4-4E39-897F-896A4FF544BE}"/>
    <cellStyle name="Normal 2 4 8 4 2 3" xfId="12314" xr:uid="{7DFE28ED-2935-4FEE-BA91-279F63E3D52D}"/>
    <cellStyle name="Normal 2 4 8 4 3" xfId="5945" xr:uid="{00000000-0005-0000-0000-000009110000}"/>
    <cellStyle name="Normal 2 4 8 4 3 2" xfId="14387" xr:uid="{466ADE17-6519-411F-9B0B-E4A62C921B68}"/>
    <cellStyle name="Normal 2 4 8 4 4" xfId="10169" xr:uid="{94DD8D8D-BBE7-4BFB-9BFE-70BA09C9C60A}"/>
    <cellStyle name="Normal 2 4 8 5" xfId="2051" xr:uid="{00000000-0005-0000-0000-00000A110000}"/>
    <cellStyle name="Normal 2 4 8 5 2" xfId="4280" xr:uid="{00000000-0005-0000-0000-00000B110000}"/>
    <cellStyle name="Normal 2 4 8 5 2 2" xfId="8503" xr:uid="{00000000-0005-0000-0000-00000C110000}"/>
    <cellStyle name="Normal 2 4 8 5 2 2 2" xfId="16945" xr:uid="{5A2F485A-CD41-4197-B28E-AFB3F5A1ABA3}"/>
    <cellStyle name="Normal 2 4 8 5 2 3" xfId="12727" xr:uid="{3DBC7D20-8627-41A9-A86C-C60964F5C041}"/>
    <cellStyle name="Normal 2 4 8 5 3" xfId="6358" xr:uid="{00000000-0005-0000-0000-00000D110000}"/>
    <cellStyle name="Normal 2 4 8 5 3 2" xfId="14800" xr:uid="{4B602CFE-B3F2-48EA-B271-06E312E03BF7}"/>
    <cellStyle name="Normal 2 4 8 5 4" xfId="10582" xr:uid="{D5D21CC1-382A-4C25-88CD-5B0E4717B4A0}"/>
    <cellStyle name="Normal 2 4 8 6" xfId="2487" xr:uid="{00000000-0005-0000-0000-00000E110000}"/>
    <cellStyle name="Normal 2 4 8 6 2" xfId="6771" xr:uid="{00000000-0005-0000-0000-00000F110000}"/>
    <cellStyle name="Normal 2 4 8 6 2 2" xfId="15213" xr:uid="{4D28DC7F-6D05-4398-911E-74215BE7A3C3}"/>
    <cellStyle name="Normal 2 4 8 6 3" xfId="10995" xr:uid="{884A3938-D19C-4775-9E64-B7EC8ED99A3F}"/>
    <cellStyle name="Normal 2 4 8 7" xfId="4705" xr:uid="{00000000-0005-0000-0000-000010110000}"/>
    <cellStyle name="Normal 2 4 8 7 2" xfId="13147" xr:uid="{7AAB358D-EA4F-4800-B85C-90552062B4F5}"/>
    <cellStyle name="Normal 2 4 8 8" xfId="8929" xr:uid="{30495CA8-179E-4A80-A49A-E22B9C3C969E}"/>
    <cellStyle name="Normal 2 5" xfId="315" xr:uid="{00000000-0005-0000-0000-000011110000}"/>
    <cellStyle name="Normal 2 5 10" xfId="4706" xr:uid="{00000000-0005-0000-0000-000012110000}"/>
    <cellStyle name="Normal 2 5 10 2" xfId="13148" xr:uid="{E38D0A22-B23D-420F-9EDB-533CB370AF80}"/>
    <cellStyle name="Normal 2 5 11" xfId="8930" xr:uid="{80EEE601-0B6B-4941-8329-E52D97F711B2}"/>
    <cellStyle name="Normal 2 5 2" xfId="316" xr:uid="{00000000-0005-0000-0000-000013110000}"/>
    <cellStyle name="Normal 2 5 3" xfId="317" xr:uid="{00000000-0005-0000-0000-000014110000}"/>
    <cellStyle name="Normal 2 5 4" xfId="318" xr:uid="{00000000-0005-0000-0000-000015110000}"/>
    <cellStyle name="Normal 2 5 4 10" xfId="8931" xr:uid="{46995B47-30F7-43E0-A18C-D4AE71954AD8}"/>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2 2 2" xfId="15710" xr:uid="{609C6664-F4DF-4F4C-AC3A-7F94F00553CE}"/>
    <cellStyle name="Normal 2 5 4 2 2 2 2 3" xfId="11492" xr:uid="{F7F73B1C-C3DA-429D-8099-546E13312417}"/>
    <cellStyle name="Normal 2 5 4 2 2 2 3" xfId="5123" xr:uid="{00000000-0005-0000-0000-00001B110000}"/>
    <cellStyle name="Normal 2 5 4 2 2 2 3 2" xfId="13565" xr:uid="{27CFB6A0-64B4-4BB2-9F45-988F787B5DBC}"/>
    <cellStyle name="Normal 2 5 4 2 2 2 4" xfId="9347" xr:uid="{74816574-0171-4B5D-944D-847C3BD0C8DF}"/>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2 2 2" xfId="16123" xr:uid="{3C7F4C8F-3B96-4DFF-9906-C5BFF29230EA}"/>
    <cellStyle name="Normal 2 5 4 2 2 3 2 3" xfId="11905" xr:uid="{07DDB114-6603-4154-8078-389A4352B164}"/>
    <cellStyle name="Normal 2 5 4 2 2 3 3" xfId="5536" xr:uid="{00000000-0005-0000-0000-00001F110000}"/>
    <cellStyle name="Normal 2 5 4 2 2 3 3 2" xfId="13978" xr:uid="{5390533A-6B99-4D66-8C0A-BD186345F24D}"/>
    <cellStyle name="Normal 2 5 4 2 2 3 4" xfId="9760" xr:uid="{B9BA3497-0BE4-452C-8966-F9F4EC153D17}"/>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2 2 2" xfId="16536" xr:uid="{A0358DCB-7019-438A-ADE4-38408451F252}"/>
    <cellStyle name="Normal 2 5 4 2 2 4 2 3" xfId="12318" xr:uid="{6D4E237B-32B9-47DA-8373-B9B98F34D068}"/>
    <cellStyle name="Normal 2 5 4 2 2 4 3" xfId="5949" xr:uid="{00000000-0005-0000-0000-000023110000}"/>
    <cellStyle name="Normal 2 5 4 2 2 4 3 2" xfId="14391" xr:uid="{E539FCB2-6AFE-4F69-8F3B-0444F73530ED}"/>
    <cellStyle name="Normal 2 5 4 2 2 4 4" xfId="10173" xr:uid="{57021AF7-DFBA-43ED-AB20-3EA607399C72}"/>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2 2 2" xfId="16949" xr:uid="{FD266E02-2AD2-4D72-9801-05C2F7F91EAF}"/>
    <cellStyle name="Normal 2 5 4 2 2 5 2 3" xfId="12731" xr:uid="{30FBAA82-7F1E-4108-9686-7FE258618427}"/>
    <cellStyle name="Normal 2 5 4 2 2 5 3" xfId="6362" xr:uid="{00000000-0005-0000-0000-000027110000}"/>
    <cellStyle name="Normal 2 5 4 2 2 5 3 2" xfId="14804" xr:uid="{1A946097-A2D5-4EFE-B48A-BFEE1F78EE35}"/>
    <cellStyle name="Normal 2 5 4 2 2 5 4" xfId="10586" xr:uid="{207925B6-8324-4C15-A215-89AFFD4A890E}"/>
    <cellStyle name="Normal 2 5 4 2 2 6" xfId="2491" xr:uid="{00000000-0005-0000-0000-000028110000}"/>
    <cellStyle name="Normal 2 5 4 2 2 6 2" xfId="6775" xr:uid="{00000000-0005-0000-0000-000029110000}"/>
    <cellStyle name="Normal 2 5 4 2 2 6 2 2" xfId="15217" xr:uid="{A0F781B0-FC41-4AEB-B01B-DF66109B5468}"/>
    <cellStyle name="Normal 2 5 4 2 2 6 3" xfId="10999" xr:uid="{5C24ABED-F025-4FB4-9835-79A522E639EB}"/>
    <cellStyle name="Normal 2 5 4 2 2 7" xfId="4709" xr:uid="{00000000-0005-0000-0000-00002A110000}"/>
    <cellStyle name="Normal 2 5 4 2 2 7 2" xfId="13151" xr:uid="{820E762B-7280-41DB-A580-A5033D7C5D21}"/>
    <cellStyle name="Normal 2 5 4 2 2 8" xfId="8933" xr:uid="{3D204223-24ED-407A-9D3A-93492DFAEE38}"/>
    <cellStyle name="Normal 2 5 4 2 3" xfId="805" xr:uid="{00000000-0005-0000-0000-00002B110000}"/>
    <cellStyle name="Normal 2 5 4 2 3 2" xfId="3044" xr:uid="{00000000-0005-0000-0000-00002C110000}"/>
    <cellStyle name="Normal 2 5 4 2 3 2 2" xfId="7267" xr:uid="{00000000-0005-0000-0000-00002D110000}"/>
    <cellStyle name="Normal 2 5 4 2 3 2 2 2" xfId="15709" xr:uid="{A91CCC08-23EE-45C2-B65E-3D19949065AE}"/>
    <cellStyle name="Normal 2 5 4 2 3 2 3" xfId="11491" xr:uid="{930A4739-206B-4020-849E-6E9E0EDECF33}"/>
    <cellStyle name="Normal 2 5 4 2 3 3" xfId="5122" xr:uid="{00000000-0005-0000-0000-00002E110000}"/>
    <cellStyle name="Normal 2 5 4 2 3 3 2" xfId="13564" xr:uid="{C07EAEB8-DDE5-4552-9CBC-EEC9B5B29C3B}"/>
    <cellStyle name="Normal 2 5 4 2 3 4" xfId="9346" xr:uid="{64583E9F-38B2-4D4F-AE3B-876A41D8B5BE}"/>
    <cellStyle name="Normal 2 5 4 2 4" xfId="1227" xr:uid="{00000000-0005-0000-0000-00002F110000}"/>
    <cellStyle name="Normal 2 5 4 2 4 2" xfId="3457" xr:uid="{00000000-0005-0000-0000-000030110000}"/>
    <cellStyle name="Normal 2 5 4 2 4 2 2" xfId="7680" xr:uid="{00000000-0005-0000-0000-000031110000}"/>
    <cellStyle name="Normal 2 5 4 2 4 2 2 2" xfId="16122" xr:uid="{F92126FD-9D11-4ACB-8B0B-1D7121EEEC83}"/>
    <cellStyle name="Normal 2 5 4 2 4 2 3" xfId="11904" xr:uid="{086AFB54-46ED-4A06-93FA-E4920D5FA4E7}"/>
    <cellStyle name="Normal 2 5 4 2 4 3" xfId="5535" xr:uid="{00000000-0005-0000-0000-000032110000}"/>
    <cellStyle name="Normal 2 5 4 2 4 3 2" xfId="13977" xr:uid="{2F54593D-D226-44C2-A3C1-337F51E9235C}"/>
    <cellStyle name="Normal 2 5 4 2 4 4" xfId="9759" xr:uid="{A3C7A841-9B23-4483-AE16-7193E83716A2}"/>
    <cellStyle name="Normal 2 5 4 2 5" xfId="1640" xr:uid="{00000000-0005-0000-0000-000033110000}"/>
    <cellStyle name="Normal 2 5 4 2 5 2" xfId="3870" xr:uid="{00000000-0005-0000-0000-000034110000}"/>
    <cellStyle name="Normal 2 5 4 2 5 2 2" xfId="8093" xr:uid="{00000000-0005-0000-0000-000035110000}"/>
    <cellStyle name="Normal 2 5 4 2 5 2 2 2" xfId="16535" xr:uid="{E341340A-86E4-4E78-817C-3DD5AAAE7200}"/>
    <cellStyle name="Normal 2 5 4 2 5 2 3" xfId="12317" xr:uid="{FC0E65C7-B95C-40A3-9549-AD5FDB0E6CAB}"/>
    <cellStyle name="Normal 2 5 4 2 5 3" xfId="5948" xr:uid="{00000000-0005-0000-0000-000036110000}"/>
    <cellStyle name="Normal 2 5 4 2 5 3 2" xfId="14390" xr:uid="{14817850-A879-4317-9349-64AFE0B5A309}"/>
    <cellStyle name="Normal 2 5 4 2 5 4" xfId="10172" xr:uid="{D2539F20-9763-4C7D-A5D6-1F550F74C24D}"/>
    <cellStyle name="Normal 2 5 4 2 6" xfId="2054" xr:uid="{00000000-0005-0000-0000-000037110000}"/>
    <cellStyle name="Normal 2 5 4 2 6 2" xfId="4283" xr:uid="{00000000-0005-0000-0000-000038110000}"/>
    <cellStyle name="Normal 2 5 4 2 6 2 2" xfId="8506" xr:uid="{00000000-0005-0000-0000-000039110000}"/>
    <cellStyle name="Normal 2 5 4 2 6 2 2 2" xfId="16948" xr:uid="{163B09B0-AE31-4DC6-B3FF-258EC43D8C18}"/>
    <cellStyle name="Normal 2 5 4 2 6 2 3" xfId="12730" xr:uid="{9B2F3AF1-1B71-4A26-9D19-8F199FEDF0AD}"/>
    <cellStyle name="Normal 2 5 4 2 6 3" xfId="6361" xr:uid="{00000000-0005-0000-0000-00003A110000}"/>
    <cellStyle name="Normal 2 5 4 2 6 3 2" xfId="14803" xr:uid="{0770EDE4-913B-448D-8D4C-E6EDD3327C5D}"/>
    <cellStyle name="Normal 2 5 4 2 6 4" xfId="10585" xr:uid="{558A64C1-0C88-4585-AE66-1111D91F326B}"/>
    <cellStyle name="Normal 2 5 4 2 7" xfId="2490" xr:uid="{00000000-0005-0000-0000-00003B110000}"/>
    <cellStyle name="Normal 2 5 4 2 7 2" xfId="6774" xr:uid="{00000000-0005-0000-0000-00003C110000}"/>
    <cellStyle name="Normal 2 5 4 2 7 2 2" xfId="15216" xr:uid="{F1E9D844-40A2-476D-97E1-2E3F6E54F17E}"/>
    <cellStyle name="Normal 2 5 4 2 7 3" xfId="10998" xr:uid="{BC433505-D042-44B7-A110-471FE924E1CA}"/>
    <cellStyle name="Normal 2 5 4 2 8" xfId="4708" xr:uid="{00000000-0005-0000-0000-00003D110000}"/>
    <cellStyle name="Normal 2 5 4 2 8 2" xfId="13150" xr:uid="{C058B2AB-8DF9-4FA2-95CE-A966E7B23E7A}"/>
    <cellStyle name="Normal 2 5 4 2 9" xfId="8932" xr:uid="{8D2AC6E4-B446-4778-A61C-01A7E012AD14}"/>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2 2 2" xfId="15711" xr:uid="{3F1A8643-1DB8-4DDB-83A1-06CCDC53DE4C}"/>
    <cellStyle name="Normal 2 5 4 3 2 2 3" xfId="11493" xr:uid="{651D14D6-B514-4A12-9093-CDEAC8301841}"/>
    <cellStyle name="Normal 2 5 4 3 2 3" xfId="5124" xr:uid="{00000000-0005-0000-0000-000042110000}"/>
    <cellStyle name="Normal 2 5 4 3 2 3 2" xfId="13566" xr:uid="{C2D31E70-EB79-4809-AB4D-33DFD02780E9}"/>
    <cellStyle name="Normal 2 5 4 3 2 4" xfId="9348" xr:uid="{0CC4069D-72FE-455F-B3A1-9BB3E8AD6B72}"/>
    <cellStyle name="Normal 2 5 4 3 3" xfId="1229" xr:uid="{00000000-0005-0000-0000-000043110000}"/>
    <cellStyle name="Normal 2 5 4 3 3 2" xfId="3459" xr:uid="{00000000-0005-0000-0000-000044110000}"/>
    <cellStyle name="Normal 2 5 4 3 3 2 2" xfId="7682" xr:uid="{00000000-0005-0000-0000-000045110000}"/>
    <cellStyle name="Normal 2 5 4 3 3 2 2 2" xfId="16124" xr:uid="{5FBF47DB-E5FC-4086-9DC2-E7A0FC003959}"/>
    <cellStyle name="Normal 2 5 4 3 3 2 3" xfId="11906" xr:uid="{D64D10AA-68D6-4AF1-9AF3-DCD5C8FB734E}"/>
    <cellStyle name="Normal 2 5 4 3 3 3" xfId="5537" xr:uid="{00000000-0005-0000-0000-000046110000}"/>
    <cellStyle name="Normal 2 5 4 3 3 3 2" xfId="13979" xr:uid="{705C5F3A-D8D0-49F1-ADFC-ABCF6854E8A7}"/>
    <cellStyle name="Normal 2 5 4 3 3 4" xfId="9761" xr:uid="{E0556923-7C87-4997-8837-2EA1FDB86E41}"/>
    <cellStyle name="Normal 2 5 4 3 4" xfId="1642" xr:uid="{00000000-0005-0000-0000-000047110000}"/>
    <cellStyle name="Normal 2 5 4 3 4 2" xfId="3872" xr:uid="{00000000-0005-0000-0000-000048110000}"/>
    <cellStyle name="Normal 2 5 4 3 4 2 2" xfId="8095" xr:uid="{00000000-0005-0000-0000-000049110000}"/>
    <cellStyle name="Normal 2 5 4 3 4 2 2 2" xfId="16537" xr:uid="{3DA9D523-ADD0-475F-A2DC-3BB147AA9A8A}"/>
    <cellStyle name="Normal 2 5 4 3 4 2 3" xfId="12319" xr:uid="{9AE1BC9E-B85C-4C6E-90E3-3296F39D91C6}"/>
    <cellStyle name="Normal 2 5 4 3 4 3" xfId="5950" xr:uid="{00000000-0005-0000-0000-00004A110000}"/>
    <cellStyle name="Normal 2 5 4 3 4 3 2" xfId="14392" xr:uid="{A1922E20-312B-4298-9180-485885AA89B7}"/>
    <cellStyle name="Normal 2 5 4 3 4 4" xfId="10174" xr:uid="{B62A7701-FFA9-48AF-BD15-6B8047FDA0C4}"/>
    <cellStyle name="Normal 2 5 4 3 5" xfId="2056" xr:uid="{00000000-0005-0000-0000-00004B110000}"/>
    <cellStyle name="Normal 2 5 4 3 5 2" xfId="4285" xr:uid="{00000000-0005-0000-0000-00004C110000}"/>
    <cellStyle name="Normal 2 5 4 3 5 2 2" xfId="8508" xr:uid="{00000000-0005-0000-0000-00004D110000}"/>
    <cellStyle name="Normal 2 5 4 3 5 2 2 2" xfId="16950" xr:uid="{220D76AA-9F04-4432-958F-9B8CEBF7CD96}"/>
    <cellStyle name="Normal 2 5 4 3 5 2 3" xfId="12732" xr:uid="{AAE108D2-57B7-48E0-BDC1-9782CF7923DC}"/>
    <cellStyle name="Normal 2 5 4 3 5 3" xfId="6363" xr:uid="{00000000-0005-0000-0000-00004E110000}"/>
    <cellStyle name="Normal 2 5 4 3 5 3 2" xfId="14805" xr:uid="{4AB0DA05-5524-4D7F-9B4D-B6E0EE44BF40}"/>
    <cellStyle name="Normal 2 5 4 3 5 4" xfId="10587" xr:uid="{948F8716-AC93-4C1B-9075-BB487367956B}"/>
    <cellStyle name="Normal 2 5 4 3 6" xfId="2492" xr:uid="{00000000-0005-0000-0000-00004F110000}"/>
    <cellStyle name="Normal 2 5 4 3 6 2" xfId="6776" xr:uid="{00000000-0005-0000-0000-000050110000}"/>
    <cellStyle name="Normal 2 5 4 3 6 2 2" xfId="15218" xr:uid="{901D1BBD-DFAD-4AA2-A86D-7E552EA10FDD}"/>
    <cellStyle name="Normal 2 5 4 3 6 3" xfId="11000" xr:uid="{9DD99061-44A6-44AF-9564-3BC8C86C6471}"/>
    <cellStyle name="Normal 2 5 4 3 7" xfId="4710" xr:uid="{00000000-0005-0000-0000-000051110000}"/>
    <cellStyle name="Normal 2 5 4 3 7 2" xfId="13152" xr:uid="{5E87B311-3494-4296-B3E5-D66DC67364BD}"/>
    <cellStyle name="Normal 2 5 4 3 8" xfId="8934" xr:uid="{85EDA211-BBF6-48CD-B17E-D0E170246470}"/>
    <cellStyle name="Normal 2 5 4 4" xfId="804" xr:uid="{00000000-0005-0000-0000-000052110000}"/>
    <cellStyle name="Normal 2 5 4 4 2" xfId="3043" xr:uid="{00000000-0005-0000-0000-000053110000}"/>
    <cellStyle name="Normal 2 5 4 4 2 2" xfId="7266" xr:uid="{00000000-0005-0000-0000-000054110000}"/>
    <cellStyle name="Normal 2 5 4 4 2 2 2" xfId="15708" xr:uid="{B52908AA-BCDD-4A27-8011-8C17A2DC920A}"/>
    <cellStyle name="Normal 2 5 4 4 2 3" xfId="11490" xr:uid="{4A78304F-8792-4B99-A592-D48DEE5D2999}"/>
    <cellStyle name="Normal 2 5 4 4 3" xfId="5121" xr:uid="{00000000-0005-0000-0000-000055110000}"/>
    <cellStyle name="Normal 2 5 4 4 3 2" xfId="13563" xr:uid="{2D2868D6-1267-4275-8451-E1752C100C7A}"/>
    <cellStyle name="Normal 2 5 4 4 4" xfId="9345" xr:uid="{F55AABFD-C210-449B-A11A-A082FDD99FD3}"/>
    <cellStyle name="Normal 2 5 4 5" xfId="1226" xr:uid="{00000000-0005-0000-0000-000056110000}"/>
    <cellStyle name="Normal 2 5 4 5 2" xfId="3456" xr:uid="{00000000-0005-0000-0000-000057110000}"/>
    <cellStyle name="Normal 2 5 4 5 2 2" xfId="7679" xr:uid="{00000000-0005-0000-0000-000058110000}"/>
    <cellStyle name="Normal 2 5 4 5 2 2 2" xfId="16121" xr:uid="{C55F947A-9F99-4F5A-8C72-7877B1F511C0}"/>
    <cellStyle name="Normal 2 5 4 5 2 3" xfId="11903" xr:uid="{08CFE818-D665-4A57-9B1A-F609080C2350}"/>
    <cellStyle name="Normal 2 5 4 5 3" xfId="5534" xr:uid="{00000000-0005-0000-0000-000059110000}"/>
    <cellStyle name="Normal 2 5 4 5 3 2" xfId="13976" xr:uid="{0C912080-2769-4729-A032-67212FBE2DC9}"/>
    <cellStyle name="Normal 2 5 4 5 4" xfId="9758" xr:uid="{06AB2E55-E2F9-4D54-B260-1E964DD24C83}"/>
    <cellStyle name="Normal 2 5 4 6" xfId="1639" xr:uid="{00000000-0005-0000-0000-00005A110000}"/>
    <cellStyle name="Normal 2 5 4 6 2" xfId="3869" xr:uid="{00000000-0005-0000-0000-00005B110000}"/>
    <cellStyle name="Normal 2 5 4 6 2 2" xfId="8092" xr:uid="{00000000-0005-0000-0000-00005C110000}"/>
    <cellStyle name="Normal 2 5 4 6 2 2 2" xfId="16534" xr:uid="{BFA24694-FB7A-4742-BDBD-B8349EF203F3}"/>
    <cellStyle name="Normal 2 5 4 6 2 3" xfId="12316" xr:uid="{5C92BA3E-9757-400F-9D07-81ECFE55E1F5}"/>
    <cellStyle name="Normal 2 5 4 6 3" xfId="5947" xr:uid="{00000000-0005-0000-0000-00005D110000}"/>
    <cellStyle name="Normal 2 5 4 6 3 2" xfId="14389" xr:uid="{D5622E85-A5AB-4E2D-90B9-EA1B968392B6}"/>
    <cellStyle name="Normal 2 5 4 6 4" xfId="10171" xr:uid="{5AEC7316-73AB-4D97-89B7-8565B3663696}"/>
    <cellStyle name="Normal 2 5 4 7" xfId="2053" xr:uid="{00000000-0005-0000-0000-00005E110000}"/>
    <cellStyle name="Normal 2 5 4 7 2" xfId="4282" xr:uid="{00000000-0005-0000-0000-00005F110000}"/>
    <cellStyle name="Normal 2 5 4 7 2 2" xfId="8505" xr:uid="{00000000-0005-0000-0000-000060110000}"/>
    <cellStyle name="Normal 2 5 4 7 2 2 2" xfId="16947" xr:uid="{89CBDC66-9D3E-4BD7-A749-0731627DABE4}"/>
    <cellStyle name="Normal 2 5 4 7 2 3" xfId="12729" xr:uid="{84E0D3F1-F180-4651-8FF5-48992569EA35}"/>
    <cellStyle name="Normal 2 5 4 7 3" xfId="6360" xr:uid="{00000000-0005-0000-0000-000061110000}"/>
    <cellStyle name="Normal 2 5 4 7 3 2" xfId="14802" xr:uid="{97A65E6F-F266-4ED8-8489-D406A167B694}"/>
    <cellStyle name="Normal 2 5 4 7 4" xfId="10584" xr:uid="{D504DDC3-04EA-470E-87DF-0EC3E113A483}"/>
    <cellStyle name="Normal 2 5 4 8" xfId="2489" xr:uid="{00000000-0005-0000-0000-000062110000}"/>
    <cellStyle name="Normal 2 5 4 8 2" xfId="6773" xr:uid="{00000000-0005-0000-0000-000063110000}"/>
    <cellStyle name="Normal 2 5 4 8 2 2" xfId="15215" xr:uid="{9163A4B5-676E-4911-B69E-B4CB1F0593C9}"/>
    <cellStyle name="Normal 2 5 4 8 3" xfId="10997" xr:uid="{862B7E98-8A37-4A51-8488-DB0D27F0EC53}"/>
    <cellStyle name="Normal 2 5 4 9" xfId="4707" xr:uid="{00000000-0005-0000-0000-000064110000}"/>
    <cellStyle name="Normal 2 5 4 9 2" xfId="13149" xr:uid="{3A30E291-4D80-422A-BC9F-E06E4099F55A}"/>
    <cellStyle name="Normal 2 5 5" xfId="803" xr:uid="{00000000-0005-0000-0000-000065110000}"/>
    <cellStyle name="Normal 2 5 5 2" xfId="3042" xr:uid="{00000000-0005-0000-0000-000066110000}"/>
    <cellStyle name="Normal 2 5 5 2 2" xfId="7265" xr:uid="{00000000-0005-0000-0000-000067110000}"/>
    <cellStyle name="Normal 2 5 5 2 2 2" xfId="15707" xr:uid="{2545ECDE-9E25-4842-B371-1097611C63DC}"/>
    <cellStyle name="Normal 2 5 5 2 3" xfId="11489" xr:uid="{36C11B08-22AA-4890-85BF-5BCBF0674019}"/>
    <cellStyle name="Normal 2 5 5 3" xfId="5120" xr:uid="{00000000-0005-0000-0000-000068110000}"/>
    <cellStyle name="Normal 2 5 5 3 2" xfId="13562" xr:uid="{7E3974BE-310E-4655-806F-C0DC65D96C08}"/>
    <cellStyle name="Normal 2 5 5 4" xfId="9344" xr:uid="{B0BEBA8A-82A4-4AE9-A570-88ECB5B9F3E6}"/>
    <cellStyle name="Normal 2 5 6" xfId="1225" xr:uid="{00000000-0005-0000-0000-000069110000}"/>
    <cellStyle name="Normal 2 5 6 2" xfId="3455" xr:uid="{00000000-0005-0000-0000-00006A110000}"/>
    <cellStyle name="Normal 2 5 6 2 2" xfId="7678" xr:uid="{00000000-0005-0000-0000-00006B110000}"/>
    <cellStyle name="Normal 2 5 6 2 2 2" xfId="16120" xr:uid="{CACD19D0-838E-4AC0-836B-75A032F202A0}"/>
    <cellStyle name="Normal 2 5 6 2 3" xfId="11902" xr:uid="{92A06E6E-8A68-4F95-9663-91ECFD8A9856}"/>
    <cellStyle name="Normal 2 5 6 3" xfId="5533" xr:uid="{00000000-0005-0000-0000-00006C110000}"/>
    <cellStyle name="Normal 2 5 6 3 2" xfId="13975" xr:uid="{8D1C643D-3AA1-45D3-9953-25C583D6508E}"/>
    <cellStyle name="Normal 2 5 6 4" xfId="9757" xr:uid="{F5B42F18-7486-45DE-B014-76D8F58D1E76}"/>
    <cellStyle name="Normal 2 5 7" xfId="1638" xr:uid="{00000000-0005-0000-0000-00006D110000}"/>
    <cellStyle name="Normal 2 5 7 2" xfId="3868" xr:uid="{00000000-0005-0000-0000-00006E110000}"/>
    <cellStyle name="Normal 2 5 7 2 2" xfId="8091" xr:uid="{00000000-0005-0000-0000-00006F110000}"/>
    <cellStyle name="Normal 2 5 7 2 2 2" xfId="16533" xr:uid="{E4CB3B66-DF68-494E-9880-D7760D865D51}"/>
    <cellStyle name="Normal 2 5 7 2 3" xfId="12315" xr:uid="{378D0AB6-BDA1-4154-9929-4338A7B29717}"/>
    <cellStyle name="Normal 2 5 7 3" xfId="5946" xr:uid="{00000000-0005-0000-0000-000070110000}"/>
    <cellStyle name="Normal 2 5 7 3 2" xfId="14388" xr:uid="{96165B01-86F8-4EF1-86F6-FDF1690F0F4D}"/>
    <cellStyle name="Normal 2 5 7 4" xfId="10170" xr:uid="{F2597F22-F9E5-474F-A241-2C40EE7B1B0E}"/>
    <cellStyle name="Normal 2 5 8" xfId="2052" xr:uid="{00000000-0005-0000-0000-000071110000}"/>
    <cellStyle name="Normal 2 5 8 2" xfId="4281" xr:uid="{00000000-0005-0000-0000-000072110000}"/>
    <cellStyle name="Normal 2 5 8 2 2" xfId="8504" xr:uid="{00000000-0005-0000-0000-000073110000}"/>
    <cellStyle name="Normal 2 5 8 2 2 2" xfId="16946" xr:uid="{E09DEB21-59D4-4741-917E-FE5CB30635C9}"/>
    <cellStyle name="Normal 2 5 8 2 3" xfId="12728" xr:uid="{D730189A-0764-46D3-AA5A-C50AF99F1DD6}"/>
    <cellStyle name="Normal 2 5 8 3" xfId="6359" xr:uid="{00000000-0005-0000-0000-000074110000}"/>
    <cellStyle name="Normal 2 5 8 3 2" xfId="14801" xr:uid="{DE3ACA12-C531-4C68-B7E3-3B68FBED318E}"/>
    <cellStyle name="Normal 2 5 8 4" xfId="10583" xr:uid="{74558077-5BE9-4779-A5B3-66EA6EDA0F54}"/>
    <cellStyle name="Normal 2 5 9" xfId="2488" xr:uid="{00000000-0005-0000-0000-000075110000}"/>
    <cellStyle name="Normal 2 5 9 2" xfId="6772" xr:uid="{00000000-0005-0000-0000-000076110000}"/>
    <cellStyle name="Normal 2 5 9 2 2" xfId="15214" xr:uid="{F4BFAEA7-D669-4C77-A816-316DB3A39531}"/>
    <cellStyle name="Normal 2 5 9 3" xfId="10996" xr:uid="{B9EF2D08-02D6-477E-BC9D-3C5B5B0DAB2E}"/>
    <cellStyle name="Normal 2 6" xfId="322" xr:uid="{00000000-0005-0000-0000-000077110000}"/>
    <cellStyle name="Normal 2 7" xfId="769" xr:uid="{00000000-0005-0000-0000-000078110000}"/>
    <cellStyle name="Normal 2 8" xfId="4495" xr:uid="{00000000-0005-0000-0000-000079110000}"/>
    <cellStyle name="Normal 2 8 2" xfId="12940" xr:uid="{80DC74ED-5E75-4CFA-8E2C-296B7BDEA15A}"/>
    <cellStyle name="Normal 3" xfId="323" xr:uid="{00000000-0005-0000-0000-00007A110000}"/>
    <cellStyle name="Normal 3 2" xfId="324" xr:uid="{00000000-0005-0000-0000-00007B110000}"/>
    <cellStyle name="Normal 3 2 10" xfId="8935" xr:uid="{10324E25-4999-42A8-BF12-29CB40A49A5D}"/>
    <cellStyle name="Normal 3 2 2" xfId="325" xr:uid="{00000000-0005-0000-0000-00007C110000}"/>
    <cellStyle name="Normal 3 2 2 2" xfId="810" xr:uid="{00000000-0005-0000-0000-00007D110000}"/>
    <cellStyle name="Normal 3 2 3" xfId="326" xr:uid="{00000000-0005-0000-0000-00007E110000}"/>
    <cellStyle name="Normal 3 2 3 10" xfId="8936" xr:uid="{8DABF8FE-AADC-41CD-B94B-53A53BFB11BB}"/>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2 2 2" xfId="15715" xr:uid="{67427D44-19A0-47D9-9022-7FF84515BB0E}"/>
    <cellStyle name="Normal 3 2 3 2 2 2 2 3" xfId="11497" xr:uid="{D27B57B2-BD93-41F7-B7EB-A471865F675B}"/>
    <cellStyle name="Normal 3 2 3 2 2 2 3" xfId="5128" xr:uid="{00000000-0005-0000-0000-000084110000}"/>
    <cellStyle name="Normal 3 2 3 2 2 2 3 2" xfId="13570" xr:uid="{F3B0738D-3135-41A0-BC18-8493C5F7055A}"/>
    <cellStyle name="Normal 3 2 3 2 2 2 4" xfId="9352" xr:uid="{635BBD54-42CE-4668-ACEF-29505A3A709B}"/>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2 2 2" xfId="16128" xr:uid="{EA1A2DAD-09F0-4F9B-BCE6-79CACCC842C3}"/>
    <cellStyle name="Normal 3 2 3 2 2 3 2 3" xfId="11910" xr:uid="{99CBF648-C22F-4046-BA5B-E3622C1D8443}"/>
    <cellStyle name="Normal 3 2 3 2 2 3 3" xfId="5541" xr:uid="{00000000-0005-0000-0000-000088110000}"/>
    <cellStyle name="Normal 3 2 3 2 2 3 3 2" xfId="13983" xr:uid="{4BE1E8A7-3830-4753-B8BF-EE37F918E78C}"/>
    <cellStyle name="Normal 3 2 3 2 2 3 4" xfId="9765" xr:uid="{D801B3D6-4513-418C-B002-F02BE8251DE2}"/>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2 2 2" xfId="16541" xr:uid="{6FB85F40-F090-4F9A-BA16-C5DDD0D9372D}"/>
    <cellStyle name="Normal 3 2 3 2 2 4 2 3" xfId="12323" xr:uid="{F5822193-7058-4BBD-80D9-31CA6C79F3BB}"/>
    <cellStyle name="Normal 3 2 3 2 2 4 3" xfId="5954" xr:uid="{00000000-0005-0000-0000-00008C110000}"/>
    <cellStyle name="Normal 3 2 3 2 2 4 3 2" xfId="14396" xr:uid="{884DFF35-C8B7-4E28-AB2F-C75C8110FEF4}"/>
    <cellStyle name="Normal 3 2 3 2 2 4 4" xfId="10178" xr:uid="{C7F61F1B-DFD4-4FC6-BE42-80144E95601F}"/>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2 2 2" xfId="16954" xr:uid="{EC22C172-445A-4F39-8C84-865205EFBE1C}"/>
    <cellStyle name="Normal 3 2 3 2 2 5 2 3" xfId="12736" xr:uid="{97EF8958-10EA-4C54-AC2B-3CF8C0E0DA16}"/>
    <cellStyle name="Normal 3 2 3 2 2 5 3" xfId="6367" xr:uid="{00000000-0005-0000-0000-000090110000}"/>
    <cellStyle name="Normal 3 2 3 2 2 5 3 2" xfId="14809" xr:uid="{438266C4-3B1A-4560-8561-EDEEC51113B3}"/>
    <cellStyle name="Normal 3 2 3 2 2 5 4" xfId="10591" xr:uid="{604AEB02-441B-4F7B-8EA5-3A975148F2F2}"/>
    <cellStyle name="Normal 3 2 3 2 2 6" xfId="2496" xr:uid="{00000000-0005-0000-0000-000091110000}"/>
    <cellStyle name="Normal 3 2 3 2 2 6 2" xfId="6780" xr:uid="{00000000-0005-0000-0000-000092110000}"/>
    <cellStyle name="Normal 3 2 3 2 2 6 2 2" xfId="15222" xr:uid="{D9010388-361C-4FB7-98F4-E46C3D0B659A}"/>
    <cellStyle name="Normal 3 2 3 2 2 6 3" xfId="11004" xr:uid="{980A398B-52D7-4B3C-9AC1-5B8968F2E9FF}"/>
    <cellStyle name="Normal 3 2 3 2 2 7" xfId="4714" xr:uid="{00000000-0005-0000-0000-000093110000}"/>
    <cellStyle name="Normal 3 2 3 2 2 7 2" xfId="13156" xr:uid="{E71F8E93-1259-4E9F-8837-3A186BD71347}"/>
    <cellStyle name="Normal 3 2 3 2 2 8" xfId="8938" xr:uid="{66A84CF7-B885-4B30-B834-230EFF3EA9D4}"/>
    <cellStyle name="Normal 3 2 3 2 3" xfId="812" xr:uid="{00000000-0005-0000-0000-000094110000}"/>
    <cellStyle name="Normal 3 2 3 2 3 2" xfId="3049" xr:uid="{00000000-0005-0000-0000-000095110000}"/>
    <cellStyle name="Normal 3 2 3 2 3 2 2" xfId="7272" xr:uid="{00000000-0005-0000-0000-000096110000}"/>
    <cellStyle name="Normal 3 2 3 2 3 2 2 2" xfId="15714" xr:uid="{B8F3BAD4-3121-45D6-BD13-0C4B5ECAB104}"/>
    <cellStyle name="Normal 3 2 3 2 3 2 3" xfId="11496" xr:uid="{13E97629-6AAE-4A27-873C-3ABE2B9BCFFB}"/>
    <cellStyle name="Normal 3 2 3 2 3 3" xfId="5127" xr:uid="{00000000-0005-0000-0000-000097110000}"/>
    <cellStyle name="Normal 3 2 3 2 3 3 2" xfId="13569" xr:uid="{C91BD33E-C8B2-4F72-9EC8-93B9851E2E1D}"/>
    <cellStyle name="Normal 3 2 3 2 3 4" xfId="9351" xr:uid="{A9072955-5DC7-46FD-AD3E-937B67DF9BEC}"/>
    <cellStyle name="Normal 3 2 3 2 4" xfId="1232" xr:uid="{00000000-0005-0000-0000-000098110000}"/>
    <cellStyle name="Normal 3 2 3 2 4 2" xfId="3462" xr:uid="{00000000-0005-0000-0000-000099110000}"/>
    <cellStyle name="Normal 3 2 3 2 4 2 2" xfId="7685" xr:uid="{00000000-0005-0000-0000-00009A110000}"/>
    <cellStyle name="Normal 3 2 3 2 4 2 2 2" xfId="16127" xr:uid="{ADDF52FA-639C-4F1F-951B-9ABC11FF65B6}"/>
    <cellStyle name="Normal 3 2 3 2 4 2 3" xfId="11909" xr:uid="{72893439-4393-4DD5-A43C-0BEC87BE676E}"/>
    <cellStyle name="Normal 3 2 3 2 4 3" xfId="5540" xr:uid="{00000000-0005-0000-0000-00009B110000}"/>
    <cellStyle name="Normal 3 2 3 2 4 3 2" xfId="13982" xr:uid="{A14D5A5B-30B3-4C41-ACE4-BC1ECB9F661B}"/>
    <cellStyle name="Normal 3 2 3 2 4 4" xfId="9764" xr:uid="{88026BCB-C491-4DCF-B693-C31CB31CB50A}"/>
    <cellStyle name="Normal 3 2 3 2 5" xfId="1645" xr:uid="{00000000-0005-0000-0000-00009C110000}"/>
    <cellStyle name="Normal 3 2 3 2 5 2" xfId="3875" xr:uid="{00000000-0005-0000-0000-00009D110000}"/>
    <cellStyle name="Normal 3 2 3 2 5 2 2" xfId="8098" xr:uid="{00000000-0005-0000-0000-00009E110000}"/>
    <cellStyle name="Normal 3 2 3 2 5 2 2 2" xfId="16540" xr:uid="{86599F81-3B63-401E-BBF0-C0760F5C0A6E}"/>
    <cellStyle name="Normal 3 2 3 2 5 2 3" xfId="12322" xr:uid="{B4F78D7A-F9F1-4772-BA88-5D72A4ED0E91}"/>
    <cellStyle name="Normal 3 2 3 2 5 3" xfId="5953" xr:uid="{00000000-0005-0000-0000-00009F110000}"/>
    <cellStyle name="Normal 3 2 3 2 5 3 2" xfId="14395" xr:uid="{9F4CD3FC-D761-4EDA-AC8D-E324254E8E48}"/>
    <cellStyle name="Normal 3 2 3 2 5 4" xfId="10177" xr:uid="{1DC48B14-6EF6-4958-B71A-17EC8BBF5C5F}"/>
    <cellStyle name="Normal 3 2 3 2 6" xfId="2059" xr:uid="{00000000-0005-0000-0000-0000A0110000}"/>
    <cellStyle name="Normal 3 2 3 2 6 2" xfId="4288" xr:uid="{00000000-0005-0000-0000-0000A1110000}"/>
    <cellStyle name="Normal 3 2 3 2 6 2 2" xfId="8511" xr:uid="{00000000-0005-0000-0000-0000A2110000}"/>
    <cellStyle name="Normal 3 2 3 2 6 2 2 2" xfId="16953" xr:uid="{6FDAC69F-B5EB-471B-8CAA-99B2BF537A28}"/>
    <cellStyle name="Normal 3 2 3 2 6 2 3" xfId="12735" xr:uid="{E4C704D8-BD39-40EC-8E3B-5BA0FA6A9761}"/>
    <cellStyle name="Normal 3 2 3 2 6 3" xfId="6366" xr:uid="{00000000-0005-0000-0000-0000A3110000}"/>
    <cellStyle name="Normal 3 2 3 2 6 3 2" xfId="14808" xr:uid="{1A877A06-7967-48E7-9D5A-ABCF092B64AD}"/>
    <cellStyle name="Normal 3 2 3 2 6 4" xfId="10590" xr:uid="{D9B6E819-0A28-4D21-8C13-777667B8294F}"/>
    <cellStyle name="Normal 3 2 3 2 7" xfId="2495" xr:uid="{00000000-0005-0000-0000-0000A4110000}"/>
    <cellStyle name="Normal 3 2 3 2 7 2" xfId="6779" xr:uid="{00000000-0005-0000-0000-0000A5110000}"/>
    <cellStyle name="Normal 3 2 3 2 7 2 2" xfId="15221" xr:uid="{14F6D1F8-0246-491B-9973-C845677517B7}"/>
    <cellStyle name="Normal 3 2 3 2 7 3" xfId="11003" xr:uid="{3D73E0BD-A756-4BBD-BA4F-0429A38825C6}"/>
    <cellStyle name="Normal 3 2 3 2 8" xfId="4713" xr:uid="{00000000-0005-0000-0000-0000A6110000}"/>
    <cellStyle name="Normal 3 2 3 2 8 2" xfId="13155" xr:uid="{20A41566-A279-4B84-8DDF-8E275DE6FBBD}"/>
    <cellStyle name="Normal 3 2 3 2 9" xfId="8937" xr:uid="{CFC75232-7984-4AAB-BC30-D1FAEF0A35BF}"/>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2 2 2" xfId="15716" xr:uid="{477BE3EE-FE94-4DD1-9D28-40D68ED9C64C}"/>
    <cellStyle name="Normal 3 2 3 3 2 2 3" xfId="11498" xr:uid="{42178CA9-7F53-4DB4-BDD1-5B03EB652F8D}"/>
    <cellStyle name="Normal 3 2 3 3 2 3" xfId="5129" xr:uid="{00000000-0005-0000-0000-0000AB110000}"/>
    <cellStyle name="Normal 3 2 3 3 2 3 2" xfId="13571" xr:uid="{00D29ECB-5CB1-44BB-9652-897C783C2DDE}"/>
    <cellStyle name="Normal 3 2 3 3 2 4" xfId="9353" xr:uid="{9C0E815D-D0CB-4226-8FCD-5C5779E001B4}"/>
    <cellStyle name="Normal 3 2 3 3 3" xfId="1234" xr:uid="{00000000-0005-0000-0000-0000AC110000}"/>
    <cellStyle name="Normal 3 2 3 3 3 2" xfId="3464" xr:uid="{00000000-0005-0000-0000-0000AD110000}"/>
    <cellStyle name="Normal 3 2 3 3 3 2 2" xfId="7687" xr:uid="{00000000-0005-0000-0000-0000AE110000}"/>
    <cellStyle name="Normal 3 2 3 3 3 2 2 2" xfId="16129" xr:uid="{16CEC168-4859-4C9D-86E3-2366C6A2757C}"/>
    <cellStyle name="Normal 3 2 3 3 3 2 3" xfId="11911" xr:uid="{D8523BF2-A4FC-46B8-8D78-48D4DFA1B845}"/>
    <cellStyle name="Normal 3 2 3 3 3 3" xfId="5542" xr:uid="{00000000-0005-0000-0000-0000AF110000}"/>
    <cellStyle name="Normal 3 2 3 3 3 3 2" xfId="13984" xr:uid="{D8BBFDDE-55D0-424C-8813-05AF118CF7DC}"/>
    <cellStyle name="Normal 3 2 3 3 3 4" xfId="9766" xr:uid="{6D18DCB7-AE1D-428F-9583-DBC604EBF5AE}"/>
    <cellStyle name="Normal 3 2 3 3 4" xfId="1647" xr:uid="{00000000-0005-0000-0000-0000B0110000}"/>
    <cellStyle name="Normal 3 2 3 3 4 2" xfId="3877" xr:uid="{00000000-0005-0000-0000-0000B1110000}"/>
    <cellStyle name="Normal 3 2 3 3 4 2 2" xfId="8100" xr:uid="{00000000-0005-0000-0000-0000B2110000}"/>
    <cellStyle name="Normal 3 2 3 3 4 2 2 2" xfId="16542" xr:uid="{89006CAF-F499-48FA-A022-6272AA7E027E}"/>
    <cellStyle name="Normal 3 2 3 3 4 2 3" xfId="12324" xr:uid="{0B3CD9AD-F4CF-44DC-84DB-125093F26C8A}"/>
    <cellStyle name="Normal 3 2 3 3 4 3" xfId="5955" xr:uid="{00000000-0005-0000-0000-0000B3110000}"/>
    <cellStyle name="Normal 3 2 3 3 4 3 2" xfId="14397" xr:uid="{E0BE3559-29FA-456B-97AF-E15BA2B50CFF}"/>
    <cellStyle name="Normal 3 2 3 3 4 4" xfId="10179" xr:uid="{3A8107B2-BB6F-4590-9D74-0052982D1B34}"/>
    <cellStyle name="Normal 3 2 3 3 5" xfId="2061" xr:uid="{00000000-0005-0000-0000-0000B4110000}"/>
    <cellStyle name="Normal 3 2 3 3 5 2" xfId="4290" xr:uid="{00000000-0005-0000-0000-0000B5110000}"/>
    <cellStyle name="Normal 3 2 3 3 5 2 2" xfId="8513" xr:uid="{00000000-0005-0000-0000-0000B6110000}"/>
    <cellStyle name="Normal 3 2 3 3 5 2 2 2" xfId="16955" xr:uid="{B0F26203-81F8-45CF-9BC6-622488BCE4DE}"/>
    <cellStyle name="Normal 3 2 3 3 5 2 3" xfId="12737" xr:uid="{345E68E8-F4F5-4759-AD5E-A4BA292F5CEB}"/>
    <cellStyle name="Normal 3 2 3 3 5 3" xfId="6368" xr:uid="{00000000-0005-0000-0000-0000B7110000}"/>
    <cellStyle name="Normal 3 2 3 3 5 3 2" xfId="14810" xr:uid="{761E2B62-FB54-4AF6-A4D8-FCE75B29BA74}"/>
    <cellStyle name="Normal 3 2 3 3 5 4" xfId="10592" xr:uid="{A169D0C4-2CBB-4FD4-8C9B-2BF543BEB160}"/>
    <cellStyle name="Normal 3 2 3 3 6" xfId="2497" xr:uid="{00000000-0005-0000-0000-0000B8110000}"/>
    <cellStyle name="Normal 3 2 3 3 6 2" xfId="6781" xr:uid="{00000000-0005-0000-0000-0000B9110000}"/>
    <cellStyle name="Normal 3 2 3 3 6 2 2" xfId="15223" xr:uid="{98AB0DC1-1853-4D2D-AEA3-D7A6434E8CBF}"/>
    <cellStyle name="Normal 3 2 3 3 6 3" xfId="11005" xr:uid="{66B2F9A0-5405-44DD-BE86-C9BE4E1F5585}"/>
    <cellStyle name="Normal 3 2 3 3 7" xfId="4715" xr:uid="{00000000-0005-0000-0000-0000BA110000}"/>
    <cellStyle name="Normal 3 2 3 3 7 2" xfId="13157" xr:uid="{C929C68B-451C-4598-9AB8-1BAFD2A23969}"/>
    <cellStyle name="Normal 3 2 3 3 8" xfId="8939" xr:uid="{94050095-40FF-426E-9C24-38A7C7C88DC6}"/>
    <cellStyle name="Normal 3 2 3 4" xfId="811" xr:uid="{00000000-0005-0000-0000-0000BB110000}"/>
    <cellStyle name="Normal 3 2 3 4 2" xfId="3048" xr:uid="{00000000-0005-0000-0000-0000BC110000}"/>
    <cellStyle name="Normal 3 2 3 4 2 2" xfId="7271" xr:uid="{00000000-0005-0000-0000-0000BD110000}"/>
    <cellStyle name="Normal 3 2 3 4 2 2 2" xfId="15713" xr:uid="{DF2E6EEE-7A45-4EBF-82E3-05BC8011A28F}"/>
    <cellStyle name="Normal 3 2 3 4 2 3" xfId="11495" xr:uid="{58E62620-06B3-40E7-A5D2-438E0B6D0F75}"/>
    <cellStyle name="Normal 3 2 3 4 3" xfId="5126" xr:uid="{00000000-0005-0000-0000-0000BE110000}"/>
    <cellStyle name="Normal 3 2 3 4 3 2" xfId="13568" xr:uid="{18468C2F-28BF-476F-8AB2-AF1B3298E5EC}"/>
    <cellStyle name="Normal 3 2 3 4 4" xfId="9350" xr:uid="{AD6D4E32-4B85-4EB2-9DD5-1AFB7DEB166C}"/>
    <cellStyle name="Normal 3 2 3 5" xfId="1231" xr:uid="{00000000-0005-0000-0000-0000BF110000}"/>
    <cellStyle name="Normal 3 2 3 5 2" xfId="3461" xr:uid="{00000000-0005-0000-0000-0000C0110000}"/>
    <cellStyle name="Normal 3 2 3 5 2 2" xfId="7684" xr:uid="{00000000-0005-0000-0000-0000C1110000}"/>
    <cellStyle name="Normal 3 2 3 5 2 2 2" xfId="16126" xr:uid="{B2780DA4-2C9E-4753-8114-1D63C18A64A6}"/>
    <cellStyle name="Normal 3 2 3 5 2 3" xfId="11908" xr:uid="{4CF3CE1A-DA19-44FF-8745-64BBB3E91226}"/>
    <cellStyle name="Normal 3 2 3 5 3" xfId="5539" xr:uid="{00000000-0005-0000-0000-0000C2110000}"/>
    <cellStyle name="Normal 3 2 3 5 3 2" xfId="13981" xr:uid="{41B06231-395F-43C5-8E01-0846E5CCCC29}"/>
    <cellStyle name="Normal 3 2 3 5 4" xfId="9763" xr:uid="{57595541-A4F1-4F3B-B429-6CF1BA5BF687}"/>
    <cellStyle name="Normal 3 2 3 6" xfId="1644" xr:uid="{00000000-0005-0000-0000-0000C3110000}"/>
    <cellStyle name="Normal 3 2 3 6 2" xfId="3874" xr:uid="{00000000-0005-0000-0000-0000C4110000}"/>
    <cellStyle name="Normal 3 2 3 6 2 2" xfId="8097" xr:uid="{00000000-0005-0000-0000-0000C5110000}"/>
    <cellStyle name="Normal 3 2 3 6 2 2 2" xfId="16539" xr:uid="{622E9C36-A8B9-49D2-AE39-04D49992FB3D}"/>
    <cellStyle name="Normal 3 2 3 6 2 3" xfId="12321" xr:uid="{2484E28A-A2EF-433F-9447-CD05893279BC}"/>
    <cellStyle name="Normal 3 2 3 6 3" xfId="5952" xr:uid="{00000000-0005-0000-0000-0000C6110000}"/>
    <cellStyle name="Normal 3 2 3 6 3 2" xfId="14394" xr:uid="{1808D493-121A-46E4-83E2-6A8056863DA2}"/>
    <cellStyle name="Normal 3 2 3 6 4" xfId="10176" xr:uid="{E61E96DE-EAFF-4BA8-B0EC-0EF59B2BF606}"/>
    <cellStyle name="Normal 3 2 3 7" xfId="2058" xr:uid="{00000000-0005-0000-0000-0000C7110000}"/>
    <cellStyle name="Normal 3 2 3 7 2" xfId="4287" xr:uid="{00000000-0005-0000-0000-0000C8110000}"/>
    <cellStyle name="Normal 3 2 3 7 2 2" xfId="8510" xr:uid="{00000000-0005-0000-0000-0000C9110000}"/>
    <cellStyle name="Normal 3 2 3 7 2 2 2" xfId="16952" xr:uid="{C12A8EDA-4EE1-4395-AE03-448535DC09A9}"/>
    <cellStyle name="Normal 3 2 3 7 2 3" xfId="12734" xr:uid="{9B818529-00D7-43B2-8EBD-6A12E0508CB8}"/>
    <cellStyle name="Normal 3 2 3 7 3" xfId="6365" xr:uid="{00000000-0005-0000-0000-0000CA110000}"/>
    <cellStyle name="Normal 3 2 3 7 3 2" xfId="14807" xr:uid="{206F429A-3797-45B3-9555-C30B2702780E}"/>
    <cellStyle name="Normal 3 2 3 7 4" xfId="10589" xr:uid="{EB10C1F4-2694-4D61-8748-B2EFF55DF791}"/>
    <cellStyle name="Normal 3 2 3 8" xfId="2494" xr:uid="{00000000-0005-0000-0000-0000CB110000}"/>
    <cellStyle name="Normal 3 2 3 8 2" xfId="6778" xr:uid="{00000000-0005-0000-0000-0000CC110000}"/>
    <cellStyle name="Normal 3 2 3 8 2 2" xfId="15220" xr:uid="{A01CAB56-33D6-44B7-9C57-084E9BB3BCFD}"/>
    <cellStyle name="Normal 3 2 3 8 3" xfId="11002" xr:uid="{EE2A7407-1CE3-4F8D-B9F8-D0C54AC2EBBD}"/>
    <cellStyle name="Normal 3 2 3 9" xfId="4712" xr:uid="{00000000-0005-0000-0000-0000CD110000}"/>
    <cellStyle name="Normal 3 2 3 9 2" xfId="13154" xr:uid="{A168FC43-E09B-4C1E-A7CC-AA829372F972}"/>
    <cellStyle name="Normal 3 2 4" xfId="809" xr:uid="{00000000-0005-0000-0000-0000CE110000}"/>
    <cellStyle name="Normal 3 2 4 2" xfId="3047" xr:uid="{00000000-0005-0000-0000-0000CF110000}"/>
    <cellStyle name="Normal 3 2 4 2 2" xfId="7270" xr:uid="{00000000-0005-0000-0000-0000D0110000}"/>
    <cellStyle name="Normal 3 2 4 2 2 2" xfId="15712" xr:uid="{F56484D8-997B-479C-9F13-1BA2975350E7}"/>
    <cellStyle name="Normal 3 2 4 2 3" xfId="11494" xr:uid="{03234CE0-EB2F-4EA2-BC80-D83FB821E469}"/>
    <cellStyle name="Normal 3 2 4 3" xfId="5125" xr:uid="{00000000-0005-0000-0000-0000D1110000}"/>
    <cellStyle name="Normal 3 2 4 3 2" xfId="13567" xr:uid="{BB5331E8-EA04-4971-947F-92DDB15AC07F}"/>
    <cellStyle name="Normal 3 2 4 4" xfId="9349" xr:uid="{2E359FEB-7E24-4F39-8DC1-80E339A04A7B}"/>
    <cellStyle name="Normal 3 2 5" xfId="1230" xr:uid="{00000000-0005-0000-0000-0000D2110000}"/>
    <cellStyle name="Normal 3 2 5 2" xfId="3460" xr:uid="{00000000-0005-0000-0000-0000D3110000}"/>
    <cellStyle name="Normal 3 2 5 2 2" xfId="7683" xr:uid="{00000000-0005-0000-0000-0000D4110000}"/>
    <cellStyle name="Normal 3 2 5 2 2 2" xfId="16125" xr:uid="{06A650DB-2EE7-4C87-9AB5-FD67A5751F13}"/>
    <cellStyle name="Normal 3 2 5 2 3" xfId="11907" xr:uid="{09E56FCF-9FF4-4F25-B4DA-B62641E4DC10}"/>
    <cellStyle name="Normal 3 2 5 3" xfId="5538" xr:uid="{00000000-0005-0000-0000-0000D5110000}"/>
    <cellStyle name="Normal 3 2 5 3 2" xfId="13980" xr:uid="{D4A9ED08-EB7C-4CCA-BA81-8B9C80E57A56}"/>
    <cellStyle name="Normal 3 2 5 4" xfId="9762" xr:uid="{B279A809-5A68-4F80-A306-CC96BED513AC}"/>
    <cellStyle name="Normal 3 2 6" xfId="1643" xr:uid="{00000000-0005-0000-0000-0000D6110000}"/>
    <cellStyle name="Normal 3 2 6 2" xfId="3873" xr:uid="{00000000-0005-0000-0000-0000D7110000}"/>
    <cellStyle name="Normal 3 2 6 2 2" xfId="8096" xr:uid="{00000000-0005-0000-0000-0000D8110000}"/>
    <cellStyle name="Normal 3 2 6 2 2 2" xfId="16538" xr:uid="{16401DBC-8513-4D7B-A304-62A42A531192}"/>
    <cellStyle name="Normal 3 2 6 2 3" xfId="12320" xr:uid="{224E3C96-6323-45DC-BC54-CD271ED0247E}"/>
    <cellStyle name="Normal 3 2 6 3" xfId="5951" xr:uid="{00000000-0005-0000-0000-0000D9110000}"/>
    <cellStyle name="Normal 3 2 6 3 2" xfId="14393" xr:uid="{6FFCBF86-2C75-429B-8F37-5576316A3F50}"/>
    <cellStyle name="Normal 3 2 6 4" xfId="10175" xr:uid="{1A24D4C8-6E13-408E-88AC-5E5D6C9B0B62}"/>
    <cellStyle name="Normal 3 2 7" xfId="2057" xr:uid="{00000000-0005-0000-0000-0000DA110000}"/>
    <cellStyle name="Normal 3 2 7 2" xfId="4286" xr:uid="{00000000-0005-0000-0000-0000DB110000}"/>
    <cellStyle name="Normal 3 2 7 2 2" xfId="8509" xr:uid="{00000000-0005-0000-0000-0000DC110000}"/>
    <cellStyle name="Normal 3 2 7 2 2 2" xfId="16951" xr:uid="{ECBCE04D-892F-427F-80DC-0DAC909FAB92}"/>
    <cellStyle name="Normal 3 2 7 2 3" xfId="12733" xr:uid="{6736A6DB-78FF-432C-A10E-60BD739C287A}"/>
    <cellStyle name="Normal 3 2 7 3" xfId="6364" xr:uid="{00000000-0005-0000-0000-0000DD110000}"/>
    <cellStyle name="Normal 3 2 7 3 2" xfId="14806" xr:uid="{959657FE-38E0-4A10-998F-49A4473EA20E}"/>
    <cellStyle name="Normal 3 2 7 4" xfId="10588" xr:uid="{B30F26B0-D9F3-4E8F-89AD-B07A0BBC1A79}"/>
    <cellStyle name="Normal 3 2 8" xfId="2493" xr:uid="{00000000-0005-0000-0000-0000DE110000}"/>
    <cellStyle name="Normal 3 2 8 2" xfId="6777" xr:uid="{00000000-0005-0000-0000-0000DF110000}"/>
    <cellStyle name="Normal 3 2 8 2 2" xfId="15219" xr:uid="{3978665C-FD7A-49ED-BA48-34E8F429D96C}"/>
    <cellStyle name="Normal 3 2 8 3" xfId="11001" xr:uid="{171D1EAA-2E13-4C71-99E3-F17EF4C9BBD1}"/>
    <cellStyle name="Normal 3 2 9" xfId="4711" xr:uid="{00000000-0005-0000-0000-0000E0110000}"/>
    <cellStyle name="Normal 3 2 9 2" xfId="13153" xr:uid="{FDFBD063-8255-4396-9411-B53661701735}"/>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10" xfId="8940" xr:uid="{A2913C50-19A6-4291-B964-37AE6594ADD5}"/>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2 2 2" xfId="16956" xr:uid="{AF4EE780-7625-434D-ADCE-0C8BB7ACF8BA}"/>
    <cellStyle name="Normal 4 2 2 10 2 3" xfId="12738" xr:uid="{33FB4499-1375-4278-9A77-C2349C83DBFF}"/>
    <cellStyle name="Normal 4 2 2 10 3" xfId="6369" xr:uid="{00000000-0005-0000-0000-0000ED110000}"/>
    <cellStyle name="Normal 4 2 2 10 3 2" xfId="14811" xr:uid="{2133C05D-B3FA-4C34-AE31-6AF98B12A07B}"/>
    <cellStyle name="Normal 4 2 2 10 4" xfId="10593" xr:uid="{6B5C8373-F5C3-4300-B3AB-725E459E4737}"/>
    <cellStyle name="Normal 4 2 2 11" xfId="2498" xr:uid="{00000000-0005-0000-0000-0000EE110000}"/>
    <cellStyle name="Normal 4 2 2 11 2" xfId="6782" xr:uid="{00000000-0005-0000-0000-0000EF110000}"/>
    <cellStyle name="Normal 4 2 2 11 2 2" xfId="15224" xr:uid="{7FF94BA3-C2CD-4B7C-B5B3-E4213206E860}"/>
    <cellStyle name="Normal 4 2 2 11 3" xfId="11006" xr:uid="{A7F05B91-78CE-4A9A-8A9A-9DAA22781B39}"/>
    <cellStyle name="Normal 4 2 2 12" xfId="4717" xr:uid="{00000000-0005-0000-0000-0000F0110000}"/>
    <cellStyle name="Normal 4 2 2 12 2" xfId="13159" xr:uid="{B6A26419-95F1-468F-9AD8-9CE8808601DA}"/>
    <cellStyle name="Normal 4 2 2 13" xfId="8941" xr:uid="{D0E1D030-7DEE-438E-B976-1243446CCC55}"/>
    <cellStyle name="Normal 4 2 2 2" xfId="338" xr:uid="{00000000-0005-0000-0000-0000F1110000}"/>
    <cellStyle name="Normal 4 2 2 3" xfId="339" xr:uid="{00000000-0005-0000-0000-0000F2110000}"/>
    <cellStyle name="Normal 4 2 2 3 10" xfId="4718" xr:uid="{00000000-0005-0000-0000-0000F3110000}"/>
    <cellStyle name="Normal 4 2 2 3 10 2" xfId="13160" xr:uid="{F55FD402-FE41-4024-B667-E5F871EA733E}"/>
    <cellStyle name="Normal 4 2 2 3 11" xfId="8942" xr:uid="{57D2EBA3-1444-444C-8532-BB28B7DF2B9A}"/>
    <cellStyle name="Normal 4 2 2 3 2" xfId="340" xr:uid="{00000000-0005-0000-0000-0000F4110000}"/>
    <cellStyle name="Normal 4 2 2 3 2 10" xfId="8943" xr:uid="{41B4CC81-228D-4448-B912-C9A70957A7B8}"/>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2 2 2" xfId="15721" xr:uid="{6278CC25-4B10-45D2-949E-CB4239AD2CD2}"/>
    <cellStyle name="Normal 4 2 2 3 2 2 2 2 2 3" xfId="11503" xr:uid="{2209499C-68FA-41C6-BFED-2D0BBDE2AA3C}"/>
    <cellStyle name="Normal 4 2 2 3 2 2 2 2 3" xfId="5134" xr:uid="{00000000-0005-0000-0000-0000FA110000}"/>
    <cellStyle name="Normal 4 2 2 3 2 2 2 2 3 2" xfId="13576" xr:uid="{9F283087-C2AC-4193-889D-A8D9DF08138C}"/>
    <cellStyle name="Normal 4 2 2 3 2 2 2 2 4" xfId="9358" xr:uid="{7008FEC4-2499-49E3-886E-FB4CCFFB252A}"/>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2 2 2" xfId="16134" xr:uid="{6E46F1BD-862D-4E72-839B-A90538F8C134}"/>
    <cellStyle name="Normal 4 2 2 3 2 2 2 3 2 3" xfId="11916" xr:uid="{5A74E1C0-E808-49A8-BAB9-2AE7BE620DDA}"/>
    <cellStyle name="Normal 4 2 2 3 2 2 2 3 3" xfId="5547" xr:uid="{00000000-0005-0000-0000-0000FE110000}"/>
    <cellStyle name="Normal 4 2 2 3 2 2 2 3 3 2" xfId="13989" xr:uid="{9A4BB86B-A777-49F2-A48B-37E9C70C2600}"/>
    <cellStyle name="Normal 4 2 2 3 2 2 2 3 4" xfId="9771" xr:uid="{D1AF2388-35FF-4EEA-9968-D4BE9E1B7931}"/>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2 2 2" xfId="16547" xr:uid="{146D440C-25C5-4424-94AE-F1ED6D00F5E1}"/>
    <cellStyle name="Normal 4 2 2 3 2 2 2 4 2 3" xfId="12329" xr:uid="{3092BA08-818C-4FFB-9022-B638E20167C0}"/>
    <cellStyle name="Normal 4 2 2 3 2 2 2 4 3" xfId="5960" xr:uid="{00000000-0005-0000-0000-000002120000}"/>
    <cellStyle name="Normal 4 2 2 3 2 2 2 4 3 2" xfId="14402" xr:uid="{3A0B1278-E15A-4E7C-A39A-36B652167D8A}"/>
    <cellStyle name="Normal 4 2 2 3 2 2 2 4 4" xfId="10184" xr:uid="{54A67BDE-DFA1-4FE2-9FA3-CB9FE8CAD4F9}"/>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2 2 2" xfId="16960" xr:uid="{F6AB2E07-CD26-4D4F-9FE6-482292ABA045}"/>
    <cellStyle name="Normal 4 2 2 3 2 2 2 5 2 3" xfId="12742" xr:uid="{EBA0680D-79BB-46C4-89D4-E24585887433}"/>
    <cellStyle name="Normal 4 2 2 3 2 2 2 5 3" xfId="6373" xr:uid="{00000000-0005-0000-0000-000006120000}"/>
    <cellStyle name="Normal 4 2 2 3 2 2 2 5 3 2" xfId="14815" xr:uid="{8A8A6505-7234-4BF7-8FD8-7537A9BCB50F}"/>
    <cellStyle name="Normal 4 2 2 3 2 2 2 5 4" xfId="10597" xr:uid="{04D450C8-C5D2-415D-A8FA-B9614C55C28D}"/>
    <cellStyle name="Normal 4 2 2 3 2 2 2 6" xfId="2502" xr:uid="{00000000-0005-0000-0000-000007120000}"/>
    <cellStyle name="Normal 4 2 2 3 2 2 2 6 2" xfId="6786" xr:uid="{00000000-0005-0000-0000-000008120000}"/>
    <cellStyle name="Normal 4 2 2 3 2 2 2 6 2 2" xfId="15228" xr:uid="{5C469637-EC1F-42D6-B314-3BA00AAFE860}"/>
    <cellStyle name="Normal 4 2 2 3 2 2 2 6 3" xfId="11010" xr:uid="{6F393750-8FC1-49E4-B30A-1EDDFE9D5F85}"/>
    <cellStyle name="Normal 4 2 2 3 2 2 2 7" xfId="4721" xr:uid="{00000000-0005-0000-0000-000009120000}"/>
    <cellStyle name="Normal 4 2 2 3 2 2 2 7 2" xfId="13163" xr:uid="{6BBECFE6-4073-4EBB-BE1D-05EC45F868CD}"/>
    <cellStyle name="Normal 4 2 2 3 2 2 2 8" xfId="8945" xr:uid="{5F4C76E0-F8F4-4231-ADBC-0DBD1810AFA3}"/>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2 2 2" xfId="15720" xr:uid="{19C341F1-5FDA-46B0-B9AF-2468C3D78E87}"/>
    <cellStyle name="Normal 4 2 2 3 2 2 3 2 3" xfId="11502" xr:uid="{73910B5E-6AFD-4FC5-86F0-ACFDA5C4C097}"/>
    <cellStyle name="Normal 4 2 2 3 2 2 3 3" xfId="5133" xr:uid="{00000000-0005-0000-0000-00000D120000}"/>
    <cellStyle name="Normal 4 2 2 3 2 2 3 3 2" xfId="13575" xr:uid="{530B2FE0-E190-4CBD-807B-0F7013E42745}"/>
    <cellStyle name="Normal 4 2 2 3 2 2 3 4" xfId="9357" xr:uid="{3D5F9E69-7C8E-4877-9A9B-84078A91EE53}"/>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2 2 2" xfId="16133" xr:uid="{C5833EA8-7895-4EC6-9E92-A0514F0B8CC8}"/>
    <cellStyle name="Normal 4 2 2 3 2 2 4 2 3" xfId="11915" xr:uid="{7D186391-43CB-4DDD-BD70-2BAAB96453B2}"/>
    <cellStyle name="Normal 4 2 2 3 2 2 4 3" xfId="5546" xr:uid="{00000000-0005-0000-0000-000011120000}"/>
    <cellStyle name="Normal 4 2 2 3 2 2 4 3 2" xfId="13988" xr:uid="{6EA7E876-4465-466B-83C0-7AC3A2DBCDBE}"/>
    <cellStyle name="Normal 4 2 2 3 2 2 4 4" xfId="9770" xr:uid="{735B5F8F-2E45-4BBA-911B-8C40CB54AA1D}"/>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2 2 2" xfId="16546" xr:uid="{1E3F0B57-A77A-4452-BEDE-2FDA25F35C1C}"/>
    <cellStyle name="Normal 4 2 2 3 2 2 5 2 3" xfId="12328" xr:uid="{FBE8B0A0-5C47-4A76-860B-A1978D0FEA11}"/>
    <cellStyle name="Normal 4 2 2 3 2 2 5 3" xfId="5959" xr:uid="{00000000-0005-0000-0000-000015120000}"/>
    <cellStyle name="Normal 4 2 2 3 2 2 5 3 2" xfId="14401" xr:uid="{DFFEF19D-B559-4841-A764-6440F1E3B096}"/>
    <cellStyle name="Normal 4 2 2 3 2 2 5 4" xfId="10183" xr:uid="{E3B4A351-D217-43C8-B99E-2B1FB9332C7A}"/>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2 2 2" xfId="16959" xr:uid="{3589A3B7-2702-40FE-8C99-872E4C581D68}"/>
    <cellStyle name="Normal 4 2 2 3 2 2 6 2 3" xfId="12741" xr:uid="{94B6D9E5-11C9-4326-AA6A-4172BB725278}"/>
    <cellStyle name="Normal 4 2 2 3 2 2 6 3" xfId="6372" xr:uid="{00000000-0005-0000-0000-000019120000}"/>
    <cellStyle name="Normal 4 2 2 3 2 2 6 3 2" xfId="14814" xr:uid="{28888750-9BB4-4FF1-9F39-7E7D5989B5ED}"/>
    <cellStyle name="Normal 4 2 2 3 2 2 6 4" xfId="10596" xr:uid="{BA3D3409-AF20-488E-A22E-DE638F2769F7}"/>
    <cellStyle name="Normal 4 2 2 3 2 2 7" xfId="2501" xr:uid="{00000000-0005-0000-0000-00001A120000}"/>
    <cellStyle name="Normal 4 2 2 3 2 2 7 2" xfId="6785" xr:uid="{00000000-0005-0000-0000-00001B120000}"/>
    <cellStyle name="Normal 4 2 2 3 2 2 7 2 2" xfId="15227" xr:uid="{FF2C6C2C-CFB1-4373-8E48-6E5FC99B10C2}"/>
    <cellStyle name="Normal 4 2 2 3 2 2 7 3" xfId="11009" xr:uid="{6DC81EFC-9E2D-42B5-8700-A2A359347ECF}"/>
    <cellStyle name="Normal 4 2 2 3 2 2 8" xfId="4720" xr:uid="{00000000-0005-0000-0000-00001C120000}"/>
    <cellStyle name="Normal 4 2 2 3 2 2 8 2" xfId="13162" xr:uid="{2169837E-B323-4F8F-8B49-8D3422A4EC0E}"/>
    <cellStyle name="Normal 4 2 2 3 2 2 9" xfId="8944" xr:uid="{18C02E42-363E-43DE-8109-759F950645EF}"/>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2 2 2" xfId="15722" xr:uid="{D1783815-E47F-42E0-9D69-DA4E2F618C60}"/>
    <cellStyle name="Normal 4 2 2 3 2 3 2 2 3" xfId="11504" xr:uid="{47B85A0C-95D3-47F7-9705-E70BB4068EF7}"/>
    <cellStyle name="Normal 4 2 2 3 2 3 2 3" xfId="5135" xr:uid="{00000000-0005-0000-0000-000021120000}"/>
    <cellStyle name="Normal 4 2 2 3 2 3 2 3 2" xfId="13577" xr:uid="{3D72CB07-D483-4EA8-A6D1-592739BBF26C}"/>
    <cellStyle name="Normal 4 2 2 3 2 3 2 4" xfId="9359" xr:uid="{951D9728-35A9-48DC-8108-62E2305DEA97}"/>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2 2 2" xfId="16135" xr:uid="{093D6A91-8870-4D91-A076-9D74E8206BEA}"/>
    <cellStyle name="Normal 4 2 2 3 2 3 3 2 3" xfId="11917" xr:uid="{CCEB083F-697F-4D08-B2A5-FC35D184039B}"/>
    <cellStyle name="Normal 4 2 2 3 2 3 3 3" xfId="5548" xr:uid="{00000000-0005-0000-0000-000025120000}"/>
    <cellStyle name="Normal 4 2 2 3 2 3 3 3 2" xfId="13990" xr:uid="{126687B5-77AE-4E49-BA53-428EBC4AB726}"/>
    <cellStyle name="Normal 4 2 2 3 2 3 3 4" xfId="9772" xr:uid="{6EC8482D-BFD8-45D1-BB2D-9AE3C7020452}"/>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2 2 2" xfId="16548" xr:uid="{F89D3E60-D49F-447F-A3F7-B4A7750E574C}"/>
    <cellStyle name="Normal 4 2 2 3 2 3 4 2 3" xfId="12330" xr:uid="{4EE2E26B-CADD-4383-8CD5-D6B54ABCCD95}"/>
    <cellStyle name="Normal 4 2 2 3 2 3 4 3" xfId="5961" xr:uid="{00000000-0005-0000-0000-000029120000}"/>
    <cellStyle name="Normal 4 2 2 3 2 3 4 3 2" xfId="14403" xr:uid="{41FD5522-B1DE-4D16-9851-CD92E8E5E8D7}"/>
    <cellStyle name="Normal 4 2 2 3 2 3 4 4" xfId="10185" xr:uid="{ED0E1A02-DC78-426F-8A42-FA9E3D0FA3CB}"/>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2 2 2" xfId="16961" xr:uid="{825F1EBA-138A-4939-AB8F-D3DEEA423306}"/>
    <cellStyle name="Normal 4 2 2 3 2 3 5 2 3" xfId="12743" xr:uid="{7F906242-692C-4311-A98E-7346235EE435}"/>
    <cellStyle name="Normal 4 2 2 3 2 3 5 3" xfId="6374" xr:uid="{00000000-0005-0000-0000-00002D120000}"/>
    <cellStyle name="Normal 4 2 2 3 2 3 5 3 2" xfId="14816" xr:uid="{E32F3DA0-EFCC-4C75-8AF0-063A4E35FE23}"/>
    <cellStyle name="Normal 4 2 2 3 2 3 5 4" xfId="10598" xr:uid="{F7263466-1DA5-4AB4-8349-64B409EA8888}"/>
    <cellStyle name="Normal 4 2 2 3 2 3 6" xfId="2503" xr:uid="{00000000-0005-0000-0000-00002E120000}"/>
    <cellStyle name="Normal 4 2 2 3 2 3 6 2" xfId="6787" xr:uid="{00000000-0005-0000-0000-00002F120000}"/>
    <cellStyle name="Normal 4 2 2 3 2 3 6 2 2" xfId="15229" xr:uid="{14E29D65-D659-4A30-B373-26A757E76421}"/>
    <cellStyle name="Normal 4 2 2 3 2 3 6 3" xfId="11011" xr:uid="{F890BC5C-F280-4CFA-BCB7-62CB1E03212F}"/>
    <cellStyle name="Normal 4 2 2 3 2 3 7" xfId="4722" xr:uid="{00000000-0005-0000-0000-000030120000}"/>
    <cellStyle name="Normal 4 2 2 3 2 3 7 2" xfId="13164" xr:uid="{9385DFAC-54E9-412F-A81C-5B90583FD5DC}"/>
    <cellStyle name="Normal 4 2 2 3 2 3 8" xfId="8946" xr:uid="{F3B9847C-AE34-4132-838B-370F3102DF3E}"/>
    <cellStyle name="Normal 4 2 2 3 2 4" xfId="817" xr:uid="{00000000-0005-0000-0000-000031120000}"/>
    <cellStyle name="Normal 4 2 2 3 2 4 2" xfId="3054" xr:uid="{00000000-0005-0000-0000-000032120000}"/>
    <cellStyle name="Normal 4 2 2 3 2 4 2 2" xfId="7277" xr:uid="{00000000-0005-0000-0000-000033120000}"/>
    <cellStyle name="Normal 4 2 2 3 2 4 2 2 2" xfId="15719" xr:uid="{FD96AC65-C9BA-4889-8D36-272495BE0200}"/>
    <cellStyle name="Normal 4 2 2 3 2 4 2 3" xfId="11501" xr:uid="{22217EBF-28F1-4D0C-97B5-5FFDA1BC404A}"/>
    <cellStyle name="Normal 4 2 2 3 2 4 3" xfId="5132" xr:uid="{00000000-0005-0000-0000-000034120000}"/>
    <cellStyle name="Normal 4 2 2 3 2 4 3 2" xfId="13574" xr:uid="{0EB29054-5AB8-4A9F-B33D-0175286E4A49}"/>
    <cellStyle name="Normal 4 2 2 3 2 4 4" xfId="9356" xr:uid="{C196D616-F921-46B1-B1B5-0360AB2CF902}"/>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2 2 2" xfId="16132" xr:uid="{66104A93-185B-4C7B-A8D8-AA07C7A6D190}"/>
    <cellStyle name="Normal 4 2 2 3 2 5 2 3" xfId="11914" xr:uid="{1336E0E1-EB9A-4427-B82A-D27FC033D98D}"/>
    <cellStyle name="Normal 4 2 2 3 2 5 3" xfId="5545" xr:uid="{00000000-0005-0000-0000-000038120000}"/>
    <cellStyle name="Normal 4 2 2 3 2 5 3 2" xfId="13987" xr:uid="{2666A3C9-CC66-4262-A521-809F60FC75AC}"/>
    <cellStyle name="Normal 4 2 2 3 2 5 4" xfId="9769" xr:uid="{FEEA5725-F35D-4B64-843D-DB76523A0D36}"/>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2 2 2" xfId="16545" xr:uid="{82A075E7-4708-47CF-A194-40FAB476AA61}"/>
    <cellStyle name="Normal 4 2 2 3 2 6 2 3" xfId="12327" xr:uid="{C510EBCA-EADD-4020-A17C-443C287773FE}"/>
    <cellStyle name="Normal 4 2 2 3 2 6 3" xfId="5958" xr:uid="{00000000-0005-0000-0000-00003C120000}"/>
    <cellStyle name="Normal 4 2 2 3 2 6 3 2" xfId="14400" xr:uid="{747CF441-B88E-42A9-859E-80C2AE29F18E}"/>
    <cellStyle name="Normal 4 2 2 3 2 6 4" xfId="10182" xr:uid="{24B59548-E1E2-4617-97FA-F14333853B8B}"/>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2 2 2" xfId="16958" xr:uid="{A0AD07F4-A844-4C6A-B823-0D7CFB040FCF}"/>
    <cellStyle name="Normal 4 2 2 3 2 7 2 3" xfId="12740" xr:uid="{57CDC95D-C8E3-4EE0-8D96-8FC4B42DE478}"/>
    <cellStyle name="Normal 4 2 2 3 2 7 3" xfId="6371" xr:uid="{00000000-0005-0000-0000-000040120000}"/>
    <cellStyle name="Normal 4 2 2 3 2 7 3 2" xfId="14813" xr:uid="{92565E63-4D9A-4228-842B-31EAF4D263DD}"/>
    <cellStyle name="Normal 4 2 2 3 2 7 4" xfId="10595" xr:uid="{76E34B23-42FF-49CB-8DEF-50EB2CCAF4D8}"/>
    <cellStyle name="Normal 4 2 2 3 2 8" xfId="2500" xr:uid="{00000000-0005-0000-0000-000041120000}"/>
    <cellStyle name="Normal 4 2 2 3 2 8 2" xfId="6784" xr:uid="{00000000-0005-0000-0000-000042120000}"/>
    <cellStyle name="Normal 4 2 2 3 2 8 2 2" xfId="15226" xr:uid="{5F86AD75-4406-4162-B10D-87D1D8910580}"/>
    <cellStyle name="Normal 4 2 2 3 2 8 3" xfId="11008" xr:uid="{275293BF-5233-4B98-9B3A-9CEDE6A8A01C}"/>
    <cellStyle name="Normal 4 2 2 3 2 9" xfId="4719" xr:uid="{00000000-0005-0000-0000-000043120000}"/>
    <cellStyle name="Normal 4 2 2 3 2 9 2" xfId="13161" xr:uid="{02523A82-C0C2-4DA0-8858-1C933C1C1A92}"/>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2 2 2" xfId="15724" xr:uid="{60992062-356F-4DC2-8A5A-62DFAFFDAFD0}"/>
    <cellStyle name="Normal 4 2 2 3 3 2 2 2 3" xfId="11506" xr:uid="{26166BF4-41D0-4A05-A63E-F44E49C5664A}"/>
    <cellStyle name="Normal 4 2 2 3 3 2 2 3" xfId="5137" xr:uid="{00000000-0005-0000-0000-000049120000}"/>
    <cellStyle name="Normal 4 2 2 3 3 2 2 3 2" xfId="13579" xr:uid="{034966C1-B959-410C-99A4-F99A1320045C}"/>
    <cellStyle name="Normal 4 2 2 3 3 2 2 4" xfId="9361" xr:uid="{962AB9F5-F52C-4B29-8C1B-EF93D9BBB77E}"/>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2 2 2" xfId="16137" xr:uid="{7223B033-1E0C-4774-84E3-1ED0B4162ECC}"/>
    <cellStyle name="Normal 4 2 2 3 3 2 3 2 3" xfId="11919" xr:uid="{8313FEB6-21B4-4E2C-ABA1-D95B35D854C6}"/>
    <cellStyle name="Normal 4 2 2 3 3 2 3 3" xfId="5550" xr:uid="{00000000-0005-0000-0000-00004D120000}"/>
    <cellStyle name="Normal 4 2 2 3 3 2 3 3 2" xfId="13992" xr:uid="{BE6272AD-BD6A-4140-A6E5-9CB4D407A64D}"/>
    <cellStyle name="Normal 4 2 2 3 3 2 3 4" xfId="9774" xr:uid="{7B6F590C-C3F1-45FE-B8CA-BD5868B56071}"/>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2 2 2" xfId="16550" xr:uid="{992F6E8A-38B0-4C23-8FC5-6031158FFA84}"/>
    <cellStyle name="Normal 4 2 2 3 3 2 4 2 3" xfId="12332" xr:uid="{2DFB8A70-E182-4F94-8EA2-468D7DE9DF14}"/>
    <cellStyle name="Normal 4 2 2 3 3 2 4 3" xfId="5963" xr:uid="{00000000-0005-0000-0000-000051120000}"/>
    <cellStyle name="Normal 4 2 2 3 3 2 4 3 2" xfId="14405" xr:uid="{CEA3BF41-7CFB-4183-A7E6-8CD9D6013B88}"/>
    <cellStyle name="Normal 4 2 2 3 3 2 4 4" xfId="10187" xr:uid="{91287FED-5B76-4485-A62C-BA4B35E44C78}"/>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2 2 2" xfId="16963" xr:uid="{7D53C993-3B7D-4B49-A3BC-2E449A07CBE9}"/>
    <cellStyle name="Normal 4 2 2 3 3 2 5 2 3" xfId="12745" xr:uid="{AE420020-FE79-4936-A28D-30AC67F54F40}"/>
    <cellStyle name="Normal 4 2 2 3 3 2 5 3" xfId="6376" xr:uid="{00000000-0005-0000-0000-000055120000}"/>
    <cellStyle name="Normal 4 2 2 3 3 2 5 3 2" xfId="14818" xr:uid="{89659F94-6FC7-49AE-8AE0-56C9C6A41038}"/>
    <cellStyle name="Normal 4 2 2 3 3 2 5 4" xfId="10600" xr:uid="{06F435FA-E6BC-4941-B160-A2493870F461}"/>
    <cellStyle name="Normal 4 2 2 3 3 2 6" xfId="2505" xr:uid="{00000000-0005-0000-0000-000056120000}"/>
    <cellStyle name="Normal 4 2 2 3 3 2 6 2" xfId="6789" xr:uid="{00000000-0005-0000-0000-000057120000}"/>
    <cellStyle name="Normal 4 2 2 3 3 2 6 2 2" xfId="15231" xr:uid="{F13536F8-3203-4443-A50D-ED29C0D57FC1}"/>
    <cellStyle name="Normal 4 2 2 3 3 2 6 3" xfId="11013" xr:uid="{0938C4AD-88DF-4FC5-B9BD-7E90F0D8219E}"/>
    <cellStyle name="Normal 4 2 2 3 3 2 7" xfId="4724" xr:uid="{00000000-0005-0000-0000-000058120000}"/>
    <cellStyle name="Normal 4 2 2 3 3 2 7 2" xfId="13166" xr:uid="{7B80D50F-92B9-4B16-B125-1404F155994E}"/>
    <cellStyle name="Normal 4 2 2 3 3 2 8" xfId="8948" xr:uid="{EC5CF3DC-B199-498D-9B8E-D8CEE393CE11}"/>
    <cellStyle name="Normal 4 2 2 3 3 3" xfId="821" xr:uid="{00000000-0005-0000-0000-000059120000}"/>
    <cellStyle name="Normal 4 2 2 3 3 3 2" xfId="3058" xr:uid="{00000000-0005-0000-0000-00005A120000}"/>
    <cellStyle name="Normal 4 2 2 3 3 3 2 2" xfId="7281" xr:uid="{00000000-0005-0000-0000-00005B120000}"/>
    <cellStyle name="Normal 4 2 2 3 3 3 2 2 2" xfId="15723" xr:uid="{75368DF0-5E14-4124-84D3-0563934B739D}"/>
    <cellStyle name="Normal 4 2 2 3 3 3 2 3" xfId="11505" xr:uid="{48622089-7C1B-43DE-9D97-BD31683EC7EE}"/>
    <cellStyle name="Normal 4 2 2 3 3 3 3" xfId="5136" xr:uid="{00000000-0005-0000-0000-00005C120000}"/>
    <cellStyle name="Normal 4 2 2 3 3 3 3 2" xfId="13578" xr:uid="{20A6B6BA-6279-4CA1-8D3B-DAB5748DB929}"/>
    <cellStyle name="Normal 4 2 2 3 3 3 4" xfId="9360" xr:uid="{7E24AE2B-15AE-4BBB-9A61-882F9269FE5B}"/>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2 2 2" xfId="16136" xr:uid="{98253224-7481-46AB-AB9F-77849154EB68}"/>
    <cellStyle name="Normal 4 2 2 3 3 4 2 3" xfId="11918" xr:uid="{A6413090-3C06-4EF9-8688-020D19D136DB}"/>
    <cellStyle name="Normal 4 2 2 3 3 4 3" xfId="5549" xr:uid="{00000000-0005-0000-0000-000060120000}"/>
    <cellStyle name="Normal 4 2 2 3 3 4 3 2" xfId="13991" xr:uid="{5E77547B-9E1F-42CD-BF0B-6D520DA77DDF}"/>
    <cellStyle name="Normal 4 2 2 3 3 4 4" xfId="9773" xr:uid="{F5578DB1-6F27-4EB4-B02E-F55E9C49A2BB}"/>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2 2 2" xfId="16549" xr:uid="{C06FC0D0-C970-455D-A763-046EE5A5513F}"/>
    <cellStyle name="Normal 4 2 2 3 3 5 2 3" xfId="12331" xr:uid="{64AD98A7-3ED4-448A-A405-A52B0A54EF8E}"/>
    <cellStyle name="Normal 4 2 2 3 3 5 3" xfId="5962" xr:uid="{00000000-0005-0000-0000-000064120000}"/>
    <cellStyle name="Normal 4 2 2 3 3 5 3 2" xfId="14404" xr:uid="{B3DC2C8D-E6DE-47F5-8A0B-3118D61F21F0}"/>
    <cellStyle name="Normal 4 2 2 3 3 5 4" xfId="10186" xr:uid="{92BF3CFD-589D-48E3-A5B0-46170BC0E7EC}"/>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2 2 2" xfId="16962" xr:uid="{DE325272-6A02-4F55-9661-4D0B7BCBCD14}"/>
    <cellStyle name="Normal 4 2 2 3 3 6 2 3" xfId="12744" xr:uid="{38B5E086-FE74-49DF-86D7-80A59FB2BDE5}"/>
    <cellStyle name="Normal 4 2 2 3 3 6 3" xfId="6375" xr:uid="{00000000-0005-0000-0000-000068120000}"/>
    <cellStyle name="Normal 4 2 2 3 3 6 3 2" xfId="14817" xr:uid="{E6EB0F5C-DD6E-4CCC-BF21-C7B2A63E0EAE}"/>
    <cellStyle name="Normal 4 2 2 3 3 6 4" xfId="10599" xr:uid="{39961C97-6FBD-4F33-A2B5-419CCE693C9D}"/>
    <cellStyle name="Normal 4 2 2 3 3 7" xfId="2504" xr:uid="{00000000-0005-0000-0000-000069120000}"/>
    <cellStyle name="Normal 4 2 2 3 3 7 2" xfId="6788" xr:uid="{00000000-0005-0000-0000-00006A120000}"/>
    <cellStyle name="Normal 4 2 2 3 3 7 2 2" xfId="15230" xr:uid="{8F78783E-0D4E-416D-BA19-80C346263E76}"/>
    <cellStyle name="Normal 4 2 2 3 3 7 3" xfId="11012" xr:uid="{7FF9D908-BAF9-43B9-8414-111AE78C8C1B}"/>
    <cellStyle name="Normal 4 2 2 3 3 8" xfId="4723" xr:uid="{00000000-0005-0000-0000-00006B120000}"/>
    <cellStyle name="Normal 4 2 2 3 3 8 2" xfId="13165" xr:uid="{B5DBF8E0-5009-4FFC-B0BD-8655C6929779}"/>
    <cellStyle name="Normal 4 2 2 3 3 9" xfId="8947" xr:uid="{72B728CE-6001-418A-AA24-1A489AB87FFB}"/>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2 2 2" xfId="15725" xr:uid="{2AB25CD9-6431-49CF-95DF-A7E068EAC471}"/>
    <cellStyle name="Normal 4 2 2 3 4 2 2 3" xfId="11507" xr:uid="{62AF8E87-A27C-41A1-83F2-772C870F7B80}"/>
    <cellStyle name="Normal 4 2 2 3 4 2 3" xfId="5138" xr:uid="{00000000-0005-0000-0000-000070120000}"/>
    <cellStyle name="Normal 4 2 2 3 4 2 3 2" xfId="13580" xr:uid="{56FBC516-E873-4F37-8C30-270032920BC2}"/>
    <cellStyle name="Normal 4 2 2 3 4 2 4" xfId="9362" xr:uid="{79CE6856-5D67-4083-9972-66BD394B905E}"/>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2 2 2" xfId="16138" xr:uid="{1B00E12E-9EA3-40FC-8C66-FB1BF04E8A6B}"/>
    <cellStyle name="Normal 4 2 2 3 4 3 2 3" xfId="11920" xr:uid="{2CD4F650-D4B2-4D08-B933-9C256F1DB664}"/>
    <cellStyle name="Normal 4 2 2 3 4 3 3" xfId="5551" xr:uid="{00000000-0005-0000-0000-000074120000}"/>
    <cellStyle name="Normal 4 2 2 3 4 3 3 2" xfId="13993" xr:uid="{0BE96920-E9B6-46C2-B4B1-A84E1AD3E4B7}"/>
    <cellStyle name="Normal 4 2 2 3 4 3 4" xfId="9775" xr:uid="{9C4688E1-6073-42C4-9680-4F24D6570D7F}"/>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2 2 2" xfId="16551" xr:uid="{00696A4C-377A-4285-B441-7A9F08D13A54}"/>
    <cellStyle name="Normal 4 2 2 3 4 4 2 3" xfId="12333" xr:uid="{1826CD5A-0317-46D4-A3FC-D15ED6ABFE5B}"/>
    <cellStyle name="Normal 4 2 2 3 4 4 3" xfId="5964" xr:uid="{00000000-0005-0000-0000-000078120000}"/>
    <cellStyle name="Normal 4 2 2 3 4 4 3 2" xfId="14406" xr:uid="{696EF150-78D1-4C5F-BE05-6E26B260EDB6}"/>
    <cellStyle name="Normal 4 2 2 3 4 4 4" xfId="10188" xr:uid="{11C8D75F-432D-4A60-BB31-0A2AC5104656}"/>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2 2 2" xfId="16964" xr:uid="{65D3AB3E-FA87-4DC3-8812-8138947EA303}"/>
    <cellStyle name="Normal 4 2 2 3 4 5 2 3" xfId="12746" xr:uid="{020A989E-F964-44A5-BA48-DE1D8043122F}"/>
    <cellStyle name="Normal 4 2 2 3 4 5 3" xfId="6377" xr:uid="{00000000-0005-0000-0000-00007C120000}"/>
    <cellStyle name="Normal 4 2 2 3 4 5 3 2" xfId="14819" xr:uid="{764C6FB8-7696-4A80-8CD8-33BD154F4A3F}"/>
    <cellStyle name="Normal 4 2 2 3 4 5 4" xfId="10601" xr:uid="{08F8BEB4-F6B6-4E9D-8050-93EF0CCA8216}"/>
    <cellStyle name="Normal 4 2 2 3 4 6" xfId="2506" xr:uid="{00000000-0005-0000-0000-00007D120000}"/>
    <cellStyle name="Normal 4 2 2 3 4 6 2" xfId="6790" xr:uid="{00000000-0005-0000-0000-00007E120000}"/>
    <cellStyle name="Normal 4 2 2 3 4 6 2 2" xfId="15232" xr:uid="{BE2927C8-A018-4800-A068-DCB4E70CF5D8}"/>
    <cellStyle name="Normal 4 2 2 3 4 6 3" xfId="11014" xr:uid="{E78E62D1-1D4D-42D3-8503-EE7BEBEDCD0D}"/>
    <cellStyle name="Normal 4 2 2 3 4 7" xfId="4725" xr:uid="{00000000-0005-0000-0000-00007F120000}"/>
    <cellStyle name="Normal 4 2 2 3 4 7 2" xfId="13167" xr:uid="{34D2FFB8-6171-411E-8FA8-FADE23F02C63}"/>
    <cellStyle name="Normal 4 2 2 3 4 8" xfId="8949" xr:uid="{F633904E-6385-435B-A727-4E073002EA14}"/>
    <cellStyle name="Normal 4 2 2 3 5" xfId="816" xr:uid="{00000000-0005-0000-0000-000080120000}"/>
    <cellStyle name="Normal 4 2 2 3 5 2" xfId="3053" xr:uid="{00000000-0005-0000-0000-000081120000}"/>
    <cellStyle name="Normal 4 2 2 3 5 2 2" xfId="7276" xr:uid="{00000000-0005-0000-0000-000082120000}"/>
    <cellStyle name="Normal 4 2 2 3 5 2 2 2" xfId="15718" xr:uid="{6387DBAB-14B9-40DF-80E8-5FAC4E72C6CB}"/>
    <cellStyle name="Normal 4 2 2 3 5 2 3" xfId="11500" xr:uid="{BA78FE46-2AA0-47AE-9B2F-711BD766D8C8}"/>
    <cellStyle name="Normal 4 2 2 3 5 3" xfId="5131" xr:uid="{00000000-0005-0000-0000-000083120000}"/>
    <cellStyle name="Normal 4 2 2 3 5 3 2" xfId="13573" xr:uid="{068641D7-564F-4DDB-88E4-0D7CD69AC154}"/>
    <cellStyle name="Normal 4 2 2 3 5 4" xfId="9355" xr:uid="{8A900F0F-0646-4270-B6D6-41C61E1A7206}"/>
    <cellStyle name="Normal 4 2 2 3 6" xfId="1236" xr:uid="{00000000-0005-0000-0000-000084120000}"/>
    <cellStyle name="Normal 4 2 2 3 6 2" xfId="3466" xr:uid="{00000000-0005-0000-0000-000085120000}"/>
    <cellStyle name="Normal 4 2 2 3 6 2 2" xfId="7689" xr:uid="{00000000-0005-0000-0000-000086120000}"/>
    <cellStyle name="Normal 4 2 2 3 6 2 2 2" xfId="16131" xr:uid="{B8C8D5BB-A2DD-491F-8AB5-31AAF7119268}"/>
    <cellStyle name="Normal 4 2 2 3 6 2 3" xfId="11913" xr:uid="{BD14ADC4-950F-4E90-889B-1AE8EB901D07}"/>
    <cellStyle name="Normal 4 2 2 3 6 3" xfId="5544" xr:uid="{00000000-0005-0000-0000-000087120000}"/>
    <cellStyle name="Normal 4 2 2 3 6 3 2" xfId="13986" xr:uid="{A96594C0-A98E-47E9-9D06-AA24D3E796C3}"/>
    <cellStyle name="Normal 4 2 2 3 6 4" xfId="9768" xr:uid="{E9034424-B8BB-4C1F-8479-BB441BEB45FD}"/>
    <cellStyle name="Normal 4 2 2 3 7" xfId="1649" xr:uid="{00000000-0005-0000-0000-000088120000}"/>
    <cellStyle name="Normal 4 2 2 3 7 2" xfId="3879" xr:uid="{00000000-0005-0000-0000-000089120000}"/>
    <cellStyle name="Normal 4 2 2 3 7 2 2" xfId="8102" xr:uid="{00000000-0005-0000-0000-00008A120000}"/>
    <cellStyle name="Normal 4 2 2 3 7 2 2 2" xfId="16544" xr:uid="{C1323226-F8E7-4BE3-8309-6FB9B18924E7}"/>
    <cellStyle name="Normal 4 2 2 3 7 2 3" xfId="12326" xr:uid="{66D0122D-BCEE-4ABD-A692-1FECFD08D433}"/>
    <cellStyle name="Normal 4 2 2 3 7 3" xfId="5957" xr:uid="{00000000-0005-0000-0000-00008B120000}"/>
    <cellStyle name="Normal 4 2 2 3 7 3 2" xfId="14399" xr:uid="{F7851D1A-73E7-4844-8032-15E4863A8D5A}"/>
    <cellStyle name="Normal 4 2 2 3 7 4" xfId="10181" xr:uid="{487ED92A-8F4D-4610-A531-9A5F52CBFFA5}"/>
    <cellStyle name="Normal 4 2 2 3 8" xfId="2063" xr:uid="{00000000-0005-0000-0000-00008C120000}"/>
    <cellStyle name="Normal 4 2 2 3 8 2" xfId="4292" xr:uid="{00000000-0005-0000-0000-00008D120000}"/>
    <cellStyle name="Normal 4 2 2 3 8 2 2" xfId="8515" xr:uid="{00000000-0005-0000-0000-00008E120000}"/>
    <cellStyle name="Normal 4 2 2 3 8 2 2 2" xfId="16957" xr:uid="{C2E7B28C-F51F-4EED-8AC8-0EC101819115}"/>
    <cellStyle name="Normal 4 2 2 3 8 2 3" xfId="12739" xr:uid="{07EB7108-45BC-4BE1-BB45-B2E1E4391FD0}"/>
    <cellStyle name="Normal 4 2 2 3 8 3" xfId="6370" xr:uid="{00000000-0005-0000-0000-00008F120000}"/>
    <cellStyle name="Normal 4 2 2 3 8 3 2" xfId="14812" xr:uid="{7C6722B4-9483-4251-B64D-C3688AF962BD}"/>
    <cellStyle name="Normal 4 2 2 3 8 4" xfId="10594" xr:uid="{1FA940F8-FDA0-42DE-A5C6-B0B5D1341144}"/>
    <cellStyle name="Normal 4 2 2 3 9" xfId="2499" xr:uid="{00000000-0005-0000-0000-000090120000}"/>
    <cellStyle name="Normal 4 2 2 3 9 2" xfId="6783" xr:uid="{00000000-0005-0000-0000-000091120000}"/>
    <cellStyle name="Normal 4 2 2 3 9 2 2" xfId="15225" xr:uid="{9BAC66C2-F4D5-4FAB-9593-D47CAC0ABC2F}"/>
    <cellStyle name="Normal 4 2 2 3 9 3" xfId="11007" xr:uid="{EAEC36F7-6A70-4A9B-9EB8-0D845CA6EAF7}"/>
    <cellStyle name="Normal 4 2 2 4" xfId="347" xr:uid="{00000000-0005-0000-0000-000092120000}"/>
    <cellStyle name="Normal 4 2 2 4 10" xfId="8950" xr:uid="{7AE4120E-81C6-405C-9E03-11AEA7DDAD9C}"/>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2 2 2" xfId="15728" xr:uid="{74855B26-A088-425B-BFFB-D6380894B510}"/>
    <cellStyle name="Normal 4 2 2 4 2 2 2 2 3" xfId="11510" xr:uid="{0E96B95C-8E9E-4C7C-8B8A-9D5B320731D4}"/>
    <cellStyle name="Normal 4 2 2 4 2 2 2 3" xfId="5141" xr:uid="{00000000-0005-0000-0000-000098120000}"/>
    <cellStyle name="Normal 4 2 2 4 2 2 2 3 2" xfId="13583" xr:uid="{44C995ED-D1B2-450F-8C5A-9E0F995948D3}"/>
    <cellStyle name="Normal 4 2 2 4 2 2 2 4" xfId="9365" xr:uid="{6FF31B2D-87B5-4106-BDA2-885E9557321C}"/>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2 2 2" xfId="16141" xr:uid="{796C4066-6B22-48B1-A3BE-18880FD5533F}"/>
    <cellStyle name="Normal 4 2 2 4 2 2 3 2 3" xfId="11923" xr:uid="{5E674C85-A246-4F14-95AB-B627E1F239B2}"/>
    <cellStyle name="Normal 4 2 2 4 2 2 3 3" xfId="5554" xr:uid="{00000000-0005-0000-0000-00009C120000}"/>
    <cellStyle name="Normal 4 2 2 4 2 2 3 3 2" xfId="13996" xr:uid="{8611F35E-84C1-442C-B981-528E0746ACCA}"/>
    <cellStyle name="Normal 4 2 2 4 2 2 3 4" xfId="9778" xr:uid="{4D661A97-8861-44B9-9A70-DC0341B0908A}"/>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2 2 2" xfId="16554" xr:uid="{246A6752-AB16-40A2-9E48-A84A15956A4C}"/>
    <cellStyle name="Normal 4 2 2 4 2 2 4 2 3" xfId="12336" xr:uid="{9C5ED96F-6509-4A43-B8F0-F587B757684A}"/>
    <cellStyle name="Normal 4 2 2 4 2 2 4 3" xfId="5967" xr:uid="{00000000-0005-0000-0000-0000A0120000}"/>
    <cellStyle name="Normal 4 2 2 4 2 2 4 3 2" xfId="14409" xr:uid="{A4EDEB08-7B92-440E-B3B4-C3194F57EF3B}"/>
    <cellStyle name="Normal 4 2 2 4 2 2 4 4" xfId="10191" xr:uid="{2CF11B75-C17A-41FC-9AE7-004B3CAD90FF}"/>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2 2 2" xfId="16967" xr:uid="{EFED134E-08FD-4CDB-8FB1-66A00188EB1F}"/>
    <cellStyle name="Normal 4 2 2 4 2 2 5 2 3" xfId="12749" xr:uid="{E864C2CD-B314-409A-8DCE-537C4A904C9A}"/>
    <cellStyle name="Normal 4 2 2 4 2 2 5 3" xfId="6380" xr:uid="{00000000-0005-0000-0000-0000A4120000}"/>
    <cellStyle name="Normal 4 2 2 4 2 2 5 3 2" xfId="14822" xr:uid="{F0E195E9-1B08-4C68-A6FC-2850A2470377}"/>
    <cellStyle name="Normal 4 2 2 4 2 2 5 4" xfId="10604" xr:uid="{53877373-595B-4CE6-BD55-52D56912EA5A}"/>
    <cellStyle name="Normal 4 2 2 4 2 2 6" xfId="2509" xr:uid="{00000000-0005-0000-0000-0000A5120000}"/>
    <cellStyle name="Normal 4 2 2 4 2 2 6 2" xfId="6793" xr:uid="{00000000-0005-0000-0000-0000A6120000}"/>
    <cellStyle name="Normal 4 2 2 4 2 2 6 2 2" xfId="15235" xr:uid="{06B1472F-48FB-4245-B941-96C6D3701274}"/>
    <cellStyle name="Normal 4 2 2 4 2 2 6 3" xfId="11017" xr:uid="{7A3BF8CC-61E7-448D-8E5F-5B3C463BE31B}"/>
    <cellStyle name="Normal 4 2 2 4 2 2 7" xfId="4728" xr:uid="{00000000-0005-0000-0000-0000A7120000}"/>
    <cellStyle name="Normal 4 2 2 4 2 2 7 2" xfId="13170" xr:uid="{E6ACA0F0-D9C0-4D05-83D3-26DC7B17BA9D}"/>
    <cellStyle name="Normal 4 2 2 4 2 2 8" xfId="8952" xr:uid="{4E574B5D-6710-43E3-8451-A2734A58E302}"/>
    <cellStyle name="Normal 4 2 2 4 2 3" xfId="825" xr:uid="{00000000-0005-0000-0000-0000A8120000}"/>
    <cellStyle name="Normal 4 2 2 4 2 3 2" xfId="3062" xr:uid="{00000000-0005-0000-0000-0000A9120000}"/>
    <cellStyle name="Normal 4 2 2 4 2 3 2 2" xfId="7285" xr:uid="{00000000-0005-0000-0000-0000AA120000}"/>
    <cellStyle name="Normal 4 2 2 4 2 3 2 2 2" xfId="15727" xr:uid="{76A42C31-7E4E-436D-8134-6C4858B1DA33}"/>
    <cellStyle name="Normal 4 2 2 4 2 3 2 3" xfId="11509" xr:uid="{59AF0445-C6D6-48C2-9453-8F85744C95A6}"/>
    <cellStyle name="Normal 4 2 2 4 2 3 3" xfId="5140" xr:uid="{00000000-0005-0000-0000-0000AB120000}"/>
    <cellStyle name="Normal 4 2 2 4 2 3 3 2" xfId="13582" xr:uid="{1F37A32F-A611-43C6-8782-09CE12023147}"/>
    <cellStyle name="Normal 4 2 2 4 2 3 4" xfId="9364" xr:uid="{2A267E30-9E3C-46AA-B730-DE8326B29634}"/>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2 2 2" xfId="16140" xr:uid="{1A11DA8F-A19F-483D-98A7-F0029986436F}"/>
    <cellStyle name="Normal 4 2 2 4 2 4 2 3" xfId="11922" xr:uid="{C022FAA0-1946-4363-AD17-E411F52EB269}"/>
    <cellStyle name="Normal 4 2 2 4 2 4 3" xfId="5553" xr:uid="{00000000-0005-0000-0000-0000AF120000}"/>
    <cellStyle name="Normal 4 2 2 4 2 4 3 2" xfId="13995" xr:uid="{78E4E236-26E6-4A75-BA5D-A701B8BB46F9}"/>
    <cellStyle name="Normal 4 2 2 4 2 4 4" xfId="9777" xr:uid="{BFEF621A-08B2-4389-A7B2-70E5ED2EBED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2 2 2" xfId="16553" xr:uid="{0AA9E8E9-30F8-4B87-B905-52484C30038F}"/>
    <cellStyle name="Normal 4 2 2 4 2 5 2 3" xfId="12335" xr:uid="{4D850F38-8D3E-4B7B-AD15-E2E28BEA7BF7}"/>
    <cellStyle name="Normal 4 2 2 4 2 5 3" xfId="5966" xr:uid="{00000000-0005-0000-0000-0000B3120000}"/>
    <cellStyle name="Normal 4 2 2 4 2 5 3 2" xfId="14408" xr:uid="{DBBA3993-7172-4761-9F7D-BB55A360586B}"/>
    <cellStyle name="Normal 4 2 2 4 2 5 4" xfId="10190" xr:uid="{B63FD667-CED8-4ACA-850E-7387A10BAF03}"/>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2 2 2" xfId="16966" xr:uid="{880A5EB0-B9A2-4EE4-A5AA-4F9344D0E8CC}"/>
    <cellStyle name="Normal 4 2 2 4 2 6 2 3" xfId="12748" xr:uid="{620086B3-8D80-4900-ABBF-51D6E561A6AC}"/>
    <cellStyle name="Normal 4 2 2 4 2 6 3" xfId="6379" xr:uid="{00000000-0005-0000-0000-0000B7120000}"/>
    <cellStyle name="Normal 4 2 2 4 2 6 3 2" xfId="14821" xr:uid="{85D72961-2344-4090-AA28-DE7ECEB45101}"/>
    <cellStyle name="Normal 4 2 2 4 2 6 4" xfId="10603" xr:uid="{B04016A1-6D89-49CE-9AA4-DA28F23E26AF}"/>
    <cellStyle name="Normal 4 2 2 4 2 7" xfId="2508" xr:uid="{00000000-0005-0000-0000-0000B8120000}"/>
    <cellStyle name="Normal 4 2 2 4 2 7 2" xfId="6792" xr:uid="{00000000-0005-0000-0000-0000B9120000}"/>
    <cellStyle name="Normal 4 2 2 4 2 7 2 2" xfId="15234" xr:uid="{05F59574-02E6-477B-9039-295F0F162F13}"/>
    <cellStyle name="Normal 4 2 2 4 2 7 3" xfId="11016" xr:uid="{A858E2EF-D98B-4FF7-A7EA-A392A0E5F1E0}"/>
    <cellStyle name="Normal 4 2 2 4 2 8" xfId="4727" xr:uid="{00000000-0005-0000-0000-0000BA120000}"/>
    <cellStyle name="Normal 4 2 2 4 2 8 2" xfId="13169" xr:uid="{DE411E4B-FEA6-4569-BAC2-AD63078274A1}"/>
    <cellStyle name="Normal 4 2 2 4 2 9" xfId="8951" xr:uid="{F237C4F2-B9C0-4A5E-A596-7F5C89916B8D}"/>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2 2 2" xfId="15729" xr:uid="{59742F08-CC6E-425B-B6DA-6F80FFE0202E}"/>
    <cellStyle name="Normal 4 2 2 4 3 2 2 3" xfId="11511" xr:uid="{4F1AD618-004A-4104-8373-D35E4646F94B}"/>
    <cellStyle name="Normal 4 2 2 4 3 2 3" xfId="5142" xr:uid="{00000000-0005-0000-0000-0000BF120000}"/>
    <cellStyle name="Normal 4 2 2 4 3 2 3 2" xfId="13584" xr:uid="{2BBF3869-03FF-4297-964A-48F128890925}"/>
    <cellStyle name="Normal 4 2 2 4 3 2 4" xfId="9366" xr:uid="{0A717192-2069-4365-9AAD-E5079A82A8D1}"/>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2 2 2" xfId="16142" xr:uid="{53F55443-FB68-4CDC-B603-A415F0041687}"/>
    <cellStyle name="Normal 4 2 2 4 3 3 2 3" xfId="11924" xr:uid="{955E9497-EAF1-4B04-9F7C-C24B06CAD452}"/>
    <cellStyle name="Normal 4 2 2 4 3 3 3" xfId="5555" xr:uid="{00000000-0005-0000-0000-0000C3120000}"/>
    <cellStyle name="Normal 4 2 2 4 3 3 3 2" xfId="13997" xr:uid="{C7370AA6-D7DA-40B1-94A9-3FD90C474AE4}"/>
    <cellStyle name="Normal 4 2 2 4 3 3 4" xfId="9779" xr:uid="{6B9F3A65-4B44-4F02-9DDA-6A069C5285E7}"/>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2 2 2" xfId="16555" xr:uid="{CE141155-3646-45FB-A20D-D90DFF159D89}"/>
    <cellStyle name="Normal 4 2 2 4 3 4 2 3" xfId="12337" xr:uid="{62C37682-B44A-461C-B196-43A163257BF9}"/>
    <cellStyle name="Normal 4 2 2 4 3 4 3" xfId="5968" xr:uid="{00000000-0005-0000-0000-0000C7120000}"/>
    <cellStyle name="Normal 4 2 2 4 3 4 3 2" xfId="14410" xr:uid="{56986460-6CFE-4CDB-99F7-E12026CE47D4}"/>
    <cellStyle name="Normal 4 2 2 4 3 4 4" xfId="10192" xr:uid="{AAA8B81A-B4CB-430A-B831-EE09BA58B72D}"/>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2 2 2" xfId="16968" xr:uid="{E196F889-2E06-4C87-B997-3FA076B6A8C2}"/>
    <cellStyle name="Normal 4 2 2 4 3 5 2 3" xfId="12750" xr:uid="{B113E5E2-CE1D-472F-AC23-050B07631CEE}"/>
    <cellStyle name="Normal 4 2 2 4 3 5 3" xfId="6381" xr:uid="{00000000-0005-0000-0000-0000CB120000}"/>
    <cellStyle name="Normal 4 2 2 4 3 5 3 2" xfId="14823" xr:uid="{652526DA-B53B-4BA7-80AF-820850F130C3}"/>
    <cellStyle name="Normal 4 2 2 4 3 5 4" xfId="10605" xr:uid="{50AF9008-19A2-4DB6-B9C7-73C1EE0B977D}"/>
    <cellStyle name="Normal 4 2 2 4 3 6" xfId="2510" xr:uid="{00000000-0005-0000-0000-0000CC120000}"/>
    <cellStyle name="Normal 4 2 2 4 3 6 2" xfId="6794" xr:uid="{00000000-0005-0000-0000-0000CD120000}"/>
    <cellStyle name="Normal 4 2 2 4 3 6 2 2" xfId="15236" xr:uid="{784C8C8E-0D71-4472-AE54-F366F294BF5C}"/>
    <cellStyle name="Normal 4 2 2 4 3 6 3" xfId="11018" xr:uid="{BBE1A097-6AE3-4523-A6CD-DF7ADC93804A}"/>
    <cellStyle name="Normal 4 2 2 4 3 7" xfId="4729" xr:uid="{00000000-0005-0000-0000-0000CE120000}"/>
    <cellStyle name="Normal 4 2 2 4 3 7 2" xfId="13171" xr:uid="{357B55FC-FB6F-44CE-8485-1C70379A57BC}"/>
    <cellStyle name="Normal 4 2 2 4 3 8" xfId="8953" xr:uid="{B37598BA-3933-436A-95D6-ECC9443FA4EE}"/>
    <cellStyle name="Normal 4 2 2 4 4" xfId="824" xr:uid="{00000000-0005-0000-0000-0000CF120000}"/>
    <cellStyle name="Normal 4 2 2 4 4 2" xfId="3061" xr:uid="{00000000-0005-0000-0000-0000D0120000}"/>
    <cellStyle name="Normal 4 2 2 4 4 2 2" xfId="7284" xr:uid="{00000000-0005-0000-0000-0000D1120000}"/>
    <cellStyle name="Normal 4 2 2 4 4 2 2 2" xfId="15726" xr:uid="{4B0CE850-D117-4018-8610-D708AAF381A1}"/>
    <cellStyle name="Normal 4 2 2 4 4 2 3" xfId="11508" xr:uid="{2D38B66A-1391-49AA-AA54-5724E65F9BDF}"/>
    <cellStyle name="Normal 4 2 2 4 4 3" xfId="5139" xr:uid="{00000000-0005-0000-0000-0000D2120000}"/>
    <cellStyle name="Normal 4 2 2 4 4 3 2" xfId="13581" xr:uid="{A4E50A21-2012-4A3C-B88D-B10C64EFD466}"/>
    <cellStyle name="Normal 4 2 2 4 4 4" xfId="9363" xr:uid="{134BAEE6-73CD-4173-B43D-11918AD78C6B}"/>
    <cellStyle name="Normal 4 2 2 4 5" xfId="1244" xr:uid="{00000000-0005-0000-0000-0000D3120000}"/>
    <cellStyle name="Normal 4 2 2 4 5 2" xfId="3474" xr:uid="{00000000-0005-0000-0000-0000D4120000}"/>
    <cellStyle name="Normal 4 2 2 4 5 2 2" xfId="7697" xr:uid="{00000000-0005-0000-0000-0000D5120000}"/>
    <cellStyle name="Normal 4 2 2 4 5 2 2 2" xfId="16139" xr:uid="{72FFF896-DAEB-4B31-898F-21DEECA878AA}"/>
    <cellStyle name="Normal 4 2 2 4 5 2 3" xfId="11921" xr:uid="{337EC617-B9DA-49A1-B3FF-A5CB3AAADDAF}"/>
    <cellStyle name="Normal 4 2 2 4 5 3" xfId="5552" xr:uid="{00000000-0005-0000-0000-0000D6120000}"/>
    <cellStyle name="Normal 4 2 2 4 5 3 2" xfId="13994" xr:uid="{C439297D-BD18-4543-9A87-E58AD4C2DCE7}"/>
    <cellStyle name="Normal 4 2 2 4 5 4" xfId="9776" xr:uid="{F8740E54-9A32-46D3-B7FA-1A83B8954393}"/>
    <cellStyle name="Normal 4 2 2 4 6" xfId="1657" xr:uid="{00000000-0005-0000-0000-0000D7120000}"/>
    <cellStyle name="Normal 4 2 2 4 6 2" xfId="3887" xr:uid="{00000000-0005-0000-0000-0000D8120000}"/>
    <cellStyle name="Normal 4 2 2 4 6 2 2" xfId="8110" xr:uid="{00000000-0005-0000-0000-0000D9120000}"/>
    <cellStyle name="Normal 4 2 2 4 6 2 2 2" xfId="16552" xr:uid="{61FA0E0E-5B04-4E75-AD0C-9788595FFDFC}"/>
    <cellStyle name="Normal 4 2 2 4 6 2 3" xfId="12334" xr:uid="{4732E25A-3674-458E-A0F6-213B9C49C81D}"/>
    <cellStyle name="Normal 4 2 2 4 6 3" xfId="5965" xr:uid="{00000000-0005-0000-0000-0000DA120000}"/>
    <cellStyle name="Normal 4 2 2 4 6 3 2" xfId="14407" xr:uid="{730D1D79-1838-4F68-8BEB-A4F6CA4A05E9}"/>
    <cellStyle name="Normal 4 2 2 4 6 4" xfId="10189" xr:uid="{BD57A1A9-57F2-4985-A424-14EAF3BB99EC}"/>
    <cellStyle name="Normal 4 2 2 4 7" xfId="2071" xr:uid="{00000000-0005-0000-0000-0000DB120000}"/>
    <cellStyle name="Normal 4 2 2 4 7 2" xfId="4300" xr:uid="{00000000-0005-0000-0000-0000DC120000}"/>
    <cellStyle name="Normal 4 2 2 4 7 2 2" xfId="8523" xr:uid="{00000000-0005-0000-0000-0000DD120000}"/>
    <cellStyle name="Normal 4 2 2 4 7 2 2 2" xfId="16965" xr:uid="{8E2CC868-2C7D-4B16-AF2F-011C3D6C1664}"/>
    <cellStyle name="Normal 4 2 2 4 7 2 3" xfId="12747" xr:uid="{0A1F3C31-8E09-4EB9-83D7-D104CA474D25}"/>
    <cellStyle name="Normal 4 2 2 4 7 3" xfId="6378" xr:uid="{00000000-0005-0000-0000-0000DE120000}"/>
    <cellStyle name="Normal 4 2 2 4 7 3 2" xfId="14820" xr:uid="{AF86776C-360D-4CA0-8AE8-CBEC409B4BA4}"/>
    <cellStyle name="Normal 4 2 2 4 7 4" xfId="10602" xr:uid="{8328F3B3-144E-41F6-8485-CE7CFEF3BF02}"/>
    <cellStyle name="Normal 4 2 2 4 8" xfId="2507" xr:uid="{00000000-0005-0000-0000-0000DF120000}"/>
    <cellStyle name="Normal 4 2 2 4 8 2" xfId="6791" xr:uid="{00000000-0005-0000-0000-0000E0120000}"/>
    <cellStyle name="Normal 4 2 2 4 8 2 2" xfId="15233" xr:uid="{4887E94C-2CFB-4066-B301-E15570CB4B40}"/>
    <cellStyle name="Normal 4 2 2 4 8 3" xfId="11015" xr:uid="{34D65366-B9E7-4106-B04D-8684DE239BF4}"/>
    <cellStyle name="Normal 4 2 2 4 9" xfId="4726" xr:uid="{00000000-0005-0000-0000-0000E1120000}"/>
    <cellStyle name="Normal 4 2 2 4 9 2" xfId="13168" xr:uid="{2A5C0F1B-93A2-424E-9FAD-58D01B8E376B}"/>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2 2 2" xfId="15731" xr:uid="{163417E7-C14B-421E-B912-8223E3936429}"/>
    <cellStyle name="Normal 4 2 2 5 2 2 2 3" xfId="11513" xr:uid="{3226121C-DA5C-49FF-AE52-446338BE2DCF}"/>
    <cellStyle name="Normal 4 2 2 5 2 2 3" xfId="5144" xr:uid="{00000000-0005-0000-0000-0000E7120000}"/>
    <cellStyle name="Normal 4 2 2 5 2 2 3 2" xfId="13586" xr:uid="{F536BFAD-4E51-4557-BC22-6070B58DFF23}"/>
    <cellStyle name="Normal 4 2 2 5 2 2 4" xfId="9368" xr:uid="{4CF21177-F4A1-4D5C-B270-C1788570976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2 2 2" xfId="16144" xr:uid="{49276619-8958-4802-91C5-BF41A644B84A}"/>
    <cellStyle name="Normal 4 2 2 5 2 3 2 3" xfId="11926" xr:uid="{683465CE-AED4-4DD7-BEB4-7898A00E3F17}"/>
    <cellStyle name="Normal 4 2 2 5 2 3 3" xfId="5557" xr:uid="{00000000-0005-0000-0000-0000EB120000}"/>
    <cellStyle name="Normal 4 2 2 5 2 3 3 2" xfId="13999" xr:uid="{127FAFB4-905E-48F1-9C1E-7D7C7F91B41F}"/>
    <cellStyle name="Normal 4 2 2 5 2 3 4" xfId="9781" xr:uid="{406C68A0-06B0-4ED6-87DD-3529661E018E}"/>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2 2 2" xfId="16557" xr:uid="{18E1A23C-0309-438A-B98A-7AE3BCC7638D}"/>
    <cellStyle name="Normal 4 2 2 5 2 4 2 3" xfId="12339" xr:uid="{50ADCF24-8C22-4318-98E4-CCD911AC7D9D}"/>
    <cellStyle name="Normal 4 2 2 5 2 4 3" xfId="5970" xr:uid="{00000000-0005-0000-0000-0000EF120000}"/>
    <cellStyle name="Normal 4 2 2 5 2 4 3 2" xfId="14412" xr:uid="{22750232-2F7A-4EE9-A7F7-75C5115B2425}"/>
    <cellStyle name="Normal 4 2 2 5 2 4 4" xfId="10194" xr:uid="{76780193-1A4C-4464-A6E2-BE21302B45FD}"/>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2 2 2" xfId="16970" xr:uid="{5C7F26F2-2BBE-42E0-9E2C-CED70A68790D}"/>
    <cellStyle name="Normal 4 2 2 5 2 5 2 3" xfId="12752" xr:uid="{4892FC6B-45D9-4EAA-A361-65AED2843FA0}"/>
    <cellStyle name="Normal 4 2 2 5 2 5 3" xfId="6383" xr:uid="{00000000-0005-0000-0000-0000F3120000}"/>
    <cellStyle name="Normal 4 2 2 5 2 5 3 2" xfId="14825" xr:uid="{C14ABE71-E076-454A-9BCA-D9DFCD2B5902}"/>
    <cellStyle name="Normal 4 2 2 5 2 5 4" xfId="10607" xr:uid="{93B68162-F366-42EF-9F9B-E3F19ADFC685}"/>
    <cellStyle name="Normal 4 2 2 5 2 6" xfId="2512" xr:uid="{00000000-0005-0000-0000-0000F4120000}"/>
    <cellStyle name="Normal 4 2 2 5 2 6 2" xfId="6796" xr:uid="{00000000-0005-0000-0000-0000F5120000}"/>
    <cellStyle name="Normal 4 2 2 5 2 6 2 2" xfId="15238" xr:uid="{34D659EC-0511-427C-B52F-B8CE48C7643F}"/>
    <cellStyle name="Normal 4 2 2 5 2 6 3" xfId="11020" xr:uid="{D9CC0E5D-E7E9-4221-8590-3B52C60E3CF0}"/>
    <cellStyle name="Normal 4 2 2 5 2 7" xfId="4731" xr:uid="{00000000-0005-0000-0000-0000F6120000}"/>
    <cellStyle name="Normal 4 2 2 5 2 7 2" xfId="13173" xr:uid="{C628556A-CE48-4403-9959-EAEA32E6D908}"/>
    <cellStyle name="Normal 4 2 2 5 2 8" xfId="8955" xr:uid="{FFA95C4C-2231-49EB-B915-DF597816E458}"/>
    <cellStyle name="Normal 4 2 2 5 3" xfId="828" xr:uid="{00000000-0005-0000-0000-0000F7120000}"/>
    <cellStyle name="Normal 4 2 2 5 3 2" xfId="3065" xr:uid="{00000000-0005-0000-0000-0000F8120000}"/>
    <cellStyle name="Normal 4 2 2 5 3 2 2" xfId="7288" xr:uid="{00000000-0005-0000-0000-0000F9120000}"/>
    <cellStyle name="Normal 4 2 2 5 3 2 2 2" xfId="15730" xr:uid="{C6E8A727-6ABF-40E3-A7E8-05A67C084567}"/>
    <cellStyle name="Normal 4 2 2 5 3 2 3" xfId="11512" xr:uid="{2DDA844F-FA63-42F8-A22F-44866318D9F7}"/>
    <cellStyle name="Normal 4 2 2 5 3 3" xfId="5143" xr:uid="{00000000-0005-0000-0000-0000FA120000}"/>
    <cellStyle name="Normal 4 2 2 5 3 3 2" xfId="13585" xr:uid="{352730E4-30F9-4D7D-9459-7E4FD3C1352D}"/>
    <cellStyle name="Normal 4 2 2 5 3 4" xfId="9367" xr:uid="{EDC16976-3D73-4321-950E-65DB0008043C}"/>
    <cellStyle name="Normal 4 2 2 5 4" xfId="1248" xr:uid="{00000000-0005-0000-0000-0000FB120000}"/>
    <cellStyle name="Normal 4 2 2 5 4 2" xfId="3478" xr:uid="{00000000-0005-0000-0000-0000FC120000}"/>
    <cellStyle name="Normal 4 2 2 5 4 2 2" xfId="7701" xr:uid="{00000000-0005-0000-0000-0000FD120000}"/>
    <cellStyle name="Normal 4 2 2 5 4 2 2 2" xfId="16143" xr:uid="{A263C717-CBD1-4736-A5C8-4A62DE20F45F}"/>
    <cellStyle name="Normal 4 2 2 5 4 2 3" xfId="11925" xr:uid="{E5FD4336-5AD6-49DC-B251-9C57F6E09C92}"/>
    <cellStyle name="Normal 4 2 2 5 4 3" xfId="5556" xr:uid="{00000000-0005-0000-0000-0000FE120000}"/>
    <cellStyle name="Normal 4 2 2 5 4 3 2" xfId="13998" xr:uid="{2A2311F4-A1D5-4BBF-9B6A-304A741E30A5}"/>
    <cellStyle name="Normal 4 2 2 5 4 4" xfId="9780" xr:uid="{403C00A7-76FE-4804-8E72-D9C2E48BAD7B}"/>
    <cellStyle name="Normal 4 2 2 5 5" xfId="1661" xr:uid="{00000000-0005-0000-0000-0000FF120000}"/>
    <cellStyle name="Normal 4 2 2 5 5 2" xfId="3891" xr:uid="{00000000-0005-0000-0000-000000130000}"/>
    <cellStyle name="Normal 4 2 2 5 5 2 2" xfId="8114" xr:uid="{00000000-0005-0000-0000-000001130000}"/>
    <cellStyle name="Normal 4 2 2 5 5 2 2 2" xfId="16556" xr:uid="{24035A4D-C066-45EC-BFE7-75F2D0E078AC}"/>
    <cellStyle name="Normal 4 2 2 5 5 2 3" xfId="12338" xr:uid="{90F5C98F-98EB-45C4-9FBB-815E58428CCA}"/>
    <cellStyle name="Normal 4 2 2 5 5 3" xfId="5969" xr:uid="{00000000-0005-0000-0000-000002130000}"/>
    <cellStyle name="Normal 4 2 2 5 5 3 2" xfId="14411" xr:uid="{5B583F3F-9EC2-416E-9FE8-18D13AF3A253}"/>
    <cellStyle name="Normal 4 2 2 5 5 4" xfId="10193" xr:uid="{45CEF2FE-30F0-49DD-B260-E484977E6A60}"/>
    <cellStyle name="Normal 4 2 2 5 6" xfId="2075" xr:uid="{00000000-0005-0000-0000-000003130000}"/>
    <cellStyle name="Normal 4 2 2 5 6 2" xfId="4304" xr:uid="{00000000-0005-0000-0000-000004130000}"/>
    <cellStyle name="Normal 4 2 2 5 6 2 2" xfId="8527" xr:uid="{00000000-0005-0000-0000-000005130000}"/>
    <cellStyle name="Normal 4 2 2 5 6 2 2 2" xfId="16969" xr:uid="{5F6BAC15-2C6D-46C1-9FFE-14BB49DCC848}"/>
    <cellStyle name="Normal 4 2 2 5 6 2 3" xfId="12751" xr:uid="{DD6712CC-CA65-4A63-9F12-AF4AA31C6E3D}"/>
    <cellStyle name="Normal 4 2 2 5 6 3" xfId="6382" xr:uid="{00000000-0005-0000-0000-000006130000}"/>
    <cellStyle name="Normal 4 2 2 5 6 3 2" xfId="14824" xr:uid="{D652FE94-490E-42AB-899F-27B29D95BD56}"/>
    <cellStyle name="Normal 4 2 2 5 6 4" xfId="10606" xr:uid="{ADAFC6EB-D557-4A50-A4D1-BD091D5D4136}"/>
    <cellStyle name="Normal 4 2 2 5 7" xfId="2511" xr:uid="{00000000-0005-0000-0000-000007130000}"/>
    <cellStyle name="Normal 4 2 2 5 7 2" xfId="6795" xr:uid="{00000000-0005-0000-0000-000008130000}"/>
    <cellStyle name="Normal 4 2 2 5 7 2 2" xfId="15237" xr:uid="{0131B88B-4F9D-4AFA-AA4B-08483C57093E}"/>
    <cellStyle name="Normal 4 2 2 5 7 3" xfId="11019" xr:uid="{3AE9F61F-D429-487E-80C8-C3FBC388878A}"/>
    <cellStyle name="Normal 4 2 2 5 8" xfId="4730" xr:uid="{00000000-0005-0000-0000-000009130000}"/>
    <cellStyle name="Normal 4 2 2 5 8 2" xfId="13172" xr:uid="{73B10096-2DC4-487F-A941-4E0760D4695D}"/>
    <cellStyle name="Normal 4 2 2 5 9" xfId="8954" xr:uid="{D57EE795-C62B-4BB7-BA2E-8D0AB88D2A0E}"/>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2 2 2" xfId="15732" xr:uid="{6FCC4960-DE43-4811-BD0F-E403109EDB48}"/>
    <cellStyle name="Normal 4 2 2 6 2 2 3" xfId="11514" xr:uid="{9A017FA5-47DF-4BA8-87A3-97939C102773}"/>
    <cellStyle name="Normal 4 2 2 6 2 3" xfId="5145" xr:uid="{00000000-0005-0000-0000-00000E130000}"/>
    <cellStyle name="Normal 4 2 2 6 2 3 2" xfId="13587" xr:uid="{8215F1D4-84C4-4298-B906-74516E32ACCC}"/>
    <cellStyle name="Normal 4 2 2 6 2 4" xfId="9369" xr:uid="{A5B3ACB8-52BE-451E-AFBD-1E0D9B64FCA7}"/>
    <cellStyle name="Normal 4 2 2 6 3" xfId="1250" xr:uid="{00000000-0005-0000-0000-00000F130000}"/>
    <cellStyle name="Normal 4 2 2 6 3 2" xfId="3480" xr:uid="{00000000-0005-0000-0000-000010130000}"/>
    <cellStyle name="Normal 4 2 2 6 3 2 2" xfId="7703" xr:uid="{00000000-0005-0000-0000-000011130000}"/>
    <cellStyle name="Normal 4 2 2 6 3 2 2 2" xfId="16145" xr:uid="{2EBEEC41-5863-4368-9301-37FF28334609}"/>
    <cellStyle name="Normal 4 2 2 6 3 2 3" xfId="11927" xr:uid="{FEC4E03F-E18C-4D12-9F9F-8CB65CAEA212}"/>
    <cellStyle name="Normal 4 2 2 6 3 3" xfId="5558" xr:uid="{00000000-0005-0000-0000-000012130000}"/>
    <cellStyle name="Normal 4 2 2 6 3 3 2" xfId="14000" xr:uid="{90B9FB5D-1AD3-42D0-A3A5-9249AA141D8D}"/>
    <cellStyle name="Normal 4 2 2 6 3 4" xfId="9782" xr:uid="{DD3232E0-3803-4428-B59E-D8826DDD0CA9}"/>
    <cellStyle name="Normal 4 2 2 6 4" xfId="1663" xr:uid="{00000000-0005-0000-0000-000013130000}"/>
    <cellStyle name="Normal 4 2 2 6 4 2" xfId="3893" xr:uid="{00000000-0005-0000-0000-000014130000}"/>
    <cellStyle name="Normal 4 2 2 6 4 2 2" xfId="8116" xr:uid="{00000000-0005-0000-0000-000015130000}"/>
    <cellStyle name="Normal 4 2 2 6 4 2 2 2" xfId="16558" xr:uid="{F4CDAA6A-7A18-4E56-AFC8-4E922EB3ED33}"/>
    <cellStyle name="Normal 4 2 2 6 4 2 3" xfId="12340" xr:uid="{A7034888-7C73-4837-9E60-5094F32C43AE}"/>
    <cellStyle name="Normal 4 2 2 6 4 3" xfId="5971" xr:uid="{00000000-0005-0000-0000-000016130000}"/>
    <cellStyle name="Normal 4 2 2 6 4 3 2" xfId="14413" xr:uid="{256AB7C2-F004-4115-9E07-E74EC2EEC159}"/>
    <cellStyle name="Normal 4 2 2 6 4 4" xfId="10195" xr:uid="{A942AE05-0CCC-4292-BB38-A3CB6851F94A}"/>
    <cellStyle name="Normal 4 2 2 6 5" xfId="2077" xr:uid="{00000000-0005-0000-0000-000017130000}"/>
    <cellStyle name="Normal 4 2 2 6 5 2" xfId="4306" xr:uid="{00000000-0005-0000-0000-000018130000}"/>
    <cellStyle name="Normal 4 2 2 6 5 2 2" xfId="8529" xr:uid="{00000000-0005-0000-0000-000019130000}"/>
    <cellStyle name="Normal 4 2 2 6 5 2 2 2" xfId="16971" xr:uid="{258B9737-B583-4FDB-B2E0-D306F45EEAAE}"/>
    <cellStyle name="Normal 4 2 2 6 5 2 3" xfId="12753" xr:uid="{AD75A6E1-6753-4645-9B55-4B185C311606}"/>
    <cellStyle name="Normal 4 2 2 6 5 3" xfId="6384" xr:uid="{00000000-0005-0000-0000-00001A130000}"/>
    <cellStyle name="Normal 4 2 2 6 5 3 2" xfId="14826" xr:uid="{4C57DD8B-39F6-45C6-A77C-E3C5A1BFAF10}"/>
    <cellStyle name="Normal 4 2 2 6 5 4" xfId="10608" xr:uid="{1745297E-6F1B-47BB-9006-E68978CC7C85}"/>
    <cellStyle name="Normal 4 2 2 6 6" xfId="2513" xr:uid="{00000000-0005-0000-0000-00001B130000}"/>
    <cellStyle name="Normal 4 2 2 6 6 2" xfId="6797" xr:uid="{00000000-0005-0000-0000-00001C130000}"/>
    <cellStyle name="Normal 4 2 2 6 6 2 2" xfId="15239" xr:uid="{A30F105F-7BF3-44E4-B80F-0DF01558ACBB}"/>
    <cellStyle name="Normal 4 2 2 6 6 3" xfId="11021" xr:uid="{B628DDE5-2DCA-4660-A5DA-3003947CBDE4}"/>
    <cellStyle name="Normal 4 2 2 6 7" xfId="4732" xr:uid="{00000000-0005-0000-0000-00001D130000}"/>
    <cellStyle name="Normal 4 2 2 6 7 2" xfId="13174" xr:uid="{1BF18980-CE05-4EDE-89FC-10F3DF26DC23}"/>
    <cellStyle name="Normal 4 2 2 6 8" xfId="8956" xr:uid="{274AB215-DFD1-47E5-8FD7-E536A343F6A4}"/>
    <cellStyle name="Normal 4 2 2 7" xfId="815" xr:uid="{00000000-0005-0000-0000-00001E130000}"/>
    <cellStyle name="Normal 4 2 2 7 2" xfId="3052" xr:uid="{00000000-0005-0000-0000-00001F130000}"/>
    <cellStyle name="Normal 4 2 2 7 2 2" xfId="7275" xr:uid="{00000000-0005-0000-0000-000020130000}"/>
    <cellStyle name="Normal 4 2 2 7 2 2 2" xfId="15717" xr:uid="{B93BE53B-4B90-438B-B836-B88F0A73A7D8}"/>
    <cellStyle name="Normal 4 2 2 7 2 3" xfId="11499" xr:uid="{717C751A-AAF5-4607-B79E-772408EE8C87}"/>
    <cellStyle name="Normal 4 2 2 7 3" xfId="5130" xr:uid="{00000000-0005-0000-0000-000021130000}"/>
    <cellStyle name="Normal 4 2 2 7 3 2" xfId="13572" xr:uid="{DEE8C5BD-BE85-4538-8178-2629F4BA549B}"/>
    <cellStyle name="Normal 4 2 2 7 4" xfId="9354" xr:uid="{AD75554B-37C3-4305-9F7B-C8FF78D68D2C}"/>
    <cellStyle name="Normal 4 2 2 8" xfId="1235" xr:uid="{00000000-0005-0000-0000-000022130000}"/>
    <cellStyle name="Normal 4 2 2 8 2" xfId="3465" xr:uid="{00000000-0005-0000-0000-000023130000}"/>
    <cellStyle name="Normal 4 2 2 8 2 2" xfId="7688" xr:uid="{00000000-0005-0000-0000-000024130000}"/>
    <cellStyle name="Normal 4 2 2 8 2 2 2" xfId="16130" xr:uid="{E2D08B2C-167D-4FD4-A9BF-9038103D298C}"/>
    <cellStyle name="Normal 4 2 2 8 2 3" xfId="11912" xr:uid="{F1F531C5-4C1D-4E51-B40B-B3859CFBBD04}"/>
    <cellStyle name="Normal 4 2 2 8 3" xfId="5543" xr:uid="{00000000-0005-0000-0000-000025130000}"/>
    <cellStyle name="Normal 4 2 2 8 3 2" xfId="13985" xr:uid="{9605946D-5048-4558-8C84-8CF61A0B76E5}"/>
    <cellStyle name="Normal 4 2 2 8 4" xfId="9767" xr:uid="{3C979ED1-9BBB-4BCE-83AE-046B92B43552}"/>
    <cellStyle name="Normal 4 2 2 9" xfId="1648" xr:uid="{00000000-0005-0000-0000-000026130000}"/>
    <cellStyle name="Normal 4 2 2 9 2" xfId="3878" xr:uid="{00000000-0005-0000-0000-000027130000}"/>
    <cellStyle name="Normal 4 2 2 9 2 2" xfId="8101" xr:uid="{00000000-0005-0000-0000-000028130000}"/>
    <cellStyle name="Normal 4 2 2 9 2 2 2" xfId="16543" xr:uid="{FA6F73D1-4129-4709-91CE-70E7D844EC01}"/>
    <cellStyle name="Normal 4 2 2 9 2 3" xfId="12325" xr:uid="{8B66EA72-D7B9-47B1-9E2F-286169950586}"/>
    <cellStyle name="Normal 4 2 2 9 3" xfId="5956" xr:uid="{00000000-0005-0000-0000-000029130000}"/>
    <cellStyle name="Normal 4 2 2 9 3 2" xfId="14398" xr:uid="{F9CDDFBB-B976-4C60-BAB6-0B9A90415F38}"/>
    <cellStyle name="Normal 4 2 2 9 4" xfId="10180" xr:uid="{1B40AC71-2D6E-498A-BA5F-0FFCC8091455}"/>
    <cellStyle name="Normal 4 2 3" xfId="354" xr:uid="{00000000-0005-0000-0000-00002A130000}"/>
    <cellStyle name="Normal 4 2 4" xfId="355" xr:uid="{00000000-0005-0000-0000-00002B130000}"/>
    <cellStyle name="Normal 4 2 4 10" xfId="4733" xr:uid="{00000000-0005-0000-0000-00002C130000}"/>
    <cellStyle name="Normal 4 2 4 10 2" xfId="13175" xr:uid="{2A2FBB85-0B8D-48DD-A683-CF8AA3B9F9B8}"/>
    <cellStyle name="Normal 4 2 4 11" xfId="8957" xr:uid="{F28E0DDF-84D6-48EC-B179-838855650DBB}"/>
    <cellStyle name="Normal 4 2 4 2" xfId="356" xr:uid="{00000000-0005-0000-0000-00002D130000}"/>
    <cellStyle name="Normal 4 2 4 2 10" xfId="8958" xr:uid="{A5F3CF84-1EA8-4CEE-97ED-E7C041C265DC}"/>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2 2 2" xfId="15736" xr:uid="{A47C8EC4-121A-4EB8-8779-8822639D5C01}"/>
    <cellStyle name="Normal 4 2 4 2 2 2 2 2 3" xfId="11518" xr:uid="{01598ABD-3CB1-46C7-880D-8BF4094DABBA}"/>
    <cellStyle name="Normal 4 2 4 2 2 2 2 3" xfId="5149" xr:uid="{00000000-0005-0000-0000-000033130000}"/>
    <cellStyle name="Normal 4 2 4 2 2 2 2 3 2" xfId="13591" xr:uid="{D10CAA04-1D41-42DD-BFD3-CD83EB73A45D}"/>
    <cellStyle name="Normal 4 2 4 2 2 2 2 4" xfId="9373" xr:uid="{F258F62E-9B18-4CA5-B8FD-199F93E253BA}"/>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2 2 2" xfId="16149" xr:uid="{701422D6-03CD-4B14-B377-C0FDAFCE5554}"/>
    <cellStyle name="Normal 4 2 4 2 2 2 3 2 3" xfId="11931" xr:uid="{D2155D86-F342-4723-936F-9A1DB7346485}"/>
    <cellStyle name="Normal 4 2 4 2 2 2 3 3" xfId="5562" xr:uid="{00000000-0005-0000-0000-000037130000}"/>
    <cellStyle name="Normal 4 2 4 2 2 2 3 3 2" xfId="14004" xr:uid="{24EBB5CE-1661-4351-83A2-27E94F216957}"/>
    <cellStyle name="Normal 4 2 4 2 2 2 3 4" xfId="9786" xr:uid="{BBDDBAA2-0474-40AA-8BCB-A461B34D5F97}"/>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2 2 2" xfId="16562" xr:uid="{B03C87C6-00F6-4382-92A8-490B51EAFB1C}"/>
    <cellStyle name="Normal 4 2 4 2 2 2 4 2 3" xfId="12344" xr:uid="{F0672EC0-708E-4D40-A421-B32160351EEF}"/>
    <cellStyle name="Normal 4 2 4 2 2 2 4 3" xfId="5975" xr:uid="{00000000-0005-0000-0000-00003B130000}"/>
    <cellStyle name="Normal 4 2 4 2 2 2 4 3 2" xfId="14417" xr:uid="{86B292C6-F3B4-4C34-A22D-3D6540753F93}"/>
    <cellStyle name="Normal 4 2 4 2 2 2 4 4" xfId="10199" xr:uid="{B565729C-CFCA-4523-902E-BB9222ACF2BE}"/>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2 2 2" xfId="16975" xr:uid="{C2B1F02C-EE5C-4F44-B7E9-CCB9BF85CC97}"/>
    <cellStyle name="Normal 4 2 4 2 2 2 5 2 3" xfId="12757" xr:uid="{1355EFD2-DE3F-4FE5-A628-570E5F259F13}"/>
    <cellStyle name="Normal 4 2 4 2 2 2 5 3" xfId="6388" xr:uid="{00000000-0005-0000-0000-00003F130000}"/>
    <cellStyle name="Normal 4 2 4 2 2 2 5 3 2" xfId="14830" xr:uid="{1C6EE429-EA20-4F8D-A951-FF1DC55D8DED}"/>
    <cellStyle name="Normal 4 2 4 2 2 2 5 4" xfId="10612" xr:uid="{5AF0FC29-C4D0-4C75-BB26-23866918A28A}"/>
    <cellStyle name="Normal 4 2 4 2 2 2 6" xfId="2517" xr:uid="{00000000-0005-0000-0000-000040130000}"/>
    <cellStyle name="Normal 4 2 4 2 2 2 6 2" xfId="6801" xr:uid="{00000000-0005-0000-0000-000041130000}"/>
    <cellStyle name="Normal 4 2 4 2 2 2 6 2 2" xfId="15243" xr:uid="{41840095-15F2-4231-BD33-9752BBA476F8}"/>
    <cellStyle name="Normal 4 2 4 2 2 2 6 3" xfId="11025" xr:uid="{F7097F6D-4F07-4601-9E76-BD35E1AEFEEA}"/>
    <cellStyle name="Normal 4 2 4 2 2 2 7" xfId="4736" xr:uid="{00000000-0005-0000-0000-000042130000}"/>
    <cellStyle name="Normal 4 2 4 2 2 2 7 2" xfId="13178" xr:uid="{309D1635-A764-4E8A-8825-7C259F8F411E}"/>
    <cellStyle name="Normal 4 2 4 2 2 2 8" xfId="8960" xr:uid="{8F9C409B-7BD0-480E-A44E-89905A45B2DD}"/>
    <cellStyle name="Normal 4 2 4 2 2 3" xfId="833" xr:uid="{00000000-0005-0000-0000-000043130000}"/>
    <cellStyle name="Normal 4 2 4 2 2 3 2" xfId="3070" xr:uid="{00000000-0005-0000-0000-000044130000}"/>
    <cellStyle name="Normal 4 2 4 2 2 3 2 2" xfId="7293" xr:uid="{00000000-0005-0000-0000-000045130000}"/>
    <cellStyle name="Normal 4 2 4 2 2 3 2 2 2" xfId="15735" xr:uid="{A10B2CE9-EACB-42F3-A4A8-E7FEBF49A7C0}"/>
    <cellStyle name="Normal 4 2 4 2 2 3 2 3" xfId="11517" xr:uid="{DE43389C-C602-46FF-8A49-9DD0BF150DF5}"/>
    <cellStyle name="Normal 4 2 4 2 2 3 3" xfId="5148" xr:uid="{00000000-0005-0000-0000-000046130000}"/>
    <cellStyle name="Normal 4 2 4 2 2 3 3 2" xfId="13590" xr:uid="{AFF04A4E-B2B2-4C4E-ABC5-7DBD5193DEFD}"/>
    <cellStyle name="Normal 4 2 4 2 2 3 4" xfId="9372" xr:uid="{6CF4DF5F-FCC3-4D83-A6A3-BDFC69CE138B}"/>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2 2 2" xfId="16148" xr:uid="{2B60A24C-F8E0-4B85-9DC0-E8D17C9C32B9}"/>
    <cellStyle name="Normal 4 2 4 2 2 4 2 3" xfId="11930" xr:uid="{83F0D1B3-A7C7-43DC-9BDC-F792824887CC}"/>
    <cellStyle name="Normal 4 2 4 2 2 4 3" xfId="5561" xr:uid="{00000000-0005-0000-0000-00004A130000}"/>
    <cellStyle name="Normal 4 2 4 2 2 4 3 2" xfId="14003" xr:uid="{6E82CF72-DDC0-4608-88BE-D289C8258770}"/>
    <cellStyle name="Normal 4 2 4 2 2 4 4" xfId="9785" xr:uid="{FF7285EE-4AA5-447C-87A5-8F0A03742A67}"/>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2 2 2" xfId="16561" xr:uid="{883E4495-5AEF-4030-96EE-99CE74676871}"/>
    <cellStyle name="Normal 4 2 4 2 2 5 2 3" xfId="12343" xr:uid="{4E3E90E1-5A65-4DC1-BD2A-61A0E049AD35}"/>
    <cellStyle name="Normal 4 2 4 2 2 5 3" xfId="5974" xr:uid="{00000000-0005-0000-0000-00004E130000}"/>
    <cellStyle name="Normal 4 2 4 2 2 5 3 2" xfId="14416" xr:uid="{75D9284A-7B68-49C3-A475-D2E5F4B036D4}"/>
    <cellStyle name="Normal 4 2 4 2 2 5 4" xfId="10198" xr:uid="{0133F27C-3506-43F6-9F5F-835B65FA37AA}"/>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2 2 2" xfId="16974" xr:uid="{E85D2EDD-761F-4FD9-B0A0-7553D89EE3CA}"/>
    <cellStyle name="Normal 4 2 4 2 2 6 2 3" xfId="12756" xr:uid="{7B2CA1E4-2EFA-4ECE-A97A-038D7F88BF80}"/>
    <cellStyle name="Normal 4 2 4 2 2 6 3" xfId="6387" xr:uid="{00000000-0005-0000-0000-000052130000}"/>
    <cellStyle name="Normal 4 2 4 2 2 6 3 2" xfId="14829" xr:uid="{CE043822-FB31-43DD-B096-692BA56ADAA9}"/>
    <cellStyle name="Normal 4 2 4 2 2 6 4" xfId="10611" xr:uid="{C94F0096-A053-4BBF-A783-F9798DFC6714}"/>
    <cellStyle name="Normal 4 2 4 2 2 7" xfId="2516" xr:uid="{00000000-0005-0000-0000-000053130000}"/>
    <cellStyle name="Normal 4 2 4 2 2 7 2" xfId="6800" xr:uid="{00000000-0005-0000-0000-000054130000}"/>
    <cellStyle name="Normal 4 2 4 2 2 7 2 2" xfId="15242" xr:uid="{3E8D5EF2-98A5-48F7-9249-D75D6F80A73A}"/>
    <cellStyle name="Normal 4 2 4 2 2 7 3" xfId="11024" xr:uid="{80342819-B562-4EA6-B5D6-8D7AE241C7A8}"/>
    <cellStyle name="Normal 4 2 4 2 2 8" xfId="4735" xr:uid="{00000000-0005-0000-0000-000055130000}"/>
    <cellStyle name="Normal 4 2 4 2 2 8 2" xfId="13177" xr:uid="{5FCBA4C3-FB1D-4D74-807E-7CACA811FA40}"/>
    <cellStyle name="Normal 4 2 4 2 2 9" xfId="8959" xr:uid="{A532ECB5-CF68-4D37-A487-7B4940C31BF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2 2 2" xfId="15737" xr:uid="{46DCF07C-705D-4FB7-9FA4-97527588D1EC}"/>
    <cellStyle name="Normal 4 2 4 2 3 2 2 3" xfId="11519" xr:uid="{E4384B3A-328E-4B3A-97AA-8FE040EF2003}"/>
    <cellStyle name="Normal 4 2 4 2 3 2 3" xfId="5150" xr:uid="{00000000-0005-0000-0000-00005A130000}"/>
    <cellStyle name="Normal 4 2 4 2 3 2 3 2" xfId="13592" xr:uid="{E8A6E977-1250-49BF-956D-C3B574CDF66E}"/>
    <cellStyle name="Normal 4 2 4 2 3 2 4" xfId="9374" xr:uid="{CABE7871-EE25-49D1-ACD5-01608F078B7B}"/>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2 2 2" xfId="16150" xr:uid="{AB93B36A-5F43-464E-8545-15FF573BC6AE}"/>
    <cellStyle name="Normal 4 2 4 2 3 3 2 3" xfId="11932" xr:uid="{F6776606-6402-40B0-BE15-0B1047F3CBA8}"/>
    <cellStyle name="Normal 4 2 4 2 3 3 3" xfId="5563" xr:uid="{00000000-0005-0000-0000-00005E130000}"/>
    <cellStyle name="Normal 4 2 4 2 3 3 3 2" xfId="14005" xr:uid="{A7FD4011-C657-4E15-A803-22ABE4E92EEC}"/>
    <cellStyle name="Normal 4 2 4 2 3 3 4" xfId="9787" xr:uid="{4A9C0296-E614-4F0F-9318-E946F158BA38}"/>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2 2 2" xfId="16563" xr:uid="{1760DF3E-09DF-437C-B6B9-0F5BD4ABF485}"/>
    <cellStyle name="Normal 4 2 4 2 3 4 2 3" xfId="12345" xr:uid="{7ADB20CD-1FF5-4E31-8DCE-E0D035C01B88}"/>
    <cellStyle name="Normal 4 2 4 2 3 4 3" xfId="5976" xr:uid="{00000000-0005-0000-0000-000062130000}"/>
    <cellStyle name="Normal 4 2 4 2 3 4 3 2" xfId="14418" xr:uid="{4F4FD449-C32D-435D-94ED-5297A0AD9770}"/>
    <cellStyle name="Normal 4 2 4 2 3 4 4" xfId="10200" xr:uid="{6754C038-CE51-45BE-9A40-E6D4D051D599}"/>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2 2 2" xfId="16976" xr:uid="{4671E980-3540-465E-BCF7-09F7F2A68F36}"/>
    <cellStyle name="Normal 4 2 4 2 3 5 2 3" xfId="12758" xr:uid="{73AB0B4C-3E0E-4750-8D1F-79BEDD0C6205}"/>
    <cellStyle name="Normal 4 2 4 2 3 5 3" xfId="6389" xr:uid="{00000000-0005-0000-0000-000066130000}"/>
    <cellStyle name="Normal 4 2 4 2 3 5 3 2" xfId="14831" xr:uid="{63161BAF-249E-4F70-8E97-C23762A287E0}"/>
    <cellStyle name="Normal 4 2 4 2 3 5 4" xfId="10613" xr:uid="{D9DCD218-4DA7-4FAA-BDA8-9F260DC65865}"/>
    <cellStyle name="Normal 4 2 4 2 3 6" xfId="2518" xr:uid="{00000000-0005-0000-0000-000067130000}"/>
    <cellStyle name="Normal 4 2 4 2 3 6 2" xfId="6802" xr:uid="{00000000-0005-0000-0000-000068130000}"/>
    <cellStyle name="Normal 4 2 4 2 3 6 2 2" xfId="15244" xr:uid="{E40C5DD6-4C84-45B9-8AD1-B91775DEC9AC}"/>
    <cellStyle name="Normal 4 2 4 2 3 6 3" xfId="11026" xr:uid="{91C3B02A-CC02-46B0-9855-D06BD71EECD6}"/>
    <cellStyle name="Normal 4 2 4 2 3 7" xfId="4737" xr:uid="{00000000-0005-0000-0000-000069130000}"/>
    <cellStyle name="Normal 4 2 4 2 3 7 2" xfId="13179" xr:uid="{F58F1A71-7945-4182-ADA6-107229C58CC5}"/>
    <cellStyle name="Normal 4 2 4 2 3 8" xfId="8961" xr:uid="{F50DD7A3-B450-4DE4-8548-62366BA41921}"/>
    <cellStyle name="Normal 4 2 4 2 4" xfId="832" xr:uid="{00000000-0005-0000-0000-00006A130000}"/>
    <cellStyle name="Normal 4 2 4 2 4 2" xfId="3069" xr:uid="{00000000-0005-0000-0000-00006B130000}"/>
    <cellStyle name="Normal 4 2 4 2 4 2 2" xfId="7292" xr:uid="{00000000-0005-0000-0000-00006C130000}"/>
    <cellStyle name="Normal 4 2 4 2 4 2 2 2" xfId="15734" xr:uid="{AD1871D4-08DB-449E-A841-4C3D50ECA858}"/>
    <cellStyle name="Normal 4 2 4 2 4 2 3" xfId="11516" xr:uid="{D6806667-2BA4-4F9B-874C-E6DDB0F9328E}"/>
    <cellStyle name="Normal 4 2 4 2 4 3" xfId="5147" xr:uid="{00000000-0005-0000-0000-00006D130000}"/>
    <cellStyle name="Normal 4 2 4 2 4 3 2" xfId="13589" xr:uid="{51B8E766-70D2-4F8C-AE80-B5C7C818CF85}"/>
    <cellStyle name="Normal 4 2 4 2 4 4" xfId="9371" xr:uid="{815052CA-9818-4910-AC61-483A960C2CFD}"/>
    <cellStyle name="Normal 4 2 4 2 5" xfId="1252" xr:uid="{00000000-0005-0000-0000-00006E130000}"/>
    <cellStyle name="Normal 4 2 4 2 5 2" xfId="3482" xr:uid="{00000000-0005-0000-0000-00006F130000}"/>
    <cellStyle name="Normal 4 2 4 2 5 2 2" xfId="7705" xr:uid="{00000000-0005-0000-0000-000070130000}"/>
    <cellStyle name="Normal 4 2 4 2 5 2 2 2" xfId="16147" xr:uid="{6DBE5692-47C2-4B9B-90EF-71DD2AA155B7}"/>
    <cellStyle name="Normal 4 2 4 2 5 2 3" xfId="11929" xr:uid="{55CD31F7-1142-4573-858B-9D7E9C179D9F}"/>
    <cellStyle name="Normal 4 2 4 2 5 3" xfId="5560" xr:uid="{00000000-0005-0000-0000-000071130000}"/>
    <cellStyle name="Normal 4 2 4 2 5 3 2" xfId="14002" xr:uid="{BD0C138F-63C2-471D-BCC9-F861F53DF653}"/>
    <cellStyle name="Normal 4 2 4 2 5 4" xfId="9784" xr:uid="{6B50AD36-606D-4A2E-B6C2-12F55FC765E0}"/>
    <cellStyle name="Normal 4 2 4 2 6" xfId="1665" xr:uid="{00000000-0005-0000-0000-000072130000}"/>
    <cellStyle name="Normal 4 2 4 2 6 2" xfId="3895" xr:uid="{00000000-0005-0000-0000-000073130000}"/>
    <cellStyle name="Normal 4 2 4 2 6 2 2" xfId="8118" xr:uid="{00000000-0005-0000-0000-000074130000}"/>
    <cellStyle name="Normal 4 2 4 2 6 2 2 2" xfId="16560" xr:uid="{EBCC2AA2-B80F-4F92-947E-F0EC33B8B2D1}"/>
    <cellStyle name="Normal 4 2 4 2 6 2 3" xfId="12342" xr:uid="{4ACC3AFD-D8C3-4B2F-8414-1645214CE51F}"/>
    <cellStyle name="Normal 4 2 4 2 6 3" xfId="5973" xr:uid="{00000000-0005-0000-0000-000075130000}"/>
    <cellStyle name="Normal 4 2 4 2 6 3 2" xfId="14415" xr:uid="{2212A5F1-9031-410A-A162-A580F7B2C0D9}"/>
    <cellStyle name="Normal 4 2 4 2 6 4" xfId="10197" xr:uid="{76971557-C718-440F-BBF1-B506476906FD}"/>
    <cellStyle name="Normal 4 2 4 2 7" xfId="2079" xr:uid="{00000000-0005-0000-0000-000076130000}"/>
    <cellStyle name="Normal 4 2 4 2 7 2" xfId="4308" xr:uid="{00000000-0005-0000-0000-000077130000}"/>
    <cellStyle name="Normal 4 2 4 2 7 2 2" xfId="8531" xr:uid="{00000000-0005-0000-0000-000078130000}"/>
    <cellStyle name="Normal 4 2 4 2 7 2 2 2" xfId="16973" xr:uid="{405E2EB5-2D85-4AEC-97AB-12EE235A1E58}"/>
    <cellStyle name="Normal 4 2 4 2 7 2 3" xfId="12755" xr:uid="{D073C4E8-2AEF-476D-9186-43DB4D044B84}"/>
    <cellStyle name="Normal 4 2 4 2 7 3" xfId="6386" xr:uid="{00000000-0005-0000-0000-000079130000}"/>
    <cellStyle name="Normal 4 2 4 2 7 3 2" xfId="14828" xr:uid="{18C77F3E-4C4B-4526-BE40-1F552923879D}"/>
    <cellStyle name="Normal 4 2 4 2 7 4" xfId="10610" xr:uid="{DE7F1EC6-3070-4320-A843-A0A54F0AEA96}"/>
    <cellStyle name="Normal 4 2 4 2 8" xfId="2515" xr:uid="{00000000-0005-0000-0000-00007A130000}"/>
    <cellStyle name="Normal 4 2 4 2 8 2" xfId="6799" xr:uid="{00000000-0005-0000-0000-00007B130000}"/>
    <cellStyle name="Normal 4 2 4 2 8 2 2" xfId="15241" xr:uid="{91172816-9B14-4715-AABC-83C800B257B5}"/>
    <cellStyle name="Normal 4 2 4 2 8 3" xfId="11023" xr:uid="{609B63E1-9C7D-443E-8E35-0D9B25D765EF}"/>
    <cellStyle name="Normal 4 2 4 2 9" xfId="4734" xr:uid="{00000000-0005-0000-0000-00007C130000}"/>
    <cellStyle name="Normal 4 2 4 2 9 2" xfId="13176" xr:uid="{C7DD9094-199A-4A85-B43A-D56C1E5663AF}"/>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2 2 2" xfId="15739" xr:uid="{0DB1FE35-691A-4583-AD2F-88A0A4D2E795}"/>
    <cellStyle name="Normal 4 2 4 3 2 2 2 3" xfId="11521" xr:uid="{F3D2E185-68BD-414C-B4D7-C81149A93232}"/>
    <cellStyle name="Normal 4 2 4 3 2 2 3" xfId="5152" xr:uid="{00000000-0005-0000-0000-000082130000}"/>
    <cellStyle name="Normal 4 2 4 3 2 2 3 2" xfId="13594" xr:uid="{6BA12FC7-47B6-47C8-83DB-DA5760C18F8E}"/>
    <cellStyle name="Normal 4 2 4 3 2 2 4" xfId="9376" xr:uid="{D5A6FB70-9DBA-467A-86EA-9CFB137F3B31}"/>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2 2 2" xfId="16152" xr:uid="{79A824BE-D958-4595-BF86-78969C18EAA2}"/>
    <cellStyle name="Normal 4 2 4 3 2 3 2 3" xfId="11934" xr:uid="{2420DB2D-5FC3-4C11-BA93-639C2C505EF7}"/>
    <cellStyle name="Normal 4 2 4 3 2 3 3" xfId="5565" xr:uid="{00000000-0005-0000-0000-000086130000}"/>
    <cellStyle name="Normal 4 2 4 3 2 3 3 2" xfId="14007" xr:uid="{6ECA5C1A-68AB-459C-87FD-61CE4B89DAEC}"/>
    <cellStyle name="Normal 4 2 4 3 2 3 4" xfId="9789" xr:uid="{2584DD7F-3F99-48C9-83E9-9EBE2E552F95}"/>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2 2 2" xfId="16565" xr:uid="{6DD0F36F-BAF5-48E2-99E3-17427AC372B0}"/>
    <cellStyle name="Normal 4 2 4 3 2 4 2 3" xfId="12347" xr:uid="{42B28B58-9671-47E3-A46E-5E3F002E19E2}"/>
    <cellStyle name="Normal 4 2 4 3 2 4 3" xfId="5978" xr:uid="{00000000-0005-0000-0000-00008A130000}"/>
    <cellStyle name="Normal 4 2 4 3 2 4 3 2" xfId="14420" xr:uid="{0482F57B-781E-4A80-91E6-BF28890BB348}"/>
    <cellStyle name="Normal 4 2 4 3 2 4 4" xfId="10202" xr:uid="{10EC0BD4-93E5-43B0-A050-DE6B9D2E1188}"/>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2 2 2" xfId="16978" xr:uid="{3BD46E42-35A2-460E-A264-630F8C342625}"/>
    <cellStyle name="Normal 4 2 4 3 2 5 2 3" xfId="12760" xr:uid="{B4167229-C986-47FC-8BF9-83B23D29BDD1}"/>
    <cellStyle name="Normal 4 2 4 3 2 5 3" xfId="6391" xr:uid="{00000000-0005-0000-0000-00008E130000}"/>
    <cellStyle name="Normal 4 2 4 3 2 5 3 2" xfId="14833" xr:uid="{A41D44E9-2FF0-45BD-96A6-B387A70022D5}"/>
    <cellStyle name="Normal 4 2 4 3 2 5 4" xfId="10615" xr:uid="{D1D3CA33-5374-49FE-9CD4-3DE3FE608F8A}"/>
    <cellStyle name="Normal 4 2 4 3 2 6" xfId="2520" xr:uid="{00000000-0005-0000-0000-00008F130000}"/>
    <cellStyle name="Normal 4 2 4 3 2 6 2" xfId="6804" xr:uid="{00000000-0005-0000-0000-000090130000}"/>
    <cellStyle name="Normal 4 2 4 3 2 6 2 2" xfId="15246" xr:uid="{DDFDA986-64DE-4273-A3D5-D62A65A6549A}"/>
    <cellStyle name="Normal 4 2 4 3 2 6 3" xfId="11028" xr:uid="{DCF3717C-BAD5-4F2A-A419-35207293AE89}"/>
    <cellStyle name="Normal 4 2 4 3 2 7" xfId="4739" xr:uid="{00000000-0005-0000-0000-000091130000}"/>
    <cellStyle name="Normal 4 2 4 3 2 7 2" xfId="13181" xr:uid="{75499993-338E-4629-AC20-8B42943E72A5}"/>
    <cellStyle name="Normal 4 2 4 3 2 8" xfId="8963" xr:uid="{56352E84-10DC-481C-9205-E6CA81E91941}"/>
    <cellStyle name="Normal 4 2 4 3 3" xfId="836" xr:uid="{00000000-0005-0000-0000-000092130000}"/>
    <cellStyle name="Normal 4 2 4 3 3 2" xfId="3073" xr:uid="{00000000-0005-0000-0000-000093130000}"/>
    <cellStyle name="Normal 4 2 4 3 3 2 2" xfId="7296" xr:uid="{00000000-0005-0000-0000-000094130000}"/>
    <cellStyle name="Normal 4 2 4 3 3 2 2 2" xfId="15738" xr:uid="{1CEFEF77-E4AF-44A6-A728-A3746618AC6D}"/>
    <cellStyle name="Normal 4 2 4 3 3 2 3" xfId="11520" xr:uid="{16A29A02-6FB5-4F08-8C22-3C1EABFF8DA0}"/>
    <cellStyle name="Normal 4 2 4 3 3 3" xfId="5151" xr:uid="{00000000-0005-0000-0000-000095130000}"/>
    <cellStyle name="Normal 4 2 4 3 3 3 2" xfId="13593" xr:uid="{95980B4B-E89B-4D1D-B0C5-F179954806D2}"/>
    <cellStyle name="Normal 4 2 4 3 3 4" xfId="9375" xr:uid="{190AC803-57D2-4AE5-A82B-21D113F89EBE}"/>
    <cellStyle name="Normal 4 2 4 3 4" xfId="1256" xr:uid="{00000000-0005-0000-0000-000096130000}"/>
    <cellStyle name="Normal 4 2 4 3 4 2" xfId="3486" xr:uid="{00000000-0005-0000-0000-000097130000}"/>
    <cellStyle name="Normal 4 2 4 3 4 2 2" xfId="7709" xr:uid="{00000000-0005-0000-0000-000098130000}"/>
    <cellStyle name="Normal 4 2 4 3 4 2 2 2" xfId="16151" xr:uid="{2A155758-0886-4575-8AB0-679DFA4DFECA}"/>
    <cellStyle name="Normal 4 2 4 3 4 2 3" xfId="11933" xr:uid="{E83DAAD2-B8F9-463F-941A-119B9FE6D94E}"/>
    <cellStyle name="Normal 4 2 4 3 4 3" xfId="5564" xr:uid="{00000000-0005-0000-0000-000099130000}"/>
    <cellStyle name="Normal 4 2 4 3 4 3 2" xfId="14006" xr:uid="{2E7E6966-B325-43A2-B1F9-194A6A5D1C05}"/>
    <cellStyle name="Normal 4 2 4 3 4 4" xfId="9788" xr:uid="{491933EA-36F1-4C27-9F1B-0EE80F58590A}"/>
    <cellStyle name="Normal 4 2 4 3 5" xfId="1669" xr:uid="{00000000-0005-0000-0000-00009A130000}"/>
    <cellStyle name="Normal 4 2 4 3 5 2" xfId="3899" xr:uid="{00000000-0005-0000-0000-00009B130000}"/>
    <cellStyle name="Normal 4 2 4 3 5 2 2" xfId="8122" xr:uid="{00000000-0005-0000-0000-00009C130000}"/>
    <cellStyle name="Normal 4 2 4 3 5 2 2 2" xfId="16564" xr:uid="{6A43AAF2-02B1-4C13-BC1A-CEBCF6FB8D59}"/>
    <cellStyle name="Normal 4 2 4 3 5 2 3" xfId="12346" xr:uid="{65A9B9C9-97F6-4DFF-B1FA-6E83169AACBD}"/>
    <cellStyle name="Normal 4 2 4 3 5 3" xfId="5977" xr:uid="{00000000-0005-0000-0000-00009D130000}"/>
    <cellStyle name="Normal 4 2 4 3 5 3 2" xfId="14419" xr:uid="{50228C86-08B0-41C3-BB20-DF6E03D7628B}"/>
    <cellStyle name="Normal 4 2 4 3 5 4" xfId="10201" xr:uid="{B7565DB0-F318-428D-AE6C-FF59D1097AD6}"/>
    <cellStyle name="Normal 4 2 4 3 6" xfId="2083" xr:uid="{00000000-0005-0000-0000-00009E130000}"/>
    <cellStyle name="Normal 4 2 4 3 6 2" xfId="4312" xr:uid="{00000000-0005-0000-0000-00009F130000}"/>
    <cellStyle name="Normal 4 2 4 3 6 2 2" xfId="8535" xr:uid="{00000000-0005-0000-0000-0000A0130000}"/>
    <cellStyle name="Normal 4 2 4 3 6 2 2 2" xfId="16977" xr:uid="{2ABBBB19-AA46-4E16-9B39-25A244B2CEB3}"/>
    <cellStyle name="Normal 4 2 4 3 6 2 3" xfId="12759" xr:uid="{3BE8C48B-62F7-48CD-9BEC-86BD2DC13DB3}"/>
    <cellStyle name="Normal 4 2 4 3 6 3" xfId="6390" xr:uid="{00000000-0005-0000-0000-0000A1130000}"/>
    <cellStyle name="Normal 4 2 4 3 6 3 2" xfId="14832" xr:uid="{8214F14F-C103-415B-A5DE-B94861747FC4}"/>
    <cellStyle name="Normal 4 2 4 3 6 4" xfId="10614" xr:uid="{C913E82B-5F3F-4D5E-A723-B120B7800DD8}"/>
    <cellStyle name="Normal 4 2 4 3 7" xfId="2519" xr:uid="{00000000-0005-0000-0000-0000A2130000}"/>
    <cellStyle name="Normal 4 2 4 3 7 2" xfId="6803" xr:uid="{00000000-0005-0000-0000-0000A3130000}"/>
    <cellStyle name="Normal 4 2 4 3 7 2 2" xfId="15245" xr:uid="{20567A84-705B-4C95-AC3C-7F9134E55943}"/>
    <cellStyle name="Normal 4 2 4 3 7 3" xfId="11027" xr:uid="{F6572C30-3077-4D4D-A11D-C9ABE7C01DD0}"/>
    <cellStyle name="Normal 4 2 4 3 8" xfId="4738" xr:uid="{00000000-0005-0000-0000-0000A4130000}"/>
    <cellStyle name="Normal 4 2 4 3 8 2" xfId="13180" xr:uid="{DF1EEDCC-B818-4C7D-94B0-BBE3C7B524DC}"/>
    <cellStyle name="Normal 4 2 4 3 9" xfId="8962" xr:uid="{60985485-8A45-407F-A347-2687858247D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2 2 2" xfId="15740" xr:uid="{84B0D54D-9014-4F64-A4DB-752CC1728B3A}"/>
    <cellStyle name="Normal 4 2 4 4 2 2 3" xfId="11522" xr:uid="{2242D5A6-762E-4D9A-B14C-CC89E97058DD}"/>
    <cellStyle name="Normal 4 2 4 4 2 3" xfId="5153" xr:uid="{00000000-0005-0000-0000-0000A9130000}"/>
    <cellStyle name="Normal 4 2 4 4 2 3 2" xfId="13595" xr:uid="{EF14B8FE-F23A-420E-BC38-300787CE5EDD}"/>
    <cellStyle name="Normal 4 2 4 4 2 4" xfId="9377" xr:uid="{5884B207-C074-4769-B410-1DEB5241B90F}"/>
    <cellStyle name="Normal 4 2 4 4 3" xfId="1258" xr:uid="{00000000-0005-0000-0000-0000AA130000}"/>
    <cellStyle name="Normal 4 2 4 4 3 2" xfId="3488" xr:uid="{00000000-0005-0000-0000-0000AB130000}"/>
    <cellStyle name="Normal 4 2 4 4 3 2 2" xfId="7711" xr:uid="{00000000-0005-0000-0000-0000AC130000}"/>
    <cellStyle name="Normal 4 2 4 4 3 2 2 2" xfId="16153" xr:uid="{2B8C1A82-5145-4934-BB77-CA06AF9CCC7A}"/>
    <cellStyle name="Normal 4 2 4 4 3 2 3" xfId="11935" xr:uid="{8BA67384-2472-4070-A6F5-4319F81B7ACD}"/>
    <cellStyle name="Normal 4 2 4 4 3 3" xfId="5566" xr:uid="{00000000-0005-0000-0000-0000AD130000}"/>
    <cellStyle name="Normal 4 2 4 4 3 3 2" xfId="14008" xr:uid="{BD2445FE-2D43-4716-B312-3259A4C25AB6}"/>
    <cellStyle name="Normal 4 2 4 4 3 4" xfId="9790" xr:uid="{BE7E7621-0985-42E6-8595-D4066E381C1E}"/>
    <cellStyle name="Normal 4 2 4 4 4" xfId="1671" xr:uid="{00000000-0005-0000-0000-0000AE130000}"/>
    <cellStyle name="Normal 4 2 4 4 4 2" xfId="3901" xr:uid="{00000000-0005-0000-0000-0000AF130000}"/>
    <cellStyle name="Normal 4 2 4 4 4 2 2" xfId="8124" xr:uid="{00000000-0005-0000-0000-0000B0130000}"/>
    <cellStyle name="Normal 4 2 4 4 4 2 2 2" xfId="16566" xr:uid="{475FFFE3-9F28-4B8A-AFE0-B59195EC8D7B}"/>
    <cellStyle name="Normal 4 2 4 4 4 2 3" xfId="12348" xr:uid="{AD751A6A-7331-4D46-B09F-94801CDB8405}"/>
    <cellStyle name="Normal 4 2 4 4 4 3" xfId="5979" xr:uid="{00000000-0005-0000-0000-0000B1130000}"/>
    <cellStyle name="Normal 4 2 4 4 4 3 2" xfId="14421" xr:uid="{777BEFC3-429B-4CED-82EE-1D67E7371DC4}"/>
    <cellStyle name="Normal 4 2 4 4 4 4" xfId="10203" xr:uid="{3828BA59-0C83-4D3C-BFF0-8FC51E38F7F5}"/>
    <cellStyle name="Normal 4 2 4 4 5" xfId="2085" xr:uid="{00000000-0005-0000-0000-0000B2130000}"/>
    <cellStyle name="Normal 4 2 4 4 5 2" xfId="4314" xr:uid="{00000000-0005-0000-0000-0000B3130000}"/>
    <cellStyle name="Normal 4 2 4 4 5 2 2" xfId="8537" xr:uid="{00000000-0005-0000-0000-0000B4130000}"/>
    <cellStyle name="Normal 4 2 4 4 5 2 2 2" xfId="16979" xr:uid="{6C7029A3-082E-4429-92E7-BA53DFFDF0ED}"/>
    <cellStyle name="Normal 4 2 4 4 5 2 3" xfId="12761" xr:uid="{8F3F3ECD-E8EE-4B88-8660-ACF7AA99CF3B}"/>
    <cellStyle name="Normal 4 2 4 4 5 3" xfId="6392" xr:uid="{00000000-0005-0000-0000-0000B5130000}"/>
    <cellStyle name="Normal 4 2 4 4 5 3 2" xfId="14834" xr:uid="{93DA134F-C93B-45C0-B971-84C49E8576E9}"/>
    <cellStyle name="Normal 4 2 4 4 5 4" xfId="10616" xr:uid="{E9814F46-875D-42D6-A839-8E620B627395}"/>
    <cellStyle name="Normal 4 2 4 4 6" xfId="2521" xr:uid="{00000000-0005-0000-0000-0000B6130000}"/>
    <cellStyle name="Normal 4 2 4 4 6 2" xfId="6805" xr:uid="{00000000-0005-0000-0000-0000B7130000}"/>
    <cellStyle name="Normal 4 2 4 4 6 2 2" xfId="15247" xr:uid="{1EE56882-9F08-40FB-B3EF-184DEC2C755C}"/>
    <cellStyle name="Normal 4 2 4 4 6 3" xfId="11029" xr:uid="{FC04C97C-02D9-47CC-9799-4725A5580B91}"/>
    <cellStyle name="Normal 4 2 4 4 7" xfId="4740" xr:uid="{00000000-0005-0000-0000-0000B8130000}"/>
    <cellStyle name="Normal 4 2 4 4 7 2" xfId="13182" xr:uid="{1A1878F1-70C3-41C7-8226-CF1739388A9D}"/>
    <cellStyle name="Normal 4 2 4 4 8" xfId="8964" xr:uid="{2A783331-26A7-435F-B7DE-AED035877C5F}"/>
    <cellStyle name="Normal 4 2 4 5" xfId="831" xr:uid="{00000000-0005-0000-0000-0000B9130000}"/>
    <cellStyle name="Normal 4 2 4 5 2" xfId="3068" xr:uid="{00000000-0005-0000-0000-0000BA130000}"/>
    <cellStyle name="Normal 4 2 4 5 2 2" xfId="7291" xr:uid="{00000000-0005-0000-0000-0000BB130000}"/>
    <cellStyle name="Normal 4 2 4 5 2 2 2" xfId="15733" xr:uid="{C64CFA97-6D45-4877-9649-5A80A2766ABD}"/>
    <cellStyle name="Normal 4 2 4 5 2 3" xfId="11515" xr:uid="{E7D3748F-FE41-46BC-B80D-BD181138BE83}"/>
    <cellStyle name="Normal 4 2 4 5 3" xfId="5146" xr:uid="{00000000-0005-0000-0000-0000BC130000}"/>
    <cellStyle name="Normal 4 2 4 5 3 2" xfId="13588" xr:uid="{1E8636D2-B504-45FE-9912-0B0E71DC1821}"/>
    <cellStyle name="Normal 4 2 4 5 4" xfId="9370" xr:uid="{4AFF407D-6475-4AA5-9362-F4A33C34E1AB}"/>
    <cellStyle name="Normal 4 2 4 6" xfId="1251" xr:uid="{00000000-0005-0000-0000-0000BD130000}"/>
    <cellStyle name="Normal 4 2 4 6 2" xfId="3481" xr:uid="{00000000-0005-0000-0000-0000BE130000}"/>
    <cellStyle name="Normal 4 2 4 6 2 2" xfId="7704" xr:uid="{00000000-0005-0000-0000-0000BF130000}"/>
    <cellStyle name="Normal 4 2 4 6 2 2 2" xfId="16146" xr:uid="{B5F62623-59B7-4C16-9059-8F6558D3258F}"/>
    <cellStyle name="Normal 4 2 4 6 2 3" xfId="11928" xr:uid="{DEE671C8-2107-4C9A-9455-00F673491D8A}"/>
    <cellStyle name="Normal 4 2 4 6 3" xfId="5559" xr:uid="{00000000-0005-0000-0000-0000C0130000}"/>
    <cellStyle name="Normal 4 2 4 6 3 2" xfId="14001" xr:uid="{BFE7674F-B00A-4CDF-835E-FD39DFD8C380}"/>
    <cellStyle name="Normal 4 2 4 6 4" xfId="9783" xr:uid="{84558C91-02F5-435D-8198-349F93A4CB40}"/>
    <cellStyle name="Normal 4 2 4 7" xfId="1664" xr:uid="{00000000-0005-0000-0000-0000C1130000}"/>
    <cellStyle name="Normal 4 2 4 7 2" xfId="3894" xr:uid="{00000000-0005-0000-0000-0000C2130000}"/>
    <cellStyle name="Normal 4 2 4 7 2 2" xfId="8117" xr:uid="{00000000-0005-0000-0000-0000C3130000}"/>
    <cellStyle name="Normal 4 2 4 7 2 2 2" xfId="16559" xr:uid="{CD3EAC33-67BD-485D-A6F3-B8F543CBAD0A}"/>
    <cellStyle name="Normal 4 2 4 7 2 3" xfId="12341" xr:uid="{17D43F7C-D937-427A-B638-6EE08702835F}"/>
    <cellStyle name="Normal 4 2 4 7 3" xfId="5972" xr:uid="{00000000-0005-0000-0000-0000C4130000}"/>
    <cellStyle name="Normal 4 2 4 7 3 2" xfId="14414" xr:uid="{54980721-FA2F-40F7-A4B0-8606BDCA4A3B}"/>
    <cellStyle name="Normal 4 2 4 7 4" xfId="10196" xr:uid="{42CF0825-E028-4DE7-BCB7-F9B5D48CAC01}"/>
    <cellStyle name="Normal 4 2 4 8" xfId="2078" xr:uid="{00000000-0005-0000-0000-0000C5130000}"/>
    <cellStyle name="Normal 4 2 4 8 2" xfId="4307" xr:uid="{00000000-0005-0000-0000-0000C6130000}"/>
    <cellStyle name="Normal 4 2 4 8 2 2" xfId="8530" xr:uid="{00000000-0005-0000-0000-0000C7130000}"/>
    <cellStyle name="Normal 4 2 4 8 2 2 2" xfId="16972" xr:uid="{AC8315F5-C7C5-45F0-BE9B-FFB006193F86}"/>
    <cellStyle name="Normal 4 2 4 8 2 3" xfId="12754" xr:uid="{975E91E3-627D-49D2-AB02-FAEB7305A79F}"/>
    <cellStyle name="Normal 4 2 4 8 3" xfId="6385" xr:uid="{00000000-0005-0000-0000-0000C8130000}"/>
    <cellStyle name="Normal 4 2 4 8 3 2" xfId="14827" xr:uid="{76F22A29-D727-4639-8507-AA76A296BC80}"/>
    <cellStyle name="Normal 4 2 4 8 4" xfId="10609" xr:uid="{2EA76203-BF6F-4E4C-924E-04537D9D6FE7}"/>
    <cellStyle name="Normal 4 2 4 9" xfId="2514" xr:uid="{00000000-0005-0000-0000-0000C9130000}"/>
    <cellStyle name="Normal 4 2 4 9 2" xfId="6798" xr:uid="{00000000-0005-0000-0000-0000CA130000}"/>
    <cellStyle name="Normal 4 2 4 9 2 2" xfId="15240" xr:uid="{BF1263C2-23EA-4146-9B6E-3015DB96BE61}"/>
    <cellStyle name="Normal 4 2 4 9 3" xfId="11022" xr:uid="{EA6E152A-58E8-4DFE-BF6F-5713663A7DBE}"/>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2 2 2" xfId="15742" xr:uid="{18CD7D2B-A23E-4324-8272-77441B3ED7C0}"/>
    <cellStyle name="Normal 4 2 5 2 2 2 3" xfId="11524" xr:uid="{C0381477-D647-4EDB-999D-E8920B0BA62D}"/>
    <cellStyle name="Normal 4 2 5 2 2 3" xfId="5155" xr:uid="{00000000-0005-0000-0000-0000D0130000}"/>
    <cellStyle name="Normal 4 2 5 2 2 3 2" xfId="13597" xr:uid="{412A78EE-2181-4BDE-95C0-DCC0E49B8F88}"/>
    <cellStyle name="Normal 4 2 5 2 2 4" xfId="9379" xr:uid="{8E395B05-78D9-40A8-9619-447550B231FD}"/>
    <cellStyle name="Normal 4 2 5 2 3" xfId="1260" xr:uid="{00000000-0005-0000-0000-0000D1130000}"/>
    <cellStyle name="Normal 4 2 5 2 3 2" xfId="3490" xr:uid="{00000000-0005-0000-0000-0000D2130000}"/>
    <cellStyle name="Normal 4 2 5 2 3 2 2" xfId="7713" xr:uid="{00000000-0005-0000-0000-0000D3130000}"/>
    <cellStyle name="Normal 4 2 5 2 3 2 2 2" xfId="16155" xr:uid="{9F1ABFEC-BE89-4D5A-8B11-3288B0963C40}"/>
    <cellStyle name="Normal 4 2 5 2 3 2 3" xfId="11937" xr:uid="{39B9391C-CBD4-4EB5-8458-A3EB5DF76AC0}"/>
    <cellStyle name="Normal 4 2 5 2 3 3" xfId="5568" xr:uid="{00000000-0005-0000-0000-0000D4130000}"/>
    <cellStyle name="Normal 4 2 5 2 3 3 2" xfId="14010" xr:uid="{BE3EAE64-19BA-4588-A150-D55C24B5CFFE}"/>
    <cellStyle name="Normal 4 2 5 2 3 4" xfId="9792" xr:uid="{98F45BFF-5771-455A-91F2-07A352A9EF64}"/>
    <cellStyle name="Normal 4 2 5 2 4" xfId="1673" xr:uid="{00000000-0005-0000-0000-0000D5130000}"/>
    <cellStyle name="Normal 4 2 5 2 4 2" xfId="3903" xr:uid="{00000000-0005-0000-0000-0000D6130000}"/>
    <cellStyle name="Normal 4 2 5 2 4 2 2" xfId="8126" xr:uid="{00000000-0005-0000-0000-0000D7130000}"/>
    <cellStyle name="Normal 4 2 5 2 4 2 2 2" xfId="16568" xr:uid="{000598DF-FFDD-4A62-B131-492EDD43E493}"/>
    <cellStyle name="Normal 4 2 5 2 4 2 3" xfId="12350" xr:uid="{92D64402-1FF7-40B7-89B5-35EAD02017DE}"/>
    <cellStyle name="Normal 4 2 5 2 4 3" xfId="5981" xr:uid="{00000000-0005-0000-0000-0000D8130000}"/>
    <cellStyle name="Normal 4 2 5 2 4 3 2" xfId="14423" xr:uid="{F7623FB3-03E1-4095-82BF-7EF294CE3C00}"/>
    <cellStyle name="Normal 4 2 5 2 4 4" xfId="10205" xr:uid="{21CF022A-3098-4152-8B3D-82C027E411EE}"/>
    <cellStyle name="Normal 4 2 5 2 5" xfId="2087" xr:uid="{00000000-0005-0000-0000-0000D9130000}"/>
    <cellStyle name="Normal 4 2 5 2 5 2" xfId="4316" xr:uid="{00000000-0005-0000-0000-0000DA130000}"/>
    <cellStyle name="Normal 4 2 5 2 5 2 2" xfId="8539" xr:uid="{00000000-0005-0000-0000-0000DB130000}"/>
    <cellStyle name="Normal 4 2 5 2 5 2 2 2" xfId="16981" xr:uid="{68BBBB72-1147-4684-9A45-E76B110302EE}"/>
    <cellStyle name="Normal 4 2 5 2 5 2 3" xfId="12763" xr:uid="{5B345E12-6CF1-4774-BCCA-F1CBA4C2CF80}"/>
    <cellStyle name="Normal 4 2 5 2 5 3" xfId="6394" xr:uid="{00000000-0005-0000-0000-0000DC130000}"/>
    <cellStyle name="Normal 4 2 5 2 5 3 2" xfId="14836" xr:uid="{DEC80922-C6E3-439C-8DBA-1970C3E552A6}"/>
    <cellStyle name="Normal 4 2 5 2 5 4" xfId="10618" xr:uid="{7C109568-8B15-4D23-A38E-0F19E87E21FC}"/>
    <cellStyle name="Normal 4 2 5 2 6" xfId="2523" xr:uid="{00000000-0005-0000-0000-0000DD130000}"/>
    <cellStyle name="Normal 4 2 5 2 6 2" xfId="6807" xr:uid="{00000000-0005-0000-0000-0000DE130000}"/>
    <cellStyle name="Normal 4 2 5 2 6 2 2" xfId="15249" xr:uid="{AE2A9BC1-E86E-42A6-B2BA-CAB5C158184D}"/>
    <cellStyle name="Normal 4 2 5 2 6 3" xfId="11031" xr:uid="{DF7FC10F-CFAA-4EB1-B91C-93197CAF7759}"/>
    <cellStyle name="Normal 4 2 5 2 7" xfId="4742" xr:uid="{00000000-0005-0000-0000-0000DF130000}"/>
    <cellStyle name="Normal 4 2 5 2 7 2" xfId="13184" xr:uid="{38B6F196-BD7A-4BE4-80FE-F912F6BCB7A0}"/>
    <cellStyle name="Normal 4 2 5 2 8" xfId="8966" xr:uid="{CEA4D49B-59DB-4DE4-9E25-AE5763E4AE78}"/>
    <cellStyle name="Normal 4 2 5 3" xfId="839" xr:uid="{00000000-0005-0000-0000-0000E0130000}"/>
    <cellStyle name="Normal 4 2 5 3 2" xfId="3076" xr:uid="{00000000-0005-0000-0000-0000E1130000}"/>
    <cellStyle name="Normal 4 2 5 3 2 2" xfId="7299" xr:uid="{00000000-0005-0000-0000-0000E2130000}"/>
    <cellStyle name="Normal 4 2 5 3 2 2 2" xfId="15741" xr:uid="{4C8C733C-38D9-4045-B5B7-7F7719466F19}"/>
    <cellStyle name="Normal 4 2 5 3 2 3" xfId="11523" xr:uid="{7330550B-AEFC-4BD3-8DB4-472D41301339}"/>
    <cellStyle name="Normal 4 2 5 3 3" xfId="5154" xr:uid="{00000000-0005-0000-0000-0000E3130000}"/>
    <cellStyle name="Normal 4 2 5 3 3 2" xfId="13596" xr:uid="{D98C79A5-568C-49C0-B424-697746973622}"/>
    <cellStyle name="Normal 4 2 5 3 4" xfId="9378" xr:uid="{B03E6F37-5461-4A08-94CA-20566609FD13}"/>
    <cellStyle name="Normal 4 2 5 4" xfId="1259" xr:uid="{00000000-0005-0000-0000-0000E4130000}"/>
    <cellStyle name="Normal 4 2 5 4 2" xfId="3489" xr:uid="{00000000-0005-0000-0000-0000E5130000}"/>
    <cellStyle name="Normal 4 2 5 4 2 2" xfId="7712" xr:uid="{00000000-0005-0000-0000-0000E6130000}"/>
    <cellStyle name="Normal 4 2 5 4 2 2 2" xfId="16154" xr:uid="{825D4B3C-45EC-45B7-96BF-FAB9AB502907}"/>
    <cellStyle name="Normal 4 2 5 4 2 3" xfId="11936" xr:uid="{DBF99370-3E7C-4C7A-9001-B2596CCE3B9C}"/>
    <cellStyle name="Normal 4 2 5 4 3" xfId="5567" xr:uid="{00000000-0005-0000-0000-0000E7130000}"/>
    <cellStyle name="Normal 4 2 5 4 3 2" xfId="14009" xr:uid="{6537446D-2BE6-4ACA-959A-873F9670C7A5}"/>
    <cellStyle name="Normal 4 2 5 4 4" xfId="9791" xr:uid="{2D14A78F-C756-46A5-959E-85DD137769BD}"/>
    <cellStyle name="Normal 4 2 5 5" xfId="1672" xr:uid="{00000000-0005-0000-0000-0000E8130000}"/>
    <cellStyle name="Normal 4 2 5 5 2" xfId="3902" xr:uid="{00000000-0005-0000-0000-0000E9130000}"/>
    <cellStyle name="Normal 4 2 5 5 2 2" xfId="8125" xr:uid="{00000000-0005-0000-0000-0000EA130000}"/>
    <cellStyle name="Normal 4 2 5 5 2 2 2" xfId="16567" xr:uid="{DB3896FD-5E99-440F-B6DE-BF536F95C925}"/>
    <cellStyle name="Normal 4 2 5 5 2 3" xfId="12349" xr:uid="{43EC4331-AE79-4A26-B70C-6E26B7A772C0}"/>
    <cellStyle name="Normal 4 2 5 5 3" xfId="5980" xr:uid="{00000000-0005-0000-0000-0000EB130000}"/>
    <cellStyle name="Normal 4 2 5 5 3 2" xfId="14422" xr:uid="{41F9B13A-4AC1-422E-92B1-578723C4B50A}"/>
    <cellStyle name="Normal 4 2 5 5 4" xfId="10204" xr:uid="{16FEC146-8B47-4058-A06A-14E981B74F60}"/>
    <cellStyle name="Normal 4 2 5 6" xfId="2086" xr:uid="{00000000-0005-0000-0000-0000EC130000}"/>
    <cellStyle name="Normal 4 2 5 6 2" xfId="4315" xr:uid="{00000000-0005-0000-0000-0000ED130000}"/>
    <cellStyle name="Normal 4 2 5 6 2 2" xfId="8538" xr:uid="{00000000-0005-0000-0000-0000EE130000}"/>
    <cellStyle name="Normal 4 2 5 6 2 2 2" xfId="16980" xr:uid="{39DA4592-A663-4A7B-9C64-D2F16A47657C}"/>
    <cellStyle name="Normal 4 2 5 6 2 3" xfId="12762" xr:uid="{E7E11654-EC15-4E0E-8E8B-29512F0D71F4}"/>
    <cellStyle name="Normal 4 2 5 6 3" xfId="6393" xr:uid="{00000000-0005-0000-0000-0000EF130000}"/>
    <cellStyle name="Normal 4 2 5 6 3 2" xfId="14835" xr:uid="{C045A997-5208-4CB2-8A5D-682BBDF1A22B}"/>
    <cellStyle name="Normal 4 2 5 6 4" xfId="10617" xr:uid="{9D591B9D-B393-4D5C-B315-294B63437E02}"/>
    <cellStyle name="Normal 4 2 5 7" xfId="2522" xr:uid="{00000000-0005-0000-0000-0000F0130000}"/>
    <cellStyle name="Normal 4 2 5 7 2" xfId="6806" xr:uid="{00000000-0005-0000-0000-0000F1130000}"/>
    <cellStyle name="Normal 4 2 5 7 2 2" xfId="15248" xr:uid="{30D6C675-8C0E-449E-879F-76CCEE2E1B79}"/>
    <cellStyle name="Normal 4 2 5 7 3" xfId="11030" xr:uid="{0CA1DE86-81B8-496F-B2FB-D6374CEFD6BF}"/>
    <cellStyle name="Normal 4 2 5 8" xfId="4741" xr:uid="{00000000-0005-0000-0000-0000F2130000}"/>
    <cellStyle name="Normal 4 2 5 8 2" xfId="13183" xr:uid="{D7902CFD-9A01-4DD3-8D64-6F340F4A7B87}"/>
    <cellStyle name="Normal 4 2 5 9" xfId="8965" xr:uid="{92ADD001-47EA-47EF-BCA7-6C54EB955BFC}"/>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2 2 2" xfId="15743" xr:uid="{4D9391BD-2273-4A8F-98AC-41F75DF615B1}"/>
    <cellStyle name="Normal 4 2 6 2 2 3" xfId="11525" xr:uid="{14F10A0C-00B3-428B-8928-A6D0521A82B7}"/>
    <cellStyle name="Normal 4 2 6 2 3" xfId="5156" xr:uid="{00000000-0005-0000-0000-0000F7130000}"/>
    <cellStyle name="Normal 4 2 6 2 3 2" xfId="13598" xr:uid="{0FB06E5C-7661-4A8E-B0D9-FDFEB4803574}"/>
    <cellStyle name="Normal 4 2 6 2 4" xfId="9380" xr:uid="{A25D6636-428B-4A3A-AFDB-2BC9EAA95E74}"/>
    <cellStyle name="Normal 4 2 6 3" xfId="1261" xr:uid="{00000000-0005-0000-0000-0000F8130000}"/>
    <cellStyle name="Normal 4 2 6 3 2" xfId="3491" xr:uid="{00000000-0005-0000-0000-0000F9130000}"/>
    <cellStyle name="Normal 4 2 6 3 2 2" xfId="7714" xr:uid="{00000000-0005-0000-0000-0000FA130000}"/>
    <cellStyle name="Normal 4 2 6 3 2 2 2" xfId="16156" xr:uid="{1E57BF6E-FE50-40B0-B94F-F2A103655D3B}"/>
    <cellStyle name="Normal 4 2 6 3 2 3" xfId="11938" xr:uid="{71262EDE-1CC0-4705-9ACA-24A3ED36CEC4}"/>
    <cellStyle name="Normal 4 2 6 3 3" xfId="5569" xr:uid="{00000000-0005-0000-0000-0000FB130000}"/>
    <cellStyle name="Normal 4 2 6 3 3 2" xfId="14011" xr:uid="{B1E76246-1B94-4D81-B3D2-E10AD9581111}"/>
    <cellStyle name="Normal 4 2 6 3 4" xfId="9793" xr:uid="{31A82F0A-3271-4F22-B843-189F0D7B5E59}"/>
    <cellStyle name="Normal 4 2 6 4" xfId="1674" xr:uid="{00000000-0005-0000-0000-0000FC130000}"/>
    <cellStyle name="Normal 4 2 6 4 2" xfId="3904" xr:uid="{00000000-0005-0000-0000-0000FD130000}"/>
    <cellStyle name="Normal 4 2 6 4 2 2" xfId="8127" xr:uid="{00000000-0005-0000-0000-0000FE130000}"/>
    <cellStyle name="Normal 4 2 6 4 2 2 2" xfId="16569" xr:uid="{63F4F256-096D-4FA9-98EB-77E0B8CA11CB}"/>
    <cellStyle name="Normal 4 2 6 4 2 3" xfId="12351" xr:uid="{C6AE546D-8657-4191-8489-0DADC402C5E3}"/>
    <cellStyle name="Normal 4 2 6 4 3" xfId="5982" xr:uid="{00000000-0005-0000-0000-0000FF130000}"/>
    <cellStyle name="Normal 4 2 6 4 3 2" xfId="14424" xr:uid="{F08B2C4A-AD9B-443F-BD2A-6702FD6FF626}"/>
    <cellStyle name="Normal 4 2 6 4 4" xfId="10206" xr:uid="{C69131BC-0369-4CBE-B314-C678F439D562}"/>
    <cellStyle name="Normal 4 2 6 5" xfId="2088" xr:uid="{00000000-0005-0000-0000-000000140000}"/>
    <cellStyle name="Normal 4 2 6 5 2" xfId="4317" xr:uid="{00000000-0005-0000-0000-000001140000}"/>
    <cellStyle name="Normal 4 2 6 5 2 2" xfId="8540" xr:uid="{00000000-0005-0000-0000-000002140000}"/>
    <cellStyle name="Normal 4 2 6 5 2 2 2" xfId="16982" xr:uid="{7C8FABB6-3ED1-4AE3-B0E5-81763B30277E}"/>
    <cellStyle name="Normal 4 2 6 5 2 3" xfId="12764" xr:uid="{050A594E-1538-4BF3-B342-6C74D16A5F9F}"/>
    <cellStyle name="Normal 4 2 6 5 3" xfId="6395" xr:uid="{00000000-0005-0000-0000-000003140000}"/>
    <cellStyle name="Normal 4 2 6 5 3 2" xfId="14837" xr:uid="{28CABD9B-095D-4486-90F7-30007D13CC4C}"/>
    <cellStyle name="Normal 4 2 6 5 4" xfId="10619" xr:uid="{B1D4BCCA-82B4-46E5-B096-D0858491D003}"/>
    <cellStyle name="Normal 4 2 6 6" xfId="2524" xr:uid="{00000000-0005-0000-0000-000004140000}"/>
    <cellStyle name="Normal 4 2 6 6 2" xfId="6808" xr:uid="{00000000-0005-0000-0000-000005140000}"/>
    <cellStyle name="Normal 4 2 6 6 2 2" xfId="15250" xr:uid="{D26DB7EC-002C-43E0-8CD3-1A5172127FA1}"/>
    <cellStyle name="Normal 4 2 6 6 3" xfId="11032" xr:uid="{2A16F550-9927-419D-8C87-DE25F607ED58}"/>
    <cellStyle name="Normal 4 2 6 7" xfId="4743" xr:uid="{00000000-0005-0000-0000-000006140000}"/>
    <cellStyle name="Normal 4 2 6 7 2" xfId="13185" xr:uid="{7B5981C2-C48A-4360-9164-29A6A34062F3}"/>
    <cellStyle name="Normal 4 2 6 8" xfId="8967" xr:uid="{85770553-3649-467E-A839-3AA1A219C0DF}"/>
    <cellStyle name="Normal 4 3" xfId="366" xr:uid="{00000000-0005-0000-0000-000007140000}"/>
    <cellStyle name="Normal 4 3 10" xfId="8968" xr:uid="{DA23BC19-7117-467C-9C0D-FFBD7349B938}"/>
    <cellStyle name="Normal 4 3 2" xfId="367" xr:uid="{00000000-0005-0000-0000-000008140000}"/>
    <cellStyle name="Normal 4 3 2 2" xfId="368" xr:uid="{00000000-0005-0000-0000-000009140000}"/>
    <cellStyle name="Normal 4 3 2 2 2" xfId="369" xr:uid="{00000000-0005-0000-0000-00000A140000}"/>
    <cellStyle name="Normal 4 3 2 2 2 10" xfId="8969" xr:uid="{121B5853-36AB-4D14-B6DC-0FB9E0675786}"/>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2 2 2" xfId="15747" xr:uid="{818F4A90-E629-4520-9934-1A03F9FDCD8B}"/>
    <cellStyle name="Normal 4 3 2 2 2 2 2 2 2 3" xfId="11529" xr:uid="{2B8A93E2-6A75-4044-8154-EF1A56D1AE85}"/>
    <cellStyle name="Normal 4 3 2 2 2 2 2 2 3" xfId="5160" xr:uid="{00000000-0005-0000-0000-000010140000}"/>
    <cellStyle name="Normal 4 3 2 2 2 2 2 2 3 2" xfId="13602" xr:uid="{9EC5F1CD-789B-4407-A618-9DE5DF34C6E1}"/>
    <cellStyle name="Normal 4 3 2 2 2 2 2 2 4" xfId="9384" xr:uid="{8BE9F40E-6DA4-45BC-8F74-6FB63164C9E4}"/>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2 2 2" xfId="16160" xr:uid="{C47A8A79-870A-4E48-8C74-486C7B1F53E2}"/>
    <cellStyle name="Normal 4 3 2 2 2 2 2 3 2 3" xfId="11942" xr:uid="{933E3B49-2081-4069-9F1F-4A812DF049B7}"/>
    <cellStyle name="Normal 4 3 2 2 2 2 2 3 3" xfId="5573" xr:uid="{00000000-0005-0000-0000-000014140000}"/>
    <cellStyle name="Normal 4 3 2 2 2 2 2 3 3 2" xfId="14015" xr:uid="{5A2A1D70-1621-43B1-8976-79581ABCB256}"/>
    <cellStyle name="Normal 4 3 2 2 2 2 2 3 4" xfId="9797" xr:uid="{457A7BF5-86CC-4A96-B167-EF71BB0705FD}"/>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2 2 2" xfId="16573" xr:uid="{A6B89588-0972-495F-9668-F6CBCCCA9A30}"/>
    <cellStyle name="Normal 4 3 2 2 2 2 2 4 2 3" xfId="12355" xr:uid="{C76FD37D-63B1-4A1E-BF0E-496B6C18AC09}"/>
    <cellStyle name="Normal 4 3 2 2 2 2 2 4 3" xfId="5986" xr:uid="{00000000-0005-0000-0000-000018140000}"/>
    <cellStyle name="Normal 4 3 2 2 2 2 2 4 3 2" xfId="14428" xr:uid="{7B599F68-D998-4642-9F33-A381717A80AC}"/>
    <cellStyle name="Normal 4 3 2 2 2 2 2 4 4" xfId="10210" xr:uid="{513DB70C-858E-43B3-BB16-79416B763FF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2 2 2" xfId="16986" xr:uid="{C0C5230E-10C4-4111-964D-B63E54090442}"/>
    <cellStyle name="Normal 4 3 2 2 2 2 2 5 2 3" xfId="12768" xr:uid="{DA096668-A091-4FB3-A938-3BE3CA566F47}"/>
    <cellStyle name="Normal 4 3 2 2 2 2 2 5 3" xfId="6399" xr:uid="{00000000-0005-0000-0000-00001C140000}"/>
    <cellStyle name="Normal 4 3 2 2 2 2 2 5 3 2" xfId="14841" xr:uid="{0D483B1A-D2D4-4AB5-BA1A-5A913462313E}"/>
    <cellStyle name="Normal 4 3 2 2 2 2 2 5 4" xfId="10623" xr:uid="{55AC51A1-F251-4291-BDF2-405945A5B610}"/>
    <cellStyle name="Normal 4 3 2 2 2 2 2 6" xfId="2528" xr:uid="{00000000-0005-0000-0000-00001D140000}"/>
    <cellStyle name="Normal 4 3 2 2 2 2 2 6 2" xfId="6812" xr:uid="{00000000-0005-0000-0000-00001E140000}"/>
    <cellStyle name="Normal 4 3 2 2 2 2 2 6 2 2" xfId="15254" xr:uid="{CCBA7E2B-9F8B-4FED-BCD9-891567FA2ED4}"/>
    <cellStyle name="Normal 4 3 2 2 2 2 2 6 3" xfId="11036" xr:uid="{01AC57FC-89AE-4F6D-8877-8A76A133B561}"/>
    <cellStyle name="Normal 4 3 2 2 2 2 2 7" xfId="4747" xr:uid="{00000000-0005-0000-0000-00001F140000}"/>
    <cellStyle name="Normal 4 3 2 2 2 2 2 7 2" xfId="13189" xr:uid="{B43B227F-941A-4779-8E56-B935BEB1AF6B}"/>
    <cellStyle name="Normal 4 3 2 2 2 2 2 8" xfId="8971" xr:uid="{0B2CD0FE-745C-4ABF-87AC-46EEA20A0B49}"/>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2 2 2" xfId="15746" xr:uid="{9D0B8ED0-1F21-46F4-9AF3-1B16FA5B9154}"/>
    <cellStyle name="Normal 4 3 2 2 2 2 3 2 3" xfId="11528" xr:uid="{6C9BCC04-9922-446D-8E0A-30CBC2D91105}"/>
    <cellStyle name="Normal 4 3 2 2 2 2 3 3" xfId="5159" xr:uid="{00000000-0005-0000-0000-000023140000}"/>
    <cellStyle name="Normal 4 3 2 2 2 2 3 3 2" xfId="13601" xr:uid="{3FB89C18-5EFB-4302-9C59-432EFD2A4C19}"/>
    <cellStyle name="Normal 4 3 2 2 2 2 3 4" xfId="9383" xr:uid="{42D4A902-4874-4A5B-A982-DE0D2291F43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2 2 2" xfId="16159" xr:uid="{4A6134C2-6878-4CCC-B60B-E1811D3816C0}"/>
    <cellStyle name="Normal 4 3 2 2 2 2 4 2 3" xfId="11941" xr:uid="{A2058DE8-3130-4B74-9C53-10B4B8272CF1}"/>
    <cellStyle name="Normal 4 3 2 2 2 2 4 3" xfId="5572" xr:uid="{00000000-0005-0000-0000-000027140000}"/>
    <cellStyle name="Normal 4 3 2 2 2 2 4 3 2" xfId="14014" xr:uid="{0BB6C186-A594-453C-8ED2-DA5C19ACCC69}"/>
    <cellStyle name="Normal 4 3 2 2 2 2 4 4" xfId="9796" xr:uid="{49690048-FE7E-4AC9-A167-85E78882C7E8}"/>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2 2 2" xfId="16572" xr:uid="{09A45CD3-E75E-49F5-A213-1332A4FC44DB}"/>
    <cellStyle name="Normal 4 3 2 2 2 2 5 2 3" xfId="12354" xr:uid="{123A736F-BA4E-43B5-AC2E-6CC75A84F65C}"/>
    <cellStyle name="Normal 4 3 2 2 2 2 5 3" xfId="5985" xr:uid="{00000000-0005-0000-0000-00002B140000}"/>
    <cellStyle name="Normal 4 3 2 2 2 2 5 3 2" xfId="14427" xr:uid="{A0CDD4FB-621F-40E8-9B2F-739F12D2EE1F}"/>
    <cellStyle name="Normal 4 3 2 2 2 2 5 4" xfId="10209" xr:uid="{E3344A05-9807-4AD2-AF63-A9996C9B923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2 2 2" xfId="16985" xr:uid="{34FDFAD0-2DDB-4AD3-A5DE-239112369EA2}"/>
    <cellStyle name="Normal 4 3 2 2 2 2 6 2 3" xfId="12767" xr:uid="{161B61CA-6576-486B-8E6B-2D7A07A45B78}"/>
    <cellStyle name="Normal 4 3 2 2 2 2 6 3" xfId="6398" xr:uid="{00000000-0005-0000-0000-00002F140000}"/>
    <cellStyle name="Normal 4 3 2 2 2 2 6 3 2" xfId="14840" xr:uid="{84CB0DBD-0F65-4122-B2E5-D9BF013DEB1C}"/>
    <cellStyle name="Normal 4 3 2 2 2 2 6 4" xfId="10622" xr:uid="{FFC52F30-064E-4D93-8711-913A388CEDDB}"/>
    <cellStyle name="Normal 4 3 2 2 2 2 7" xfId="2527" xr:uid="{00000000-0005-0000-0000-000030140000}"/>
    <cellStyle name="Normal 4 3 2 2 2 2 7 2" xfId="6811" xr:uid="{00000000-0005-0000-0000-000031140000}"/>
    <cellStyle name="Normal 4 3 2 2 2 2 7 2 2" xfId="15253" xr:uid="{3B2513F1-76FF-44A2-8258-2C6C8864DBAB}"/>
    <cellStyle name="Normal 4 3 2 2 2 2 7 3" xfId="11035" xr:uid="{B7984B0D-58AA-4305-8648-0B6E2CA0A3B1}"/>
    <cellStyle name="Normal 4 3 2 2 2 2 8" xfId="4746" xr:uid="{00000000-0005-0000-0000-000032140000}"/>
    <cellStyle name="Normal 4 3 2 2 2 2 8 2" xfId="13188" xr:uid="{61E5C3AD-6C9B-4BFF-8E0C-268370050643}"/>
    <cellStyle name="Normal 4 3 2 2 2 2 9" xfId="8970" xr:uid="{0CD4F61A-2624-48A5-B3AA-B64967B5B815}"/>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2 2 2" xfId="15748" xr:uid="{91250A55-EA46-40FA-B26B-1B2C3EC8CF09}"/>
    <cellStyle name="Normal 4 3 2 2 2 3 2 2 3" xfId="11530" xr:uid="{C45E21A9-1A6F-4E24-8C75-68DF0A90EE04}"/>
    <cellStyle name="Normal 4 3 2 2 2 3 2 3" xfId="5161" xr:uid="{00000000-0005-0000-0000-000037140000}"/>
    <cellStyle name="Normal 4 3 2 2 2 3 2 3 2" xfId="13603" xr:uid="{E69FF14C-3C01-49D2-8639-A5CBF11C5C85}"/>
    <cellStyle name="Normal 4 3 2 2 2 3 2 4" xfId="9385" xr:uid="{C951C886-9529-4010-BC0D-F3C699CA28DB}"/>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2 2 2" xfId="16161" xr:uid="{D9CCFA37-637A-430E-BBE5-345C5E54C7AF}"/>
    <cellStyle name="Normal 4 3 2 2 2 3 3 2 3" xfId="11943" xr:uid="{54406F4F-34B8-4248-B59F-4DD3F0B5E745}"/>
    <cellStyle name="Normal 4 3 2 2 2 3 3 3" xfId="5574" xr:uid="{00000000-0005-0000-0000-00003B140000}"/>
    <cellStyle name="Normal 4 3 2 2 2 3 3 3 2" xfId="14016" xr:uid="{1F514C1D-F9D3-4E2A-8CA6-5AD55CFF663F}"/>
    <cellStyle name="Normal 4 3 2 2 2 3 3 4" xfId="9798" xr:uid="{8825FC3D-577D-44DC-9E42-C76AEC5B4DF5}"/>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2 2 2" xfId="16574" xr:uid="{D29E44B5-7646-4E02-808C-3C2619D861DB}"/>
    <cellStyle name="Normal 4 3 2 2 2 3 4 2 3" xfId="12356" xr:uid="{C7B8C7B2-B242-46F2-920A-A6974018DBBD}"/>
    <cellStyle name="Normal 4 3 2 2 2 3 4 3" xfId="5987" xr:uid="{00000000-0005-0000-0000-00003F140000}"/>
    <cellStyle name="Normal 4 3 2 2 2 3 4 3 2" xfId="14429" xr:uid="{CFBBCBC5-312E-48D5-98EA-5DACDA6979B9}"/>
    <cellStyle name="Normal 4 3 2 2 2 3 4 4" xfId="10211" xr:uid="{5C75A927-B93B-4E45-ADF2-BAD9B8E36604}"/>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2 2 2" xfId="16987" xr:uid="{6EE8B724-D88A-4A09-9EB6-4D60AD4613FB}"/>
    <cellStyle name="Normal 4 3 2 2 2 3 5 2 3" xfId="12769" xr:uid="{B9852F15-E723-4716-88D4-C3C7B1E66F68}"/>
    <cellStyle name="Normal 4 3 2 2 2 3 5 3" xfId="6400" xr:uid="{00000000-0005-0000-0000-000043140000}"/>
    <cellStyle name="Normal 4 3 2 2 2 3 5 3 2" xfId="14842" xr:uid="{BBDF8E3C-9779-47D1-AD9E-B257909E1D78}"/>
    <cellStyle name="Normal 4 3 2 2 2 3 5 4" xfId="10624" xr:uid="{0C95C41C-2A08-43D3-9802-7DB0E1063CAA}"/>
    <cellStyle name="Normal 4 3 2 2 2 3 6" xfId="2529" xr:uid="{00000000-0005-0000-0000-000044140000}"/>
    <cellStyle name="Normal 4 3 2 2 2 3 6 2" xfId="6813" xr:uid="{00000000-0005-0000-0000-000045140000}"/>
    <cellStyle name="Normal 4 3 2 2 2 3 6 2 2" xfId="15255" xr:uid="{DF9F6F6F-C23A-409F-A41D-1AE7AC3134A2}"/>
    <cellStyle name="Normal 4 3 2 2 2 3 6 3" xfId="11037" xr:uid="{97C94A3F-931D-475C-B7DC-D42CC43EC801}"/>
    <cellStyle name="Normal 4 3 2 2 2 3 7" xfId="4748" xr:uid="{00000000-0005-0000-0000-000046140000}"/>
    <cellStyle name="Normal 4 3 2 2 2 3 7 2" xfId="13190" xr:uid="{024811C0-1A72-48BD-A469-4CA9284EE00F}"/>
    <cellStyle name="Normal 4 3 2 2 2 3 8" xfId="8972" xr:uid="{81CE3E45-EE27-479B-BB6D-223B6770B6C9}"/>
    <cellStyle name="Normal 4 3 2 2 2 4" xfId="844" xr:uid="{00000000-0005-0000-0000-000047140000}"/>
    <cellStyle name="Normal 4 3 2 2 2 4 2" xfId="3080" xr:uid="{00000000-0005-0000-0000-000048140000}"/>
    <cellStyle name="Normal 4 3 2 2 2 4 2 2" xfId="7303" xr:uid="{00000000-0005-0000-0000-000049140000}"/>
    <cellStyle name="Normal 4 3 2 2 2 4 2 2 2" xfId="15745" xr:uid="{7E0FA689-F6A6-4DE2-8E1D-B802BF43578A}"/>
    <cellStyle name="Normal 4 3 2 2 2 4 2 3" xfId="11527" xr:uid="{7E3F1C4F-1175-4677-A0AC-550B3C033C0E}"/>
    <cellStyle name="Normal 4 3 2 2 2 4 3" xfId="5158" xr:uid="{00000000-0005-0000-0000-00004A140000}"/>
    <cellStyle name="Normal 4 3 2 2 2 4 3 2" xfId="13600" xr:uid="{EBB671FF-D870-479A-AF27-C0B974E99ABE}"/>
    <cellStyle name="Normal 4 3 2 2 2 4 4" xfId="9382" xr:uid="{0041F03C-916A-4862-BEE8-78E2BC9AF02D}"/>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2 2 2" xfId="16158" xr:uid="{63981602-2D56-488D-9526-7CBE38EBB2DC}"/>
    <cellStyle name="Normal 4 3 2 2 2 5 2 3" xfId="11940" xr:uid="{48F7A71C-1959-4764-B9D5-100AE84C0EB3}"/>
    <cellStyle name="Normal 4 3 2 2 2 5 3" xfId="5571" xr:uid="{00000000-0005-0000-0000-00004E140000}"/>
    <cellStyle name="Normal 4 3 2 2 2 5 3 2" xfId="14013" xr:uid="{CE567518-4EA0-4FC3-BCAC-B80839A3CC4D}"/>
    <cellStyle name="Normal 4 3 2 2 2 5 4" xfId="9795" xr:uid="{6F37E300-837A-4A8A-9D41-A4066F8B0369}"/>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2 2 2" xfId="16571" xr:uid="{9B02ED55-89A3-4EBE-8EFF-715EA8EE3630}"/>
    <cellStyle name="Normal 4 3 2 2 2 6 2 3" xfId="12353" xr:uid="{E7486DBA-E7A9-4FA6-B33E-2EF95E52A546}"/>
    <cellStyle name="Normal 4 3 2 2 2 6 3" xfId="5984" xr:uid="{00000000-0005-0000-0000-000052140000}"/>
    <cellStyle name="Normal 4 3 2 2 2 6 3 2" xfId="14426" xr:uid="{C41BDBDD-6E1E-4D9C-8261-5551EF757A68}"/>
    <cellStyle name="Normal 4 3 2 2 2 6 4" xfId="10208" xr:uid="{B8BC97B1-CB34-4C0E-9FB1-903DD0388B8D}"/>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2 2 2" xfId="16984" xr:uid="{1B56E12A-1B41-4754-89CF-ED9710E3EDDF}"/>
    <cellStyle name="Normal 4 3 2 2 2 7 2 3" xfId="12766" xr:uid="{1B5D66D6-0C8D-4F15-A6F8-5EC07E1D86DE}"/>
    <cellStyle name="Normal 4 3 2 2 2 7 3" xfId="6397" xr:uid="{00000000-0005-0000-0000-000056140000}"/>
    <cellStyle name="Normal 4 3 2 2 2 7 3 2" xfId="14839" xr:uid="{03D83D3E-DA82-4BF1-8F24-6E0142041351}"/>
    <cellStyle name="Normal 4 3 2 2 2 7 4" xfId="10621" xr:uid="{B2A631DC-279E-4A81-A9E8-98FDBA724A8C}"/>
    <cellStyle name="Normal 4 3 2 2 2 8" xfId="2526" xr:uid="{00000000-0005-0000-0000-000057140000}"/>
    <cellStyle name="Normal 4 3 2 2 2 8 2" xfId="6810" xr:uid="{00000000-0005-0000-0000-000058140000}"/>
    <cellStyle name="Normal 4 3 2 2 2 8 2 2" xfId="15252" xr:uid="{7516C3A0-EFEF-4CFE-ABAA-0FD26D9D4D37}"/>
    <cellStyle name="Normal 4 3 2 2 2 8 3" xfId="11034" xr:uid="{73D57B24-318F-4C93-A46B-D3859CB595FC}"/>
    <cellStyle name="Normal 4 3 2 2 2 9" xfId="4745" xr:uid="{00000000-0005-0000-0000-000059140000}"/>
    <cellStyle name="Normal 4 3 2 2 2 9 2" xfId="13187" xr:uid="{EC63604E-CFB3-4D1B-8065-E47690573102}"/>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10" xfId="8973" xr:uid="{4B5A352E-35B8-435A-93A5-CCB9639B5F74}"/>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2 2 2" xfId="15751" xr:uid="{A96B38EF-915B-4FB1-9053-AB16363C5E92}"/>
    <cellStyle name="Normal 4 3 3 2 2 2 2 3" xfId="11533" xr:uid="{67F9683E-F758-4342-ABC9-41617377006D}"/>
    <cellStyle name="Normal 4 3 3 2 2 2 3" xfId="5164" xr:uid="{00000000-0005-0000-0000-000063140000}"/>
    <cellStyle name="Normal 4 3 3 2 2 2 3 2" xfId="13606" xr:uid="{07F40637-1D18-4446-AD32-1A22C582CAF8}"/>
    <cellStyle name="Normal 4 3 3 2 2 2 4" xfId="9388" xr:uid="{39A5B663-27C9-4EB5-891A-631350CE10C2}"/>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2 2 2" xfId="16164" xr:uid="{6F93BFD2-7F63-41EF-A86C-6DE04DC9C31B}"/>
    <cellStyle name="Normal 4 3 3 2 2 3 2 3" xfId="11946" xr:uid="{F1EE5F59-E85A-45AD-A409-E0A107B5BC74}"/>
    <cellStyle name="Normal 4 3 3 2 2 3 3" xfId="5577" xr:uid="{00000000-0005-0000-0000-000067140000}"/>
    <cellStyle name="Normal 4 3 3 2 2 3 3 2" xfId="14019" xr:uid="{09CD1036-AC42-402A-B77E-E0DCA70ED5B0}"/>
    <cellStyle name="Normal 4 3 3 2 2 3 4" xfId="9801" xr:uid="{FA663277-1127-4C51-A8D9-97BC6853FC85}"/>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2 2 2" xfId="16577" xr:uid="{8BA4D2F2-E519-43A7-B436-BC2361767C40}"/>
    <cellStyle name="Normal 4 3 3 2 2 4 2 3" xfId="12359" xr:uid="{6C0A1D48-9ABC-4F22-A44D-BA1E8ACBF20A}"/>
    <cellStyle name="Normal 4 3 3 2 2 4 3" xfId="5990" xr:uid="{00000000-0005-0000-0000-00006B140000}"/>
    <cellStyle name="Normal 4 3 3 2 2 4 3 2" xfId="14432" xr:uid="{D12B0E2A-631B-451E-A3EF-6C60AADDA055}"/>
    <cellStyle name="Normal 4 3 3 2 2 4 4" xfId="10214" xr:uid="{AB958647-4234-4A1A-9F2D-5F1BDFD45693}"/>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2 2 2" xfId="16990" xr:uid="{410B6705-85D7-4CCF-9488-0F61321428D1}"/>
    <cellStyle name="Normal 4 3 3 2 2 5 2 3" xfId="12772" xr:uid="{443C707D-937D-4B49-AEF3-D85F2470938C}"/>
    <cellStyle name="Normal 4 3 3 2 2 5 3" xfId="6403" xr:uid="{00000000-0005-0000-0000-00006F140000}"/>
    <cellStyle name="Normal 4 3 3 2 2 5 3 2" xfId="14845" xr:uid="{1ED338A5-0D96-4BA3-876C-F842F57EDF92}"/>
    <cellStyle name="Normal 4 3 3 2 2 5 4" xfId="10627" xr:uid="{A43256FD-1006-4B0A-AAE3-C63612741494}"/>
    <cellStyle name="Normal 4 3 3 2 2 6" xfId="2532" xr:uid="{00000000-0005-0000-0000-000070140000}"/>
    <cellStyle name="Normal 4 3 3 2 2 6 2" xfId="6816" xr:uid="{00000000-0005-0000-0000-000071140000}"/>
    <cellStyle name="Normal 4 3 3 2 2 6 2 2" xfId="15258" xr:uid="{D49B4315-D413-45A2-B1DB-B82680263CB5}"/>
    <cellStyle name="Normal 4 3 3 2 2 6 3" xfId="11040" xr:uid="{7BB0AB5E-908B-40A3-AC06-9B6A56660F77}"/>
    <cellStyle name="Normal 4 3 3 2 2 7" xfId="4751" xr:uid="{00000000-0005-0000-0000-000072140000}"/>
    <cellStyle name="Normal 4 3 3 2 2 7 2" xfId="13193" xr:uid="{CCC67035-9B17-4C38-8315-FD6C62AE2D5E}"/>
    <cellStyle name="Normal 4 3 3 2 2 8" xfId="8975" xr:uid="{A8298D9B-4BE3-4972-85C5-F82829011499}"/>
    <cellStyle name="Normal 4 3 3 2 3" xfId="850" xr:uid="{00000000-0005-0000-0000-000073140000}"/>
    <cellStyle name="Normal 4 3 3 2 3 2" xfId="3085" xr:uid="{00000000-0005-0000-0000-000074140000}"/>
    <cellStyle name="Normal 4 3 3 2 3 2 2" xfId="7308" xr:uid="{00000000-0005-0000-0000-000075140000}"/>
    <cellStyle name="Normal 4 3 3 2 3 2 2 2" xfId="15750" xr:uid="{EE43BAB1-AE49-4F12-B3AE-4E944CCFABE8}"/>
    <cellStyle name="Normal 4 3 3 2 3 2 3" xfId="11532" xr:uid="{E84227CD-7D6B-4E30-8BD6-421647D01356}"/>
    <cellStyle name="Normal 4 3 3 2 3 3" xfId="5163" xr:uid="{00000000-0005-0000-0000-000076140000}"/>
    <cellStyle name="Normal 4 3 3 2 3 3 2" xfId="13605" xr:uid="{1936B086-7DCB-4541-8F57-E3F77F02FF7D}"/>
    <cellStyle name="Normal 4 3 3 2 3 4" xfId="9387" xr:uid="{8C3BF0D1-B9F6-4F3F-A7BC-538359D7454E}"/>
    <cellStyle name="Normal 4 3 3 2 4" xfId="1268" xr:uid="{00000000-0005-0000-0000-000077140000}"/>
    <cellStyle name="Normal 4 3 3 2 4 2" xfId="3498" xr:uid="{00000000-0005-0000-0000-000078140000}"/>
    <cellStyle name="Normal 4 3 3 2 4 2 2" xfId="7721" xr:uid="{00000000-0005-0000-0000-000079140000}"/>
    <cellStyle name="Normal 4 3 3 2 4 2 2 2" xfId="16163" xr:uid="{259D7A21-4989-4A18-8D2D-C94C5F30E704}"/>
    <cellStyle name="Normal 4 3 3 2 4 2 3" xfId="11945" xr:uid="{5A4FB296-210E-4796-A1A7-E3940A4B91CE}"/>
    <cellStyle name="Normal 4 3 3 2 4 3" xfId="5576" xr:uid="{00000000-0005-0000-0000-00007A140000}"/>
    <cellStyle name="Normal 4 3 3 2 4 3 2" xfId="14018" xr:uid="{41C1D964-AB5E-470D-91B6-041CC71023AC}"/>
    <cellStyle name="Normal 4 3 3 2 4 4" xfId="9800" xr:uid="{CE0F9039-6AD7-457E-ACA5-FD14973C7BB3}"/>
    <cellStyle name="Normal 4 3 3 2 5" xfId="1681" xr:uid="{00000000-0005-0000-0000-00007B140000}"/>
    <cellStyle name="Normal 4 3 3 2 5 2" xfId="3911" xr:uid="{00000000-0005-0000-0000-00007C140000}"/>
    <cellStyle name="Normal 4 3 3 2 5 2 2" xfId="8134" xr:uid="{00000000-0005-0000-0000-00007D140000}"/>
    <cellStyle name="Normal 4 3 3 2 5 2 2 2" xfId="16576" xr:uid="{8AD86D00-D64B-498E-AC4C-AB6F9567E8C3}"/>
    <cellStyle name="Normal 4 3 3 2 5 2 3" xfId="12358" xr:uid="{A3E81085-1696-44F5-810C-A7DCF2C70633}"/>
    <cellStyle name="Normal 4 3 3 2 5 3" xfId="5989" xr:uid="{00000000-0005-0000-0000-00007E140000}"/>
    <cellStyle name="Normal 4 3 3 2 5 3 2" xfId="14431" xr:uid="{54EB0840-7274-4760-B3D4-50207EF01D59}"/>
    <cellStyle name="Normal 4 3 3 2 5 4" xfId="10213" xr:uid="{0EC215F2-948F-4BDA-82A9-C7A33620C080}"/>
    <cellStyle name="Normal 4 3 3 2 6" xfId="2095" xr:uid="{00000000-0005-0000-0000-00007F140000}"/>
    <cellStyle name="Normal 4 3 3 2 6 2" xfId="4324" xr:uid="{00000000-0005-0000-0000-000080140000}"/>
    <cellStyle name="Normal 4 3 3 2 6 2 2" xfId="8547" xr:uid="{00000000-0005-0000-0000-000081140000}"/>
    <cellStyle name="Normal 4 3 3 2 6 2 2 2" xfId="16989" xr:uid="{F170533E-404E-4AC4-8346-43D9B7C8C921}"/>
    <cellStyle name="Normal 4 3 3 2 6 2 3" xfId="12771" xr:uid="{8BE858D4-EC92-4275-AF9F-70770BA87AE6}"/>
    <cellStyle name="Normal 4 3 3 2 6 3" xfId="6402" xr:uid="{00000000-0005-0000-0000-000082140000}"/>
    <cellStyle name="Normal 4 3 3 2 6 3 2" xfId="14844" xr:uid="{326D2559-9476-4AF4-B11A-C412AF61AAAC}"/>
    <cellStyle name="Normal 4 3 3 2 6 4" xfId="10626" xr:uid="{AFD4F6D2-1C19-4EE4-85E1-BD575334FD62}"/>
    <cellStyle name="Normal 4 3 3 2 7" xfId="2531" xr:uid="{00000000-0005-0000-0000-000083140000}"/>
    <cellStyle name="Normal 4 3 3 2 7 2" xfId="6815" xr:uid="{00000000-0005-0000-0000-000084140000}"/>
    <cellStyle name="Normal 4 3 3 2 7 2 2" xfId="15257" xr:uid="{135B215A-60DC-4E29-A313-7B49DB9816DE}"/>
    <cellStyle name="Normal 4 3 3 2 7 3" xfId="11039" xr:uid="{38F2D7A2-FCFD-424C-80F9-EFE248349557}"/>
    <cellStyle name="Normal 4 3 3 2 8" xfId="4750" xr:uid="{00000000-0005-0000-0000-000085140000}"/>
    <cellStyle name="Normal 4 3 3 2 8 2" xfId="13192" xr:uid="{9386D974-439F-49DF-B294-140DD158C9E9}"/>
    <cellStyle name="Normal 4 3 3 2 9" xfId="8974" xr:uid="{50F6A984-4CCF-4C21-826B-081C29456422}"/>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2 2 2" xfId="15752" xr:uid="{BBA05F93-2248-4A02-8631-982C4CD349B9}"/>
    <cellStyle name="Normal 4 3 3 3 2 2 3" xfId="11534" xr:uid="{34430D0A-9EAF-44E8-99E0-38C8F5714C71}"/>
    <cellStyle name="Normal 4 3 3 3 2 3" xfId="5165" xr:uid="{00000000-0005-0000-0000-00008A140000}"/>
    <cellStyle name="Normal 4 3 3 3 2 3 2" xfId="13607" xr:uid="{03ACDD7D-EBA6-4538-A010-D1153C42CC75}"/>
    <cellStyle name="Normal 4 3 3 3 2 4" xfId="9389" xr:uid="{5ADE6ACD-D542-4815-BFDE-F5E4EEA6BAD2}"/>
    <cellStyle name="Normal 4 3 3 3 3" xfId="1270" xr:uid="{00000000-0005-0000-0000-00008B140000}"/>
    <cellStyle name="Normal 4 3 3 3 3 2" xfId="3500" xr:uid="{00000000-0005-0000-0000-00008C140000}"/>
    <cellStyle name="Normal 4 3 3 3 3 2 2" xfId="7723" xr:uid="{00000000-0005-0000-0000-00008D140000}"/>
    <cellStyle name="Normal 4 3 3 3 3 2 2 2" xfId="16165" xr:uid="{8725FA1E-3302-48B1-B500-348E7A7C83F9}"/>
    <cellStyle name="Normal 4 3 3 3 3 2 3" xfId="11947" xr:uid="{C58567F5-5C60-4E30-BD69-C1297262B560}"/>
    <cellStyle name="Normal 4 3 3 3 3 3" xfId="5578" xr:uid="{00000000-0005-0000-0000-00008E140000}"/>
    <cellStyle name="Normal 4 3 3 3 3 3 2" xfId="14020" xr:uid="{393CD532-1E62-4233-85E3-30B9AA690064}"/>
    <cellStyle name="Normal 4 3 3 3 3 4" xfId="9802" xr:uid="{56452A48-F3D8-4A92-A8B6-82643B7AF702}"/>
    <cellStyle name="Normal 4 3 3 3 4" xfId="1683" xr:uid="{00000000-0005-0000-0000-00008F140000}"/>
    <cellStyle name="Normal 4 3 3 3 4 2" xfId="3913" xr:uid="{00000000-0005-0000-0000-000090140000}"/>
    <cellStyle name="Normal 4 3 3 3 4 2 2" xfId="8136" xr:uid="{00000000-0005-0000-0000-000091140000}"/>
    <cellStyle name="Normal 4 3 3 3 4 2 2 2" xfId="16578" xr:uid="{A9D0B875-7A97-4D82-9AF8-66D1314C06FD}"/>
    <cellStyle name="Normal 4 3 3 3 4 2 3" xfId="12360" xr:uid="{2DA094FC-3CE5-4900-8934-5E8D98AE822F}"/>
    <cellStyle name="Normal 4 3 3 3 4 3" xfId="5991" xr:uid="{00000000-0005-0000-0000-000092140000}"/>
    <cellStyle name="Normal 4 3 3 3 4 3 2" xfId="14433" xr:uid="{3F33F71E-792E-4CD7-A983-22FB95BA69B6}"/>
    <cellStyle name="Normal 4 3 3 3 4 4" xfId="10215" xr:uid="{8579030D-B871-4276-86D1-FCF8F2022C83}"/>
    <cellStyle name="Normal 4 3 3 3 5" xfId="2097" xr:uid="{00000000-0005-0000-0000-000093140000}"/>
    <cellStyle name="Normal 4 3 3 3 5 2" xfId="4326" xr:uid="{00000000-0005-0000-0000-000094140000}"/>
    <cellStyle name="Normal 4 3 3 3 5 2 2" xfId="8549" xr:uid="{00000000-0005-0000-0000-000095140000}"/>
    <cellStyle name="Normal 4 3 3 3 5 2 2 2" xfId="16991" xr:uid="{0D5D319A-EA68-4E7F-BCDA-A9A4A73D5E20}"/>
    <cellStyle name="Normal 4 3 3 3 5 2 3" xfId="12773" xr:uid="{8AD61DDA-E1D3-4698-A43E-0276BC989947}"/>
    <cellStyle name="Normal 4 3 3 3 5 3" xfId="6404" xr:uid="{00000000-0005-0000-0000-000096140000}"/>
    <cellStyle name="Normal 4 3 3 3 5 3 2" xfId="14846" xr:uid="{EF1E8CB7-8FA9-49C0-82CA-1B4CB0CD04A6}"/>
    <cellStyle name="Normal 4 3 3 3 5 4" xfId="10628" xr:uid="{DD327301-6E8C-42E7-9FD9-9C5889C6C30B}"/>
    <cellStyle name="Normal 4 3 3 3 6" xfId="2533" xr:uid="{00000000-0005-0000-0000-000097140000}"/>
    <cellStyle name="Normal 4 3 3 3 6 2" xfId="6817" xr:uid="{00000000-0005-0000-0000-000098140000}"/>
    <cellStyle name="Normal 4 3 3 3 6 2 2" xfId="15259" xr:uid="{B4582EDF-3C92-44ED-B987-C2A0BDE509EC}"/>
    <cellStyle name="Normal 4 3 3 3 6 3" xfId="11041" xr:uid="{31D7B392-836D-4D22-A7F8-62ADF8D7548A}"/>
    <cellStyle name="Normal 4 3 3 3 7" xfId="4752" xr:uid="{00000000-0005-0000-0000-000099140000}"/>
    <cellStyle name="Normal 4 3 3 3 7 2" xfId="13194" xr:uid="{4921A1B4-9A84-45C2-ADA7-EA1DA2CD38C0}"/>
    <cellStyle name="Normal 4 3 3 3 8" xfId="8976" xr:uid="{D003E98A-234E-4909-828C-D83AA4F6BF02}"/>
    <cellStyle name="Normal 4 3 3 4" xfId="849" xr:uid="{00000000-0005-0000-0000-00009A140000}"/>
    <cellStyle name="Normal 4 3 3 4 2" xfId="3084" xr:uid="{00000000-0005-0000-0000-00009B140000}"/>
    <cellStyle name="Normal 4 3 3 4 2 2" xfId="7307" xr:uid="{00000000-0005-0000-0000-00009C140000}"/>
    <cellStyle name="Normal 4 3 3 4 2 2 2" xfId="15749" xr:uid="{70617468-8633-4AAD-9F96-82C3D94C737B}"/>
    <cellStyle name="Normal 4 3 3 4 2 3" xfId="11531" xr:uid="{2B1F6FAA-9C02-4B4F-9823-DAE7D40D7EA5}"/>
    <cellStyle name="Normal 4 3 3 4 3" xfId="5162" xr:uid="{00000000-0005-0000-0000-00009D140000}"/>
    <cellStyle name="Normal 4 3 3 4 3 2" xfId="13604" xr:uid="{4C9D016A-10FC-4D12-8928-DF55B2217881}"/>
    <cellStyle name="Normal 4 3 3 4 4" xfId="9386" xr:uid="{012348C9-17D3-4D11-B2F9-4F6A98E68430}"/>
    <cellStyle name="Normal 4 3 3 5" xfId="1267" xr:uid="{00000000-0005-0000-0000-00009E140000}"/>
    <cellStyle name="Normal 4 3 3 5 2" xfId="3497" xr:uid="{00000000-0005-0000-0000-00009F140000}"/>
    <cellStyle name="Normal 4 3 3 5 2 2" xfId="7720" xr:uid="{00000000-0005-0000-0000-0000A0140000}"/>
    <cellStyle name="Normal 4 3 3 5 2 2 2" xfId="16162" xr:uid="{3D292829-D613-42E0-997E-AA7ACA50DAEE}"/>
    <cellStyle name="Normal 4 3 3 5 2 3" xfId="11944" xr:uid="{C35E6726-F4A9-4C7D-AE9E-31745119E7EE}"/>
    <cellStyle name="Normal 4 3 3 5 3" xfId="5575" xr:uid="{00000000-0005-0000-0000-0000A1140000}"/>
    <cellStyle name="Normal 4 3 3 5 3 2" xfId="14017" xr:uid="{6710FB2E-A1D5-4AEF-8255-3D91CB3D88C6}"/>
    <cellStyle name="Normal 4 3 3 5 4" xfId="9799" xr:uid="{3149A70A-A2AB-4E31-BAA0-EA88D0526EA9}"/>
    <cellStyle name="Normal 4 3 3 6" xfId="1680" xr:uid="{00000000-0005-0000-0000-0000A2140000}"/>
    <cellStyle name="Normal 4 3 3 6 2" xfId="3910" xr:uid="{00000000-0005-0000-0000-0000A3140000}"/>
    <cellStyle name="Normal 4 3 3 6 2 2" xfId="8133" xr:uid="{00000000-0005-0000-0000-0000A4140000}"/>
    <cellStyle name="Normal 4 3 3 6 2 2 2" xfId="16575" xr:uid="{8CECB4BA-68D7-4912-9EF9-331B3E2AD51D}"/>
    <cellStyle name="Normal 4 3 3 6 2 3" xfId="12357" xr:uid="{C38F3DA0-F75C-49B2-B966-7A2CEA8F5659}"/>
    <cellStyle name="Normal 4 3 3 6 3" xfId="5988" xr:uid="{00000000-0005-0000-0000-0000A5140000}"/>
    <cellStyle name="Normal 4 3 3 6 3 2" xfId="14430" xr:uid="{E45B4F59-6EB1-47C6-8D09-68E087C168CC}"/>
    <cellStyle name="Normal 4 3 3 6 4" xfId="10212" xr:uid="{12E2490F-52AC-4644-B1EE-9E38FC03FB03}"/>
    <cellStyle name="Normal 4 3 3 7" xfId="2094" xr:uid="{00000000-0005-0000-0000-0000A6140000}"/>
    <cellStyle name="Normal 4 3 3 7 2" xfId="4323" xr:uid="{00000000-0005-0000-0000-0000A7140000}"/>
    <cellStyle name="Normal 4 3 3 7 2 2" xfId="8546" xr:uid="{00000000-0005-0000-0000-0000A8140000}"/>
    <cellStyle name="Normal 4 3 3 7 2 2 2" xfId="16988" xr:uid="{48545E81-9AD4-4B14-BFE0-8021DA672EA5}"/>
    <cellStyle name="Normal 4 3 3 7 2 3" xfId="12770" xr:uid="{40B0AFCE-9703-4E64-93D2-BD6ADEE0CB03}"/>
    <cellStyle name="Normal 4 3 3 7 3" xfId="6401" xr:uid="{00000000-0005-0000-0000-0000A9140000}"/>
    <cellStyle name="Normal 4 3 3 7 3 2" xfId="14843" xr:uid="{641C53F8-396A-481E-BB22-8A476F2E1F43}"/>
    <cellStyle name="Normal 4 3 3 7 4" xfId="10625" xr:uid="{1F71B1BC-A15E-444F-8D34-4C7DD40A40B4}"/>
    <cellStyle name="Normal 4 3 3 8" xfId="2530" xr:uid="{00000000-0005-0000-0000-0000AA140000}"/>
    <cellStyle name="Normal 4 3 3 8 2" xfId="6814" xr:uid="{00000000-0005-0000-0000-0000AB140000}"/>
    <cellStyle name="Normal 4 3 3 8 2 2" xfId="15256" xr:uid="{2C1F54AB-6E4D-43AD-A89C-72EF77AC4E74}"/>
    <cellStyle name="Normal 4 3 3 8 3" xfId="11038" xr:uid="{E8E806D4-E0DD-4B3F-9A71-70A14C8FC7B6}"/>
    <cellStyle name="Normal 4 3 3 9" xfId="4749" xr:uid="{00000000-0005-0000-0000-0000AC140000}"/>
    <cellStyle name="Normal 4 3 3 9 2" xfId="13191" xr:uid="{7B594446-DE1B-44A2-84DA-52FD09A24A2D}"/>
    <cellStyle name="Normal 4 3 4" xfId="842" xr:uid="{00000000-0005-0000-0000-0000AD140000}"/>
    <cellStyle name="Normal 4 3 4 2" xfId="3079" xr:uid="{00000000-0005-0000-0000-0000AE140000}"/>
    <cellStyle name="Normal 4 3 4 2 2" xfId="7302" xr:uid="{00000000-0005-0000-0000-0000AF140000}"/>
    <cellStyle name="Normal 4 3 4 2 2 2" xfId="15744" xr:uid="{0E383ABA-64A8-4983-AECD-240A36EBADE8}"/>
    <cellStyle name="Normal 4 3 4 2 3" xfId="11526" xr:uid="{C11615AC-1FEA-4DA5-B48C-94BF4645424F}"/>
    <cellStyle name="Normal 4 3 4 3" xfId="5157" xr:uid="{00000000-0005-0000-0000-0000B0140000}"/>
    <cellStyle name="Normal 4 3 4 3 2" xfId="13599" xr:uid="{2026FA00-358C-4B25-A3A2-84A9FC7F2465}"/>
    <cellStyle name="Normal 4 3 4 4" xfId="9381" xr:uid="{3EDD8B3C-374E-4B31-97EE-084B37A375B4}"/>
    <cellStyle name="Normal 4 3 5" xfId="1262" xr:uid="{00000000-0005-0000-0000-0000B1140000}"/>
    <cellStyle name="Normal 4 3 5 2" xfId="3492" xr:uid="{00000000-0005-0000-0000-0000B2140000}"/>
    <cellStyle name="Normal 4 3 5 2 2" xfId="7715" xr:uid="{00000000-0005-0000-0000-0000B3140000}"/>
    <cellStyle name="Normal 4 3 5 2 2 2" xfId="16157" xr:uid="{8560713E-D452-40ED-AF61-63329F4464B6}"/>
    <cellStyle name="Normal 4 3 5 2 3" xfId="11939" xr:uid="{38E4836E-D3E1-4E7C-B6C6-295B01E286EC}"/>
    <cellStyle name="Normal 4 3 5 3" xfId="5570" xr:uid="{00000000-0005-0000-0000-0000B4140000}"/>
    <cellStyle name="Normal 4 3 5 3 2" xfId="14012" xr:uid="{98E97172-5ABC-4414-AE03-0AE36769FC17}"/>
    <cellStyle name="Normal 4 3 5 4" xfId="9794" xr:uid="{4E1DF80E-AD45-41F3-863F-0828BDE7D6F3}"/>
    <cellStyle name="Normal 4 3 6" xfId="1675" xr:uid="{00000000-0005-0000-0000-0000B5140000}"/>
    <cellStyle name="Normal 4 3 6 2" xfId="3905" xr:uid="{00000000-0005-0000-0000-0000B6140000}"/>
    <cellStyle name="Normal 4 3 6 2 2" xfId="8128" xr:uid="{00000000-0005-0000-0000-0000B7140000}"/>
    <cellStyle name="Normal 4 3 6 2 2 2" xfId="16570" xr:uid="{A842B6D0-4258-44FE-BFCE-EDDB3E758629}"/>
    <cellStyle name="Normal 4 3 6 2 3" xfId="12352" xr:uid="{893D8178-C22E-4F46-A809-501C31BEDF28}"/>
    <cellStyle name="Normal 4 3 6 3" xfId="5983" xr:uid="{00000000-0005-0000-0000-0000B8140000}"/>
    <cellStyle name="Normal 4 3 6 3 2" xfId="14425" xr:uid="{ABDD7819-5479-4944-AEB7-88F1E10C843D}"/>
    <cellStyle name="Normal 4 3 6 4" xfId="10207" xr:uid="{BD4A75E1-428A-4CB5-A19C-5A663125C9DE}"/>
    <cellStyle name="Normal 4 3 7" xfId="2089" xr:uid="{00000000-0005-0000-0000-0000B9140000}"/>
    <cellStyle name="Normal 4 3 7 2" xfId="4318" xr:uid="{00000000-0005-0000-0000-0000BA140000}"/>
    <cellStyle name="Normal 4 3 7 2 2" xfId="8541" xr:uid="{00000000-0005-0000-0000-0000BB140000}"/>
    <cellStyle name="Normal 4 3 7 2 2 2" xfId="16983" xr:uid="{20D29E75-0CE3-48C1-B477-6D3C36E8E326}"/>
    <cellStyle name="Normal 4 3 7 2 3" xfId="12765" xr:uid="{F23E5E6E-7B69-45D1-AB34-D7BC191B3E73}"/>
    <cellStyle name="Normal 4 3 7 3" xfId="6396" xr:uid="{00000000-0005-0000-0000-0000BC140000}"/>
    <cellStyle name="Normal 4 3 7 3 2" xfId="14838" xr:uid="{4D106EC9-A777-417F-B473-4A9E5BB28280}"/>
    <cellStyle name="Normal 4 3 7 4" xfId="10620" xr:uid="{D021FFAE-C921-4574-9985-6C9EBC98B644}"/>
    <cellStyle name="Normal 4 3 8" xfId="2525" xr:uid="{00000000-0005-0000-0000-0000BD140000}"/>
    <cellStyle name="Normal 4 3 8 2" xfId="6809" xr:uid="{00000000-0005-0000-0000-0000BE140000}"/>
    <cellStyle name="Normal 4 3 8 2 2" xfId="15251" xr:uid="{DFB5C2F2-AD7E-4B18-8A6F-4D0E5C52F8E9}"/>
    <cellStyle name="Normal 4 3 8 3" xfId="11033" xr:uid="{C657A5BC-06DD-46FC-8FD0-7B10F74429A6}"/>
    <cellStyle name="Normal 4 3 9" xfId="4744" xr:uid="{00000000-0005-0000-0000-0000BF140000}"/>
    <cellStyle name="Normal 4 3 9 2" xfId="13186" xr:uid="{92C82740-98F8-4354-9708-276AE953E810}"/>
    <cellStyle name="Normal 4 4" xfId="378" xr:uid="{00000000-0005-0000-0000-0000C0140000}"/>
    <cellStyle name="Normal 4 4 10" xfId="2534" xr:uid="{00000000-0005-0000-0000-0000C1140000}"/>
    <cellStyle name="Normal 4 4 10 2" xfId="6818" xr:uid="{00000000-0005-0000-0000-0000C2140000}"/>
    <cellStyle name="Normal 4 4 10 2 2" xfId="15260" xr:uid="{3AD79ECA-9A44-4342-92A3-3AC127927D14}"/>
    <cellStyle name="Normal 4 4 10 3" xfId="11042" xr:uid="{D3568481-9878-479B-822C-49D92A15CD29}"/>
    <cellStyle name="Normal 4 4 11" xfId="4753" xr:uid="{00000000-0005-0000-0000-0000C3140000}"/>
    <cellStyle name="Normal 4 4 11 2" xfId="13195" xr:uid="{8B8DD873-18F1-4EAF-8409-722C4FDC5506}"/>
    <cellStyle name="Normal 4 4 12" xfId="8977" xr:uid="{0496530A-81C3-4F5C-9F53-1455B92D400D}"/>
    <cellStyle name="Normal 4 4 2" xfId="379" xr:uid="{00000000-0005-0000-0000-0000C4140000}"/>
    <cellStyle name="Normal 4 4 2 10" xfId="4754" xr:uid="{00000000-0005-0000-0000-0000C5140000}"/>
    <cellStyle name="Normal 4 4 2 10 2" xfId="13196" xr:uid="{C1AD2B2A-B789-4163-9582-7199468AD8F7}"/>
    <cellStyle name="Normal 4 4 2 11" xfId="8978" xr:uid="{78527469-38DD-4EC0-B16B-13271142847F}"/>
    <cellStyle name="Normal 4 4 2 2" xfId="380" xr:uid="{00000000-0005-0000-0000-0000C6140000}"/>
    <cellStyle name="Normal 4 4 2 2 10" xfId="8979" xr:uid="{480EABED-38A1-4DF2-96A1-D07133EFF774}"/>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2 2 2" xfId="15757" xr:uid="{16F019C1-9591-4CFE-91B2-43EE5757BC07}"/>
    <cellStyle name="Normal 4 4 2 2 2 2 2 2 3" xfId="11539" xr:uid="{5EC8D8D5-B58A-4413-B1D2-0337E69FCD9F}"/>
    <cellStyle name="Normal 4 4 2 2 2 2 2 3" xfId="5170" xr:uid="{00000000-0005-0000-0000-0000CC140000}"/>
    <cellStyle name="Normal 4 4 2 2 2 2 2 3 2" xfId="13612" xr:uid="{37A5F0DC-69A9-4650-9340-1A69E40129C7}"/>
    <cellStyle name="Normal 4 4 2 2 2 2 2 4" xfId="9394" xr:uid="{43EA0965-935F-4F31-8584-9E2138817065}"/>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2 2 2" xfId="16170" xr:uid="{EE3CD785-EA2C-4FB0-A432-32B55B85BA22}"/>
    <cellStyle name="Normal 4 4 2 2 2 2 3 2 3" xfId="11952" xr:uid="{1534C126-FF4B-4CCF-AF0A-89AF0DAF0B41}"/>
    <cellStyle name="Normal 4 4 2 2 2 2 3 3" xfId="5583" xr:uid="{00000000-0005-0000-0000-0000D0140000}"/>
    <cellStyle name="Normal 4 4 2 2 2 2 3 3 2" xfId="14025" xr:uid="{9D4CF3E9-0117-4DA6-BECA-1387AE945223}"/>
    <cellStyle name="Normal 4 4 2 2 2 2 3 4" xfId="9807" xr:uid="{F73DEB4E-61AF-449F-A500-6D707BEDFCD7}"/>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2 2 2" xfId="16583" xr:uid="{59198B24-5EA9-4E39-818C-87B6AF59A2B8}"/>
    <cellStyle name="Normal 4 4 2 2 2 2 4 2 3" xfId="12365" xr:uid="{7D62C7B4-47C3-4BA4-9FE0-216E69BB02E7}"/>
    <cellStyle name="Normal 4 4 2 2 2 2 4 3" xfId="5996" xr:uid="{00000000-0005-0000-0000-0000D4140000}"/>
    <cellStyle name="Normal 4 4 2 2 2 2 4 3 2" xfId="14438" xr:uid="{ABF9B5DC-F9EC-4859-A940-3255A2B32380}"/>
    <cellStyle name="Normal 4 4 2 2 2 2 4 4" xfId="10220" xr:uid="{638DE32F-8E9D-4058-ACA6-D2B4DF5D60F8}"/>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2 2 2" xfId="16996" xr:uid="{CFBCA85A-AADE-4E5C-8DEA-F0777A4AA400}"/>
    <cellStyle name="Normal 4 4 2 2 2 2 5 2 3" xfId="12778" xr:uid="{D65434E6-81DA-4C9F-BAA4-09A3DC2C94F2}"/>
    <cellStyle name="Normal 4 4 2 2 2 2 5 3" xfId="6409" xr:uid="{00000000-0005-0000-0000-0000D8140000}"/>
    <cellStyle name="Normal 4 4 2 2 2 2 5 3 2" xfId="14851" xr:uid="{72773612-365B-44E2-9452-0368A598E399}"/>
    <cellStyle name="Normal 4 4 2 2 2 2 5 4" xfId="10633" xr:uid="{A3C72FE2-7B63-445C-9B34-FBA019F0DFB6}"/>
    <cellStyle name="Normal 4 4 2 2 2 2 6" xfId="2538" xr:uid="{00000000-0005-0000-0000-0000D9140000}"/>
    <cellStyle name="Normal 4 4 2 2 2 2 6 2" xfId="6822" xr:uid="{00000000-0005-0000-0000-0000DA140000}"/>
    <cellStyle name="Normal 4 4 2 2 2 2 6 2 2" xfId="15264" xr:uid="{5E004244-3BD9-4CA1-9954-1D4EE78C25A8}"/>
    <cellStyle name="Normal 4 4 2 2 2 2 6 3" xfId="11046" xr:uid="{91DD77CF-0B60-4AAA-8A93-761876EDB6AE}"/>
    <cellStyle name="Normal 4 4 2 2 2 2 7" xfId="4757" xr:uid="{00000000-0005-0000-0000-0000DB140000}"/>
    <cellStyle name="Normal 4 4 2 2 2 2 7 2" xfId="13199" xr:uid="{5A082A0B-2BB2-459D-8A51-D56A5EF2518B}"/>
    <cellStyle name="Normal 4 4 2 2 2 2 8" xfId="8981" xr:uid="{9D672684-CD79-429D-B1FD-D0B13D81EB43}"/>
    <cellStyle name="Normal 4 4 2 2 2 3" xfId="856" xr:uid="{00000000-0005-0000-0000-0000DC140000}"/>
    <cellStyle name="Normal 4 4 2 2 2 3 2" xfId="3091" xr:uid="{00000000-0005-0000-0000-0000DD140000}"/>
    <cellStyle name="Normal 4 4 2 2 2 3 2 2" xfId="7314" xr:uid="{00000000-0005-0000-0000-0000DE140000}"/>
    <cellStyle name="Normal 4 4 2 2 2 3 2 2 2" xfId="15756" xr:uid="{CF93A23E-0EC6-4AA1-ABBC-B74C73608711}"/>
    <cellStyle name="Normal 4 4 2 2 2 3 2 3" xfId="11538" xr:uid="{AD6A16AC-DABE-4CC1-82D4-ABECCD20AE5D}"/>
    <cellStyle name="Normal 4 4 2 2 2 3 3" xfId="5169" xr:uid="{00000000-0005-0000-0000-0000DF140000}"/>
    <cellStyle name="Normal 4 4 2 2 2 3 3 2" xfId="13611" xr:uid="{280E5EA2-86A8-4AC4-8467-ED0A149F90C7}"/>
    <cellStyle name="Normal 4 4 2 2 2 3 4" xfId="9393" xr:uid="{AA4ECF1C-CBA1-4664-B5C2-69509C3F7B8B}"/>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2 2 2" xfId="16169" xr:uid="{D1CDD188-76B7-4D58-80FA-8B4F28FF8E0A}"/>
    <cellStyle name="Normal 4 4 2 2 2 4 2 3" xfId="11951" xr:uid="{8D0EFD1D-98C1-48D3-88A0-D6867BB0786A}"/>
    <cellStyle name="Normal 4 4 2 2 2 4 3" xfId="5582" xr:uid="{00000000-0005-0000-0000-0000E3140000}"/>
    <cellStyle name="Normal 4 4 2 2 2 4 3 2" xfId="14024" xr:uid="{DA471EE8-6A3C-42BA-B299-8DE1D5B5B47C}"/>
    <cellStyle name="Normal 4 4 2 2 2 4 4" xfId="9806" xr:uid="{1C0142B7-F497-4EA5-8975-8422C32A8B24}"/>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2 2 2" xfId="16582" xr:uid="{16DBDA44-F300-4AC0-A74D-E8BCB4E71697}"/>
    <cellStyle name="Normal 4 4 2 2 2 5 2 3" xfId="12364" xr:uid="{B291BBCA-D37B-47EE-B9D6-4105C8D63E61}"/>
    <cellStyle name="Normal 4 4 2 2 2 5 3" xfId="5995" xr:uid="{00000000-0005-0000-0000-0000E7140000}"/>
    <cellStyle name="Normal 4 4 2 2 2 5 3 2" xfId="14437" xr:uid="{F3F7CBF6-4F6F-444B-ADBA-07F19ADA483C}"/>
    <cellStyle name="Normal 4 4 2 2 2 5 4" xfId="10219" xr:uid="{474B1DDE-BC68-4F56-9AD7-DFAE20DB674B}"/>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2 2 2" xfId="16995" xr:uid="{22681C14-BA63-4130-B17A-C8EDFDDF574B}"/>
    <cellStyle name="Normal 4 4 2 2 2 6 2 3" xfId="12777" xr:uid="{10BBC5A0-9F51-49A5-853E-0DF19119746E}"/>
    <cellStyle name="Normal 4 4 2 2 2 6 3" xfId="6408" xr:uid="{00000000-0005-0000-0000-0000EB140000}"/>
    <cellStyle name="Normal 4 4 2 2 2 6 3 2" xfId="14850" xr:uid="{7FCF67E0-DF50-43DE-84E8-BE100C5BBE1F}"/>
    <cellStyle name="Normal 4 4 2 2 2 6 4" xfId="10632" xr:uid="{6CFE6AD5-8CF0-4F02-9302-1AED30D06019}"/>
    <cellStyle name="Normal 4 4 2 2 2 7" xfId="2537" xr:uid="{00000000-0005-0000-0000-0000EC140000}"/>
    <cellStyle name="Normal 4 4 2 2 2 7 2" xfId="6821" xr:uid="{00000000-0005-0000-0000-0000ED140000}"/>
    <cellStyle name="Normal 4 4 2 2 2 7 2 2" xfId="15263" xr:uid="{ED758FAF-9213-47FD-BD81-9DBA02A38071}"/>
    <cellStyle name="Normal 4 4 2 2 2 7 3" xfId="11045" xr:uid="{84B2AC3F-6680-45C7-9FA6-995D25563054}"/>
    <cellStyle name="Normal 4 4 2 2 2 8" xfId="4756" xr:uid="{00000000-0005-0000-0000-0000EE140000}"/>
    <cellStyle name="Normal 4 4 2 2 2 8 2" xfId="13198" xr:uid="{087EBA61-5947-4DCC-87B0-A2E899708B45}"/>
    <cellStyle name="Normal 4 4 2 2 2 9" xfId="8980" xr:uid="{AD65655E-4027-4994-A676-122A3FA31FD3}"/>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2 2 2" xfId="15758" xr:uid="{7124EDBD-E1FE-418F-9C8D-D0C245191AC5}"/>
    <cellStyle name="Normal 4 4 2 2 3 2 2 3" xfId="11540" xr:uid="{866842CE-9463-4442-A603-8E1B3F5EB9E3}"/>
    <cellStyle name="Normal 4 4 2 2 3 2 3" xfId="5171" xr:uid="{00000000-0005-0000-0000-0000F3140000}"/>
    <cellStyle name="Normal 4 4 2 2 3 2 3 2" xfId="13613" xr:uid="{7697E9D6-E8E5-4F2E-9061-E5C820FFEF01}"/>
    <cellStyle name="Normal 4 4 2 2 3 2 4" xfId="9395" xr:uid="{ECF197EB-1E06-40F0-B3DD-4DEFBE5C5E2E}"/>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2 2 2" xfId="16171" xr:uid="{6DD8C1FC-89DF-4376-94F7-985B62EAAC78}"/>
    <cellStyle name="Normal 4 4 2 2 3 3 2 3" xfId="11953" xr:uid="{878A691F-A10C-4E39-A50C-B7246DBFE57F}"/>
    <cellStyle name="Normal 4 4 2 2 3 3 3" xfId="5584" xr:uid="{00000000-0005-0000-0000-0000F7140000}"/>
    <cellStyle name="Normal 4 4 2 2 3 3 3 2" xfId="14026" xr:uid="{178E60BD-523B-493A-8352-AA15DDE8922B}"/>
    <cellStyle name="Normal 4 4 2 2 3 3 4" xfId="9808" xr:uid="{B7161B27-618B-4DDE-9CA2-4428CBE0571A}"/>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2 2 2" xfId="16584" xr:uid="{A77305A4-775F-4FE5-BD8E-17858848C916}"/>
    <cellStyle name="Normal 4 4 2 2 3 4 2 3" xfId="12366" xr:uid="{553A5FE6-F302-41BE-AA11-E886661588F0}"/>
    <cellStyle name="Normal 4 4 2 2 3 4 3" xfId="5997" xr:uid="{00000000-0005-0000-0000-0000FB140000}"/>
    <cellStyle name="Normal 4 4 2 2 3 4 3 2" xfId="14439" xr:uid="{89806ED7-4C40-43C5-8D6E-CDB498E779F5}"/>
    <cellStyle name="Normal 4 4 2 2 3 4 4" xfId="10221" xr:uid="{AA1FC306-E994-43E7-8867-2C993D4C038A}"/>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2 2 2" xfId="16997" xr:uid="{EC2C8E50-D4E6-4BE6-B4AC-67A84AE95544}"/>
    <cellStyle name="Normal 4 4 2 2 3 5 2 3" xfId="12779" xr:uid="{4A3BC598-67E5-40DD-AB88-CB7CFD874C20}"/>
    <cellStyle name="Normal 4 4 2 2 3 5 3" xfId="6410" xr:uid="{00000000-0005-0000-0000-0000FF140000}"/>
    <cellStyle name="Normal 4 4 2 2 3 5 3 2" xfId="14852" xr:uid="{109AAEEF-E196-453D-995C-6E70C140C8EF}"/>
    <cellStyle name="Normal 4 4 2 2 3 5 4" xfId="10634" xr:uid="{547415A1-317C-4DF4-82FA-1B3339DDD1B6}"/>
    <cellStyle name="Normal 4 4 2 2 3 6" xfId="2539" xr:uid="{00000000-0005-0000-0000-000000150000}"/>
    <cellStyle name="Normal 4 4 2 2 3 6 2" xfId="6823" xr:uid="{00000000-0005-0000-0000-000001150000}"/>
    <cellStyle name="Normal 4 4 2 2 3 6 2 2" xfId="15265" xr:uid="{C6C57C12-B448-4443-ABD1-F81D435CE31F}"/>
    <cellStyle name="Normal 4 4 2 2 3 6 3" xfId="11047" xr:uid="{4AB960A8-A6A5-43E0-A3CB-D263B9D3DC41}"/>
    <cellStyle name="Normal 4 4 2 2 3 7" xfId="4758" xr:uid="{00000000-0005-0000-0000-000002150000}"/>
    <cellStyle name="Normal 4 4 2 2 3 7 2" xfId="13200" xr:uid="{6BF77527-B5F4-43C4-9820-0CF445141501}"/>
    <cellStyle name="Normal 4 4 2 2 3 8" xfId="8982" xr:uid="{42A810D6-3026-4803-8BA5-C5F6313012BF}"/>
    <cellStyle name="Normal 4 4 2 2 4" xfId="855" xr:uid="{00000000-0005-0000-0000-000003150000}"/>
    <cellStyle name="Normal 4 4 2 2 4 2" xfId="3090" xr:uid="{00000000-0005-0000-0000-000004150000}"/>
    <cellStyle name="Normal 4 4 2 2 4 2 2" xfId="7313" xr:uid="{00000000-0005-0000-0000-000005150000}"/>
    <cellStyle name="Normal 4 4 2 2 4 2 2 2" xfId="15755" xr:uid="{D431B439-BEEB-4D12-9F5E-381CA55A5176}"/>
    <cellStyle name="Normal 4 4 2 2 4 2 3" xfId="11537" xr:uid="{1F7F4C1E-1459-4835-ADE5-D69D20059120}"/>
    <cellStyle name="Normal 4 4 2 2 4 3" xfId="5168" xr:uid="{00000000-0005-0000-0000-000006150000}"/>
    <cellStyle name="Normal 4 4 2 2 4 3 2" xfId="13610" xr:uid="{01339E6E-C4B3-4613-9190-11EA318A49A5}"/>
    <cellStyle name="Normal 4 4 2 2 4 4" xfId="9392" xr:uid="{6D87146E-C121-4C17-8C0B-7724D2D8D237}"/>
    <cellStyle name="Normal 4 4 2 2 5" xfId="1273" xr:uid="{00000000-0005-0000-0000-000007150000}"/>
    <cellStyle name="Normal 4 4 2 2 5 2" xfId="3503" xr:uid="{00000000-0005-0000-0000-000008150000}"/>
    <cellStyle name="Normal 4 4 2 2 5 2 2" xfId="7726" xr:uid="{00000000-0005-0000-0000-000009150000}"/>
    <cellStyle name="Normal 4 4 2 2 5 2 2 2" xfId="16168" xr:uid="{DC658490-B87A-42F1-A2AE-C4854604676E}"/>
    <cellStyle name="Normal 4 4 2 2 5 2 3" xfId="11950" xr:uid="{07E1A8B4-D641-4E6A-B6ED-49DF75A108E0}"/>
    <cellStyle name="Normal 4 4 2 2 5 3" xfId="5581" xr:uid="{00000000-0005-0000-0000-00000A150000}"/>
    <cellStyle name="Normal 4 4 2 2 5 3 2" xfId="14023" xr:uid="{756EC5E4-D162-4557-888C-30BAD2B56134}"/>
    <cellStyle name="Normal 4 4 2 2 5 4" xfId="9805" xr:uid="{C441B08A-7C02-4FDA-9085-D312693E6011}"/>
    <cellStyle name="Normal 4 4 2 2 6" xfId="1686" xr:uid="{00000000-0005-0000-0000-00000B150000}"/>
    <cellStyle name="Normal 4 4 2 2 6 2" xfId="3916" xr:uid="{00000000-0005-0000-0000-00000C150000}"/>
    <cellStyle name="Normal 4 4 2 2 6 2 2" xfId="8139" xr:uid="{00000000-0005-0000-0000-00000D150000}"/>
    <cellStyle name="Normal 4 4 2 2 6 2 2 2" xfId="16581" xr:uid="{4B960F85-CF4D-4DBC-A9F9-66649555CF78}"/>
    <cellStyle name="Normal 4 4 2 2 6 2 3" xfId="12363" xr:uid="{24461457-F621-405A-BA6A-678B3435E9EA}"/>
    <cellStyle name="Normal 4 4 2 2 6 3" xfId="5994" xr:uid="{00000000-0005-0000-0000-00000E150000}"/>
    <cellStyle name="Normal 4 4 2 2 6 3 2" xfId="14436" xr:uid="{96F33B53-8594-4280-B996-5BC3C211ADF1}"/>
    <cellStyle name="Normal 4 4 2 2 6 4" xfId="10218" xr:uid="{76C4CCFE-B337-46E9-80EB-1F8EF23DFE37}"/>
    <cellStyle name="Normal 4 4 2 2 7" xfId="2100" xr:uid="{00000000-0005-0000-0000-00000F150000}"/>
    <cellStyle name="Normal 4 4 2 2 7 2" xfId="4329" xr:uid="{00000000-0005-0000-0000-000010150000}"/>
    <cellStyle name="Normal 4 4 2 2 7 2 2" xfId="8552" xr:uid="{00000000-0005-0000-0000-000011150000}"/>
    <cellStyle name="Normal 4 4 2 2 7 2 2 2" xfId="16994" xr:uid="{F6C57CDA-D79F-4CBF-83C7-148A8E53A4BF}"/>
    <cellStyle name="Normal 4 4 2 2 7 2 3" xfId="12776" xr:uid="{1DAF1628-353B-41B0-95B0-6FA813B1CACB}"/>
    <cellStyle name="Normal 4 4 2 2 7 3" xfId="6407" xr:uid="{00000000-0005-0000-0000-000012150000}"/>
    <cellStyle name="Normal 4 4 2 2 7 3 2" xfId="14849" xr:uid="{A41699D5-70A4-443B-B9E2-C1A81CC3B33F}"/>
    <cellStyle name="Normal 4 4 2 2 7 4" xfId="10631" xr:uid="{CCD0CDCF-3D84-413E-814B-8756E36F7BD3}"/>
    <cellStyle name="Normal 4 4 2 2 8" xfId="2536" xr:uid="{00000000-0005-0000-0000-000013150000}"/>
    <cellStyle name="Normal 4 4 2 2 8 2" xfId="6820" xr:uid="{00000000-0005-0000-0000-000014150000}"/>
    <cellStyle name="Normal 4 4 2 2 8 2 2" xfId="15262" xr:uid="{1F00054F-353B-40E0-96D9-B12D6639D822}"/>
    <cellStyle name="Normal 4 4 2 2 8 3" xfId="11044" xr:uid="{94D32C5A-AEDC-468F-B50D-268CC770707C}"/>
    <cellStyle name="Normal 4 4 2 2 9" xfId="4755" xr:uid="{00000000-0005-0000-0000-000015150000}"/>
    <cellStyle name="Normal 4 4 2 2 9 2" xfId="13197" xr:uid="{6A522DE2-6ABE-4A73-9E5C-2D76027D2824}"/>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2 2 2" xfId="15760" xr:uid="{0F4002FF-1A9E-4804-BF10-C0376A1838E8}"/>
    <cellStyle name="Normal 4 4 2 3 2 2 2 3" xfId="11542" xr:uid="{38A35346-EF87-4550-9357-9465F0599628}"/>
    <cellStyle name="Normal 4 4 2 3 2 2 3" xfId="5173" xr:uid="{00000000-0005-0000-0000-00001B150000}"/>
    <cellStyle name="Normal 4 4 2 3 2 2 3 2" xfId="13615" xr:uid="{EDEABFBB-683D-4FB0-A693-D8257A8C0670}"/>
    <cellStyle name="Normal 4 4 2 3 2 2 4" xfId="9397" xr:uid="{ECA6A912-9CE6-4025-95F2-9E26E07289A2}"/>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2 2 2" xfId="16173" xr:uid="{76844BE9-F425-4617-9303-CEA75794A7C6}"/>
    <cellStyle name="Normal 4 4 2 3 2 3 2 3" xfId="11955" xr:uid="{F5A032E5-18B0-49C0-833C-A7C024A324DE}"/>
    <cellStyle name="Normal 4 4 2 3 2 3 3" xfId="5586" xr:uid="{00000000-0005-0000-0000-00001F150000}"/>
    <cellStyle name="Normal 4 4 2 3 2 3 3 2" xfId="14028" xr:uid="{FD1593E8-795D-4089-ABCF-91AF9CC28A4B}"/>
    <cellStyle name="Normal 4 4 2 3 2 3 4" xfId="9810" xr:uid="{DC7E9F62-BBF4-4F98-B927-D359352170CF}"/>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2 2 2" xfId="16586" xr:uid="{3C605DC4-7129-4FCF-8DDE-1507AA6F32B8}"/>
    <cellStyle name="Normal 4 4 2 3 2 4 2 3" xfId="12368" xr:uid="{AD4E4DA2-1724-404D-9D1B-1357A876700B}"/>
    <cellStyle name="Normal 4 4 2 3 2 4 3" xfId="5999" xr:uid="{00000000-0005-0000-0000-000023150000}"/>
    <cellStyle name="Normal 4 4 2 3 2 4 3 2" xfId="14441" xr:uid="{A71F2E4E-7E68-45D7-98ED-9051B96B5A13}"/>
    <cellStyle name="Normal 4 4 2 3 2 4 4" xfId="10223" xr:uid="{94854641-10AF-46EF-9001-F30A39996ECD}"/>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2 2 2" xfId="16999" xr:uid="{70B8E137-5612-4639-9988-E74A73E192B9}"/>
    <cellStyle name="Normal 4 4 2 3 2 5 2 3" xfId="12781" xr:uid="{D69AD572-2796-47CF-92F9-1D02825214A1}"/>
    <cellStyle name="Normal 4 4 2 3 2 5 3" xfId="6412" xr:uid="{00000000-0005-0000-0000-000027150000}"/>
    <cellStyle name="Normal 4 4 2 3 2 5 3 2" xfId="14854" xr:uid="{66A6BD3D-DC3B-49E9-8B56-51546438778A}"/>
    <cellStyle name="Normal 4 4 2 3 2 5 4" xfId="10636" xr:uid="{289F6F02-3DFE-4AC3-A1C8-2604EF61AE00}"/>
    <cellStyle name="Normal 4 4 2 3 2 6" xfId="2541" xr:uid="{00000000-0005-0000-0000-000028150000}"/>
    <cellStyle name="Normal 4 4 2 3 2 6 2" xfId="6825" xr:uid="{00000000-0005-0000-0000-000029150000}"/>
    <cellStyle name="Normal 4 4 2 3 2 6 2 2" xfId="15267" xr:uid="{08A39C7E-6D0D-4387-90F7-FD908D51F120}"/>
    <cellStyle name="Normal 4 4 2 3 2 6 3" xfId="11049" xr:uid="{A02AD261-3B4E-4367-8709-602FF4F6A2E3}"/>
    <cellStyle name="Normal 4 4 2 3 2 7" xfId="4760" xr:uid="{00000000-0005-0000-0000-00002A150000}"/>
    <cellStyle name="Normal 4 4 2 3 2 7 2" xfId="13202" xr:uid="{31CE8C71-B5A1-4FCB-81D1-876085FEF375}"/>
    <cellStyle name="Normal 4 4 2 3 2 8" xfId="8984" xr:uid="{8A543092-8E97-4927-A964-C3C145814E1F}"/>
    <cellStyle name="Normal 4 4 2 3 3" xfId="859" xr:uid="{00000000-0005-0000-0000-00002B150000}"/>
    <cellStyle name="Normal 4 4 2 3 3 2" xfId="3094" xr:uid="{00000000-0005-0000-0000-00002C150000}"/>
    <cellStyle name="Normal 4 4 2 3 3 2 2" xfId="7317" xr:uid="{00000000-0005-0000-0000-00002D150000}"/>
    <cellStyle name="Normal 4 4 2 3 3 2 2 2" xfId="15759" xr:uid="{9CC50367-ED39-483D-9B4D-09930361B1B4}"/>
    <cellStyle name="Normal 4 4 2 3 3 2 3" xfId="11541" xr:uid="{D0A53F94-25F8-4B56-906B-822BBA7F1E08}"/>
    <cellStyle name="Normal 4 4 2 3 3 3" xfId="5172" xr:uid="{00000000-0005-0000-0000-00002E150000}"/>
    <cellStyle name="Normal 4 4 2 3 3 3 2" xfId="13614" xr:uid="{AF975850-05C2-4524-B07A-0793B8798E62}"/>
    <cellStyle name="Normal 4 4 2 3 3 4" xfId="9396" xr:uid="{C0662BC6-E268-41D2-B687-777A69A45C18}"/>
    <cellStyle name="Normal 4 4 2 3 4" xfId="1277" xr:uid="{00000000-0005-0000-0000-00002F150000}"/>
    <cellStyle name="Normal 4 4 2 3 4 2" xfId="3507" xr:uid="{00000000-0005-0000-0000-000030150000}"/>
    <cellStyle name="Normal 4 4 2 3 4 2 2" xfId="7730" xr:uid="{00000000-0005-0000-0000-000031150000}"/>
    <cellStyle name="Normal 4 4 2 3 4 2 2 2" xfId="16172" xr:uid="{3AE84B8C-6F12-45EA-9813-DABE4300EFB5}"/>
    <cellStyle name="Normal 4 4 2 3 4 2 3" xfId="11954" xr:uid="{188152F2-15BA-4996-A612-5E9CFDEF5F95}"/>
    <cellStyle name="Normal 4 4 2 3 4 3" xfId="5585" xr:uid="{00000000-0005-0000-0000-000032150000}"/>
    <cellStyle name="Normal 4 4 2 3 4 3 2" xfId="14027" xr:uid="{3D058F22-521B-40EA-94E4-B4723527491D}"/>
    <cellStyle name="Normal 4 4 2 3 4 4" xfId="9809" xr:uid="{84446348-13EB-4158-BB5E-94291B4CCB90}"/>
    <cellStyle name="Normal 4 4 2 3 5" xfId="1690" xr:uid="{00000000-0005-0000-0000-000033150000}"/>
    <cellStyle name="Normal 4 4 2 3 5 2" xfId="3920" xr:uid="{00000000-0005-0000-0000-000034150000}"/>
    <cellStyle name="Normal 4 4 2 3 5 2 2" xfId="8143" xr:uid="{00000000-0005-0000-0000-000035150000}"/>
    <cellStyle name="Normal 4 4 2 3 5 2 2 2" xfId="16585" xr:uid="{FDD6FB9A-4912-49CA-88B1-CD588E1DC5F6}"/>
    <cellStyle name="Normal 4 4 2 3 5 2 3" xfId="12367" xr:uid="{CE7CA203-70D8-463A-9CD5-0B27FDB0D3DE}"/>
    <cellStyle name="Normal 4 4 2 3 5 3" xfId="5998" xr:uid="{00000000-0005-0000-0000-000036150000}"/>
    <cellStyle name="Normal 4 4 2 3 5 3 2" xfId="14440" xr:uid="{306A3B9E-669C-47DA-8A2A-5CABB8ACA095}"/>
    <cellStyle name="Normal 4 4 2 3 5 4" xfId="10222" xr:uid="{9CCBE7BE-2D15-4881-9EA7-6440858C3539}"/>
    <cellStyle name="Normal 4 4 2 3 6" xfId="2104" xr:uid="{00000000-0005-0000-0000-000037150000}"/>
    <cellStyle name="Normal 4 4 2 3 6 2" xfId="4333" xr:uid="{00000000-0005-0000-0000-000038150000}"/>
    <cellStyle name="Normal 4 4 2 3 6 2 2" xfId="8556" xr:uid="{00000000-0005-0000-0000-000039150000}"/>
    <cellStyle name="Normal 4 4 2 3 6 2 2 2" xfId="16998" xr:uid="{89610A68-5BED-40AA-89CF-90569A4F47DB}"/>
    <cellStyle name="Normal 4 4 2 3 6 2 3" xfId="12780" xr:uid="{CF757E48-7267-4C08-841E-C798DC1A1004}"/>
    <cellStyle name="Normal 4 4 2 3 6 3" xfId="6411" xr:uid="{00000000-0005-0000-0000-00003A150000}"/>
    <cellStyle name="Normal 4 4 2 3 6 3 2" xfId="14853" xr:uid="{6F3273F9-8361-44FC-AE1E-CC2140FA7BDE}"/>
    <cellStyle name="Normal 4 4 2 3 6 4" xfId="10635" xr:uid="{E1A1AEB5-D0B7-472D-846B-0C76DC25F956}"/>
    <cellStyle name="Normal 4 4 2 3 7" xfId="2540" xr:uid="{00000000-0005-0000-0000-00003B150000}"/>
    <cellStyle name="Normal 4 4 2 3 7 2" xfId="6824" xr:uid="{00000000-0005-0000-0000-00003C150000}"/>
    <cellStyle name="Normal 4 4 2 3 7 2 2" xfId="15266" xr:uid="{38F9A616-ED97-4A21-B95F-0EF013AE0798}"/>
    <cellStyle name="Normal 4 4 2 3 7 3" xfId="11048" xr:uid="{67160828-D7FD-4814-9B01-57F0E3A26ED6}"/>
    <cellStyle name="Normal 4 4 2 3 8" xfId="4759" xr:uid="{00000000-0005-0000-0000-00003D150000}"/>
    <cellStyle name="Normal 4 4 2 3 8 2" xfId="13201" xr:uid="{54859568-1703-4497-ADA7-D689DEAA6FB2}"/>
    <cellStyle name="Normal 4 4 2 3 9" xfId="8983" xr:uid="{837EE553-7FBE-49C9-A0CA-860D53921FF7}"/>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2 2 2" xfId="15761" xr:uid="{DCDD3EAD-DC10-4EC3-AA49-93359B978D79}"/>
    <cellStyle name="Normal 4 4 2 4 2 2 3" xfId="11543" xr:uid="{9F460E2D-C65A-47FB-BDCA-7B541DAC8ED0}"/>
    <cellStyle name="Normal 4 4 2 4 2 3" xfId="5174" xr:uid="{00000000-0005-0000-0000-000042150000}"/>
    <cellStyle name="Normal 4 4 2 4 2 3 2" xfId="13616" xr:uid="{DC10F83C-EF1A-4344-A18C-1C94B08121C4}"/>
    <cellStyle name="Normal 4 4 2 4 2 4" xfId="9398" xr:uid="{483E35DD-99A1-4ACE-814C-45D291D2371F}"/>
    <cellStyle name="Normal 4 4 2 4 3" xfId="1279" xr:uid="{00000000-0005-0000-0000-000043150000}"/>
    <cellStyle name="Normal 4 4 2 4 3 2" xfId="3509" xr:uid="{00000000-0005-0000-0000-000044150000}"/>
    <cellStyle name="Normal 4 4 2 4 3 2 2" xfId="7732" xr:uid="{00000000-0005-0000-0000-000045150000}"/>
    <cellStyle name="Normal 4 4 2 4 3 2 2 2" xfId="16174" xr:uid="{A0334BB9-CE4E-43B9-B1DB-50A921D29C4A}"/>
    <cellStyle name="Normal 4 4 2 4 3 2 3" xfId="11956" xr:uid="{E9974D21-6AEC-4C06-A180-22DC3288B837}"/>
    <cellStyle name="Normal 4 4 2 4 3 3" xfId="5587" xr:uid="{00000000-0005-0000-0000-000046150000}"/>
    <cellStyle name="Normal 4 4 2 4 3 3 2" xfId="14029" xr:uid="{3B6D768F-C7A9-4EC3-A876-2C913709AC7A}"/>
    <cellStyle name="Normal 4 4 2 4 3 4" xfId="9811" xr:uid="{1D9C9B0D-961F-408D-B348-F4C30C0A3608}"/>
    <cellStyle name="Normal 4 4 2 4 4" xfId="1692" xr:uid="{00000000-0005-0000-0000-000047150000}"/>
    <cellStyle name="Normal 4 4 2 4 4 2" xfId="3922" xr:uid="{00000000-0005-0000-0000-000048150000}"/>
    <cellStyle name="Normal 4 4 2 4 4 2 2" xfId="8145" xr:uid="{00000000-0005-0000-0000-000049150000}"/>
    <cellStyle name="Normal 4 4 2 4 4 2 2 2" xfId="16587" xr:uid="{606189BD-4F07-4C5B-A435-E7B49DD5B122}"/>
    <cellStyle name="Normal 4 4 2 4 4 2 3" xfId="12369" xr:uid="{695DD4F5-9C14-4414-9CED-15D112F944DE}"/>
    <cellStyle name="Normal 4 4 2 4 4 3" xfId="6000" xr:uid="{00000000-0005-0000-0000-00004A150000}"/>
    <cellStyle name="Normal 4 4 2 4 4 3 2" xfId="14442" xr:uid="{6E39E68D-E20D-460F-9E18-26B7464B6D53}"/>
    <cellStyle name="Normal 4 4 2 4 4 4" xfId="10224" xr:uid="{7A51CB92-A842-44AB-BDEC-C337945E44A2}"/>
    <cellStyle name="Normal 4 4 2 4 5" xfId="2106" xr:uid="{00000000-0005-0000-0000-00004B150000}"/>
    <cellStyle name="Normal 4 4 2 4 5 2" xfId="4335" xr:uid="{00000000-0005-0000-0000-00004C150000}"/>
    <cellStyle name="Normal 4 4 2 4 5 2 2" xfId="8558" xr:uid="{00000000-0005-0000-0000-00004D150000}"/>
    <cellStyle name="Normal 4 4 2 4 5 2 2 2" xfId="17000" xr:uid="{C8E6C6CD-8D24-4BCE-9CA4-59895D8F2994}"/>
    <cellStyle name="Normal 4 4 2 4 5 2 3" xfId="12782" xr:uid="{AC23E960-A095-44BB-8FB8-9CF0B5395670}"/>
    <cellStyle name="Normal 4 4 2 4 5 3" xfId="6413" xr:uid="{00000000-0005-0000-0000-00004E150000}"/>
    <cellStyle name="Normal 4 4 2 4 5 3 2" xfId="14855" xr:uid="{4B30E1DA-36F2-4648-99DF-872775EFBD83}"/>
    <cellStyle name="Normal 4 4 2 4 5 4" xfId="10637" xr:uid="{CC77D7D9-7845-4650-A39B-FCBDC5258260}"/>
    <cellStyle name="Normal 4 4 2 4 6" xfId="2542" xr:uid="{00000000-0005-0000-0000-00004F150000}"/>
    <cellStyle name="Normal 4 4 2 4 6 2" xfId="6826" xr:uid="{00000000-0005-0000-0000-000050150000}"/>
    <cellStyle name="Normal 4 4 2 4 6 2 2" xfId="15268" xr:uid="{1D1CDF37-ED35-4B2B-B499-60BDCDB7CBCE}"/>
    <cellStyle name="Normal 4 4 2 4 6 3" xfId="11050" xr:uid="{0910453C-6492-445B-A572-8D64AF54C374}"/>
    <cellStyle name="Normal 4 4 2 4 7" xfId="4761" xr:uid="{00000000-0005-0000-0000-000051150000}"/>
    <cellStyle name="Normal 4 4 2 4 7 2" xfId="13203" xr:uid="{453E9A6A-DA97-4E20-8759-121025D93C3A}"/>
    <cellStyle name="Normal 4 4 2 4 8" xfId="8985" xr:uid="{4CFC6347-28C6-429C-A186-4EE34A4CA58D}"/>
    <cellStyle name="Normal 4 4 2 5" xfId="854" xr:uid="{00000000-0005-0000-0000-000052150000}"/>
    <cellStyle name="Normal 4 4 2 5 2" xfId="3089" xr:uid="{00000000-0005-0000-0000-000053150000}"/>
    <cellStyle name="Normal 4 4 2 5 2 2" xfId="7312" xr:uid="{00000000-0005-0000-0000-000054150000}"/>
    <cellStyle name="Normal 4 4 2 5 2 2 2" xfId="15754" xr:uid="{F5DF6398-E3F9-4856-8D50-F9B2706FDC6E}"/>
    <cellStyle name="Normal 4 4 2 5 2 3" xfId="11536" xr:uid="{07D23DD9-A015-4801-96B2-206BCC7D6E30}"/>
    <cellStyle name="Normal 4 4 2 5 3" xfId="5167" xr:uid="{00000000-0005-0000-0000-000055150000}"/>
    <cellStyle name="Normal 4 4 2 5 3 2" xfId="13609" xr:uid="{168C5B7F-C615-4900-9155-46A8EE40670B}"/>
    <cellStyle name="Normal 4 4 2 5 4" xfId="9391" xr:uid="{A2969021-51F3-49BC-9B4B-8D326EF2C975}"/>
    <cellStyle name="Normal 4 4 2 6" xfId="1272" xr:uid="{00000000-0005-0000-0000-000056150000}"/>
    <cellStyle name="Normal 4 4 2 6 2" xfId="3502" xr:uid="{00000000-0005-0000-0000-000057150000}"/>
    <cellStyle name="Normal 4 4 2 6 2 2" xfId="7725" xr:uid="{00000000-0005-0000-0000-000058150000}"/>
    <cellStyle name="Normal 4 4 2 6 2 2 2" xfId="16167" xr:uid="{74A99C99-F395-4BB9-ACFE-0F46043257A3}"/>
    <cellStyle name="Normal 4 4 2 6 2 3" xfId="11949" xr:uid="{E48E767D-FBC1-4405-92EE-DE89CC22CB56}"/>
    <cellStyle name="Normal 4 4 2 6 3" xfId="5580" xr:uid="{00000000-0005-0000-0000-000059150000}"/>
    <cellStyle name="Normal 4 4 2 6 3 2" xfId="14022" xr:uid="{7BB3EF3A-3D1E-4F77-ABF6-B07D31C68B5A}"/>
    <cellStyle name="Normal 4 4 2 6 4" xfId="9804" xr:uid="{D037C684-5F09-443F-8B49-C8E6ED7CE751}"/>
    <cellStyle name="Normal 4 4 2 7" xfId="1685" xr:uid="{00000000-0005-0000-0000-00005A150000}"/>
    <cellStyle name="Normal 4 4 2 7 2" xfId="3915" xr:uid="{00000000-0005-0000-0000-00005B150000}"/>
    <cellStyle name="Normal 4 4 2 7 2 2" xfId="8138" xr:uid="{00000000-0005-0000-0000-00005C150000}"/>
    <cellStyle name="Normal 4 4 2 7 2 2 2" xfId="16580" xr:uid="{6D0D79C9-CBA7-4CEA-928D-B802646DED74}"/>
    <cellStyle name="Normal 4 4 2 7 2 3" xfId="12362" xr:uid="{4CEAB7BE-1E8F-4AFC-B5CC-79171FD6A08A}"/>
    <cellStyle name="Normal 4 4 2 7 3" xfId="5993" xr:uid="{00000000-0005-0000-0000-00005D150000}"/>
    <cellStyle name="Normal 4 4 2 7 3 2" xfId="14435" xr:uid="{545D4F09-6228-4156-B815-2D6A82164A16}"/>
    <cellStyle name="Normal 4 4 2 7 4" xfId="10217" xr:uid="{1CA598C2-072A-462E-9DDF-FB216D067057}"/>
    <cellStyle name="Normal 4 4 2 8" xfId="2099" xr:uid="{00000000-0005-0000-0000-00005E150000}"/>
    <cellStyle name="Normal 4 4 2 8 2" xfId="4328" xr:uid="{00000000-0005-0000-0000-00005F150000}"/>
    <cellStyle name="Normal 4 4 2 8 2 2" xfId="8551" xr:uid="{00000000-0005-0000-0000-000060150000}"/>
    <cellStyle name="Normal 4 4 2 8 2 2 2" xfId="16993" xr:uid="{E4B02887-0AA2-4F1C-AB7C-D2CCBC5A19B1}"/>
    <cellStyle name="Normal 4 4 2 8 2 3" xfId="12775" xr:uid="{1F701A1A-845C-440A-BCA4-265BCCAF60BD}"/>
    <cellStyle name="Normal 4 4 2 8 3" xfId="6406" xr:uid="{00000000-0005-0000-0000-000061150000}"/>
    <cellStyle name="Normal 4 4 2 8 3 2" xfId="14848" xr:uid="{776F9543-43B0-4F29-9A3F-E12DCA1BDC1B}"/>
    <cellStyle name="Normal 4 4 2 8 4" xfId="10630" xr:uid="{15548493-987A-497E-98E7-7639CC346BA5}"/>
    <cellStyle name="Normal 4 4 2 9" xfId="2535" xr:uid="{00000000-0005-0000-0000-000062150000}"/>
    <cellStyle name="Normal 4 4 2 9 2" xfId="6819" xr:uid="{00000000-0005-0000-0000-000063150000}"/>
    <cellStyle name="Normal 4 4 2 9 2 2" xfId="15261" xr:uid="{283AE8B8-07FE-4066-830D-5E11FB6C4977}"/>
    <cellStyle name="Normal 4 4 2 9 3" xfId="11043" xr:uid="{1EA64FA2-B8E6-4B3E-881A-AB1AD8062AFD}"/>
    <cellStyle name="Normal 4 4 3" xfId="387" xr:uid="{00000000-0005-0000-0000-000064150000}"/>
    <cellStyle name="Normal 4 4 3 10" xfId="8986" xr:uid="{D52D5963-ECF4-4225-BDFC-CD456B79E368}"/>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2 2 2" xfId="15764" xr:uid="{0BD8E2DE-133F-4A90-86BF-1C0B31FDD753}"/>
    <cellStyle name="Normal 4 4 3 2 2 2 2 3" xfId="11546" xr:uid="{4505A7F4-D58A-4EEA-8781-842B34B557F0}"/>
    <cellStyle name="Normal 4 4 3 2 2 2 3" xfId="5177" xr:uid="{00000000-0005-0000-0000-00006A150000}"/>
    <cellStyle name="Normal 4 4 3 2 2 2 3 2" xfId="13619" xr:uid="{2BCDBD66-DE72-400B-8B5A-E12A545F2F70}"/>
    <cellStyle name="Normal 4 4 3 2 2 2 4" xfId="9401" xr:uid="{75DC1315-5643-4DA0-8593-CA3ACB369EE4}"/>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2 2 2" xfId="16177" xr:uid="{2B8A05D2-9580-4905-8AF9-F5E79378C7E2}"/>
    <cellStyle name="Normal 4 4 3 2 2 3 2 3" xfId="11959" xr:uid="{3DE539F4-4637-4D52-B290-CA485946F68A}"/>
    <cellStyle name="Normal 4 4 3 2 2 3 3" xfId="5590" xr:uid="{00000000-0005-0000-0000-00006E150000}"/>
    <cellStyle name="Normal 4 4 3 2 2 3 3 2" xfId="14032" xr:uid="{BD311ACC-0255-4DB3-9993-109654435C5C}"/>
    <cellStyle name="Normal 4 4 3 2 2 3 4" xfId="9814" xr:uid="{EEB8F6F6-90D1-41FE-B6C3-53C4200F9507}"/>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2 2 2" xfId="16590" xr:uid="{D087C758-FACF-48DF-B449-0F62F9FAB872}"/>
    <cellStyle name="Normal 4 4 3 2 2 4 2 3" xfId="12372" xr:uid="{561E45C7-0207-4C86-A55A-59BC7157BBDF}"/>
    <cellStyle name="Normal 4 4 3 2 2 4 3" xfId="6003" xr:uid="{00000000-0005-0000-0000-000072150000}"/>
    <cellStyle name="Normal 4 4 3 2 2 4 3 2" xfId="14445" xr:uid="{97D11BD8-F52A-474F-9912-BB94EB39DFE4}"/>
    <cellStyle name="Normal 4 4 3 2 2 4 4" xfId="10227" xr:uid="{DBE8E7D4-1AF3-44DB-8685-EA4D03711201}"/>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2 2 2" xfId="17003" xr:uid="{5A173517-82DF-4D4F-9D3B-F3428995579F}"/>
    <cellStyle name="Normal 4 4 3 2 2 5 2 3" xfId="12785" xr:uid="{669648E1-BF0C-4AAB-B780-CCAD11AD024E}"/>
    <cellStyle name="Normal 4 4 3 2 2 5 3" xfId="6416" xr:uid="{00000000-0005-0000-0000-000076150000}"/>
    <cellStyle name="Normal 4 4 3 2 2 5 3 2" xfId="14858" xr:uid="{7B41EE6B-BD39-4E85-A5AB-83871E66A8A1}"/>
    <cellStyle name="Normal 4 4 3 2 2 5 4" xfId="10640" xr:uid="{537ACB21-D4A4-44F3-B0DA-B7BF86A7C72A}"/>
    <cellStyle name="Normal 4 4 3 2 2 6" xfId="2545" xr:uid="{00000000-0005-0000-0000-000077150000}"/>
    <cellStyle name="Normal 4 4 3 2 2 6 2" xfId="6829" xr:uid="{00000000-0005-0000-0000-000078150000}"/>
    <cellStyle name="Normal 4 4 3 2 2 6 2 2" xfId="15271" xr:uid="{B346F15C-B928-4698-B15A-FE9662C8E4B3}"/>
    <cellStyle name="Normal 4 4 3 2 2 6 3" xfId="11053" xr:uid="{7F26A820-AB8D-430A-9A69-D02DE6C52218}"/>
    <cellStyle name="Normal 4 4 3 2 2 7" xfId="4764" xr:uid="{00000000-0005-0000-0000-000079150000}"/>
    <cellStyle name="Normal 4 4 3 2 2 7 2" xfId="13206" xr:uid="{95B7B804-5ACF-4F58-8AE3-EC5BD76D2CE7}"/>
    <cellStyle name="Normal 4 4 3 2 2 8" xfId="8988" xr:uid="{1F626CD7-DB11-4892-A2D0-F31D74EB344B}"/>
    <cellStyle name="Normal 4 4 3 2 3" xfId="863" xr:uid="{00000000-0005-0000-0000-00007A150000}"/>
    <cellStyle name="Normal 4 4 3 2 3 2" xfId="3098" xr:uid="{00000000-0005-0000-0000-00007B150000}"/>
    <cellStyle name="Normal 4 4 3 2 3 2 2" xfId="7321" xr:uid="{00000000-0005-0000-0000-00007C150000}"/>
    <cellStyle name="Normal 4 4 3 2 3 2 2 2" xfId="15763" xr:uid="{30D524AA-27EF-4747-A544-473E018752B6}"/>
    <cellStyle name="Normal 4 4 3 2 3 2 3" xfId="11545" xr:uid="{F9480704-3B71-4462-AB08-59DE2D1F89A6}"/>
    <cellStyle name="Normal 4 4 3 2 3 3" xfId="5176" xr:uid="{00000000-0005-0000-0000-00007D150000}"/>
    <cellStyle name="Normal 4 4 3 2 3 3 2" xfId="13618" xr:uid="{AB6BEE2E-4B8E-4EF3-B415-5359CEA0956E}"/>
    <cellStyle name="Normal 4 4 3 2 3 4" xfId="9400" xr:uid="{92313EA7-F5A2-437D-827A-629B0888A84C}"/>
    <cellStyle name="Normal 4 4 3 2 4" xfId="1281" xr:uid="{00000000-0005-0000-0000-00007E150000}"/>
    <cellStyle name="Normal 4 4 3 2 4 2" xfId="3511" xr:uid="{00000000-0005-0000-0000-00007F150000}"/>
    <cellStyle name="Normal 4 4 3 2 4 2 2" xfId="7734" xr:uid="{00000000-0005-0000-0000-000080150000}"/>
    <cellStyle name="Normal 4 4 3 2 4 2 2 2" xfId="16176" xr:uid="{A2B462CD-EA14-40C0-A547-457DC53B01D8}"/>
    <cellStyle name="Normal 4 4 3 2 4 2 3" xfId="11958" xr:uid="{41FD37D1-C1B3-4B1B-A224-74F60EEA4F70}"/>
    <cellStyle name="Normal 4 4 3 2 4 3" xfId="5589" xr:uid="{00000000-0005-0000-0000-000081150000}"/>
    <cellStyle name="Normal 4 4 3 2 4 3 2" xfId="14031" xr:uid="{71347701-39A4-4D70-9714-8DFDE556AF37}"/>
    <cellStyle name="Normal 4 4 3 2 4 4" xfId="9813" xr:uid="{DDE0B037-7925-4E63-98C9-B683AFE8393E}"/>
    <cellStyle name="Normal 4 4 3 2 5" xfId="1694" xr:uid="{00000000-0005-0000-0000-000082150000}"/>
    <cellStyle name="Normal 4 4 3 2 5 2" xfId="3924" xr:uid="{00000000-0005-0000-0000-000083150000}"/>
    <cellStyle name="Normal 4 4 3 2 5 2 2" xfId="8147" xr:uid="{00000000-0005-0000-0000-000084150000}"/>
    <cellStyle name="Normal 4 4 3 2 5 2 2 2" xfId="16589" xr:uid="{92AFCEA5-74F0-4726-A9C9-D669F0EF7083}"/>
    <cellStyle name="Normal 4 4 3 2 5 2 3" xfId="12371" xr:uid="{64B8F63D-67EA-4717-B05A-4B1032654567}"/>
    <cellStyle name="Normal 4 4 3 2 5 3" xfId="6002" xr:uid="{00000000-0005-0000-0000-000085150000}"/>
    <cellStyle name="Normal 4 4 3 2 5 3 2" xfId="14444" xr:uid="{B70519D7-0CB9-4098-AE52-EA9A39A68364}"/>
    <cellStyle name="Normal 4 4 3 2 5 4" xfId="10226" xr:uid="{AF9894B9-7D67-4E51-9A45-1E992ABF1E37}"/>
    <cellStyle name="Normal 4 4 3 2 6" xfId="2108" xr:uid="{00000000-0005-0000-0000-000086150000}"/>
    <cellStyle name="Normal 4 4 3 2 6 2" xfId="4337" xr:uid="{00000000-0005-0000-0000-000087150000}"/>
    <cellStyle name="Normal 4 4 3 2 6 2 2" xfId="8560" xr:uid="{00000000-0005-0000-0000-000088150000}"/>
    <cellStyle name="Normal 4 4 3 2 6 2 2 2" xfId="17002" xr:uid="{267B660E-E90C-4143-9691-0C28F8DDF265}"/>
    <cellStyle name="Normal 4 4 3 2 6 2 3" xfId="12784" xr:uid="{E84EDC81-568D-4F50-BEA7-24465AA021F4}"/>
    <cellStyle name="Normal 4 4 3 2 6 3" xfId="6415" xr:uid="{00000000-0005-0000-0000-000089150000}"/>
    <cellStyle name="Normal 4 4 3 2 6 3 2" xfId="14857" xr:uid="{82AFE41B-BEE2-4A5E-862B-D71EBF9A4629}"/>
    <cellStyle name="Normal 4 4 3 2 6 4" xfId="10639" xr:uid="{9D8FDF4B-0F06-46CD-A8B6-D76ED35FA446}"/>
    <cellStyle name="Normal 4 4 3 2 7" xfId="2544" xr:uid="{00000000-0005-0000-0000-00008A150000}"/>
    <cellStyle name="Normal 4 4 3 2 7 2" xfId="6828" xr:uid="{00000000-0005-0000-0000-00008B150000}"/>
    <cellStyle name="Normal 4 4 3 2 7 2 2" xfId="15270" xr:uid="{6B6DACFC-61EA-41DE-8A22-550FB408492B}"/>
    <cellStyle name="Normal 4 4 3 2 7 3" xfId="11052" xr:uid="{C8289A73-61BA-4E7F-993D-10EF7A50B0FC}"/>
    <cellStyle name="Normal 4 4 3 2 8" xfId="4763" xr:uid="{00000000-0005-0000-0000-00008C150000}"/>
    <cellStyle name="Normal 4 4 3 2 8 2" xfId="13205" xr:uid="{A4CC7E81-973D-41E4-BCDD-A48BF065D120}"/>
    <cellStyle name="Normal 4 4 3 2 9" xfId="8987" xr:uid="{A2D56380-B882-49DF-B8A8-5AD4E94C0FB1}"/>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2 2 2" xfId="15765" xr:uid="{65D0AC5D-1E29-48DD-ADF4-0BE4EB9FDCBD}"/>
    <cellStyle name="Normal 4 4 3 3 2 2 3" xfId="11547" xr:uid="{EE7D4DAE-4700-48AB-8AF1-2D21F6178CD4}"/>
    <cellStyle name="Normal 4 4 3 3 2 3" xfId="5178" xr:uid="{00000000-0005-0000-0000-000091150000}"/>
    <cellStyle name="Normal 4 4 3 3 2 3 2" xfId="13620" xr:uid="{B97E9AA5-B336-4F15-B9C1-537BE96BF988}"/>
    <cellStyle name="Normal 4 4 3 3 2 4" xfId="9402" xr:uid="{4991197C-3EC5-4474-BD1B-56E9A69800A3}"/>
    <cellStyle name="Normal 4 4 3 3 3" xfId="1283" xr:uid="{00000000-0005-0000-0000-000092150000}"/>
    <cellStyle name="Normal 4 4 3 3 3 2" xfId="3513" xr:uid="{00000000-0005-0000-0000-000093150000}"/>
    <cellStyle name="Normal 4 4 3 3 3 2 2" xfId="7736" xr:uid="{00000000-0005-0000-0000-000094150000}"/>
    <cellStyle name="Normal 4 4 3 3 3 2 2 2" xfId="16178" xr:uid="{53E83DD0-C5E6-4379-BC4B-2889710AA473}"/>
    <cellStyle name="Normal 4 4 3 3 3 2 3" xfId="11960" xr:uid="{1865AA6E-1FE8-4EAF-936B-6B1B5A7077FD}"/>
    <cellStyle name="Normal 4 4 3 3 3 3" xfId="5591" xr:uid="{00000000-0005-0000-0000-000095150000}"/>
    <cellStyle name="Normal 4 4 3 3 3 3 2" xfId="14033" xr:uid="{5FF2C102-70FE-46F0-B96B-C2E79B97C79B}"/>
    <cellStyle name="Normal 4 4 3 3 3 4" xfId="9815" xr:uid="{852E8721-7FC3-4DFF-A81C-83BBDF8A0F88}"/>
    <cellStyle name="Normal 4 4 3 3 4" xfId="1696" xr:uid="{00000000-0005-0000-0000-000096150000}"/>
    <cellStyle name="Normal 4 4 3 3 4 2" xfId="3926" xr:uid="{00000000-0005-0000-0000-000097150000}"/>
    <cellStyle name="Normal 4 4 3 3 4 2 2" xfId="8149" xr:uid="{00000000-0005-0000-0000-000098150000}"/>
    <cellStyle name="Normal 4 4 3 3 4 2 2 2" xfId="16591" xr:uid="{F576CAD8-6E7B-4B9B-A593-6B1B9ED366D8}"/>
    <cellStyle name="Normal 4 4 3 3 4 2 3" xfId="12373" xr:uid="{7767327C-0335-45D1-9D11-34E3537D19EB}"/>
    <cellStyle name="Normal 4 4 3 3 4 3" xfId="6004" xr:uid="{00000000-0005-0000-0000-000099150000}"/>
    <cellStyle name="Normal 4 4 3 3 4 3 2" xfId="14446" xr:uid="{60B59C5E-035F-4976-AF98-0E72DD04FC3A}"/>
    <cellStyle name="Normal 4 4 3 3 4 4" xfId="10228" xr:uid="{4C2B35C0-5FFC-415B-8165-45C911D91C81}"/>
    <cellStyle name="Normal 4 4 3 3 5" xfId="2110" xr:uid="{00000000-0005-0000-0000-00009A150000}"/>
    <cellStyle name="Normal 4 4 3 3 5 2" xfId="4339" xr:uid="{00000000-0005-0000-0000-00009B150000}"/>
    <cellStyle name="Normal 4 4 3 3 5 2 2" xfId="8562" xr:uid="{00000000-0005-0000-0000-00009C150000}"/>
    <cellStyle name="Normal 4 4 3 3 5 2 2 2" xfId="17004" xr:uid="{E3F7038C-7F2B-4A92-87DE-32154050CC8E}"/>
    <cellStyle name="Normal 4 4 3 3 5 2 3" xfId="12786" xr:uid="{506055C1-BC03-4264-ABC2-1062D876AE10}"/>
    <cellStyle name="Normal 4 4 3 3 5 3" xfId="6417" xr:uid="{00000000-0005-0000-0000-00009D150000}"/>
    <cellStyle name="Normal 4 4 3 3 5 3 2" xfId="14859" xr:uid="{6EB59510-2959-4473-AC2E-E43F94509516}"/>
    <cellStyle name="Normal 4 4 3 3 5 4" xfId="10641" xr:uid="{06CF3D0D-2EBF-468A-872E-E8CBB9848A2D}"/>
    <cellStyle name="Normal 4 4 3 3 6" xfId="2546" xr:uid="{00000000-0005-0000-0000-00009E150000}"/>
    <cellStyle name="Normal 4 4 3 3 6 2" xfId="6830" xr:uid="{00000000-0005-0000-0000-00009F150000}"/>
    <cellStyle name="Normal 4 4 3 3 6 2 2" xfId="15272" xr:uid="{97CE1232-6E6A-4632-9C66-C7896C272B00}"/>
    <cellStyle name="Normal 4 4 3 3 6 3" xfId="11054" xr:uid="{0D67921F-0F95-430C-9BE2-8430ECA13536}"/>
    <cellStyle name="Normal 4 4 3 3 7" xfId="4765" xr:uid="{00000000-0005-0000-0000-0000A0150000}"/>
    <cellStyle name="Normal 4 4 3 3 7 2" xfId="13207" xr:uid="{EF6C3003-4943-43B3-B4AC-4E12AB4FFF89}"/>
    <cellStyle name="Normal 4 4 3 3 8" xfId="8989" xr:uid="{AA752D7E-AC40-46D2-9CC4-55FAC3D785E9}"/>
    <cellStyle name="Normal 4 4 3 4" xfId="862" xr:uid="{00000000-0005-0000-0000-0000A1150000}"/>
    <cellStyle name="Normal 4 4 3 4 2" xfId="3097" xr:uid="{00000000-0005-0000-0000-0000A2150000}"/>
    <cellStyle name="Normal 4 4 3 4 2 2" xfId="7320" xr:uid="{00000000-0005-0000-0000-0000A3150000}"/>
    <cellStyle name="Normal 4 4 3 4 2 2 2" xfId="15762" xr:uid="{39A2C33F-7D29-4DDD-93F1-EBEBEBD2CB36}"/>
    <cellStyle name="Normal 4 4 3 4 2 3" xfId="11544" xr:uid="{5BA5F9A4-6CDC-4659-B834-E10577E0C9B2}"/>
    <cellStyle name="Normal 4 4 3 4 3" xfId="5175" xr:uid="{00000000-0005-0000-0000-0000A4150000}"/>
    <cellStyle name="Normal 4 4 3 4 3 2" xfId="13617" xr:uid="{CDE811A8-D6FC-4EE5-9DA6-E5955B1760D7}"/>
    <cellStyle name="Normal 4 4 3 4 4" xfId="9399" xr:uid="{D9527A73-7878-456C-B743-89954B9CDCF4}"/>
    <cellStyle name="Normal 4 4 3 5" xfId="1280" xr:uid="{00000000-0005-0000-0000-0000A5150000}"/>
    <cellStyle name="Normal 4 4 3 5 2" xfId="3510" xr:uid="{00000000-0005-0000-0000-0000A6150000}"/>
    <cellStyle name="Normal 4 4 3 5 2 2" xfId="7733" xr:uid="{00000000-0005-0000-0000-0000A7150000}"/>
    <cellStyle name="Normal 4 4 3 5 2 2 2" xfId="16175" xr:uid="{F5BB75D3-7104-4FF9-B320-B15C5A3DBEAA}"/>
    <cellStyle name="Normal 4 4 3 5 2 3" xfId="11957" xr:uid="{CBD82900-24FE-4B4D-81CD-ED4553901137}"/>
    <cellStyle name="Normal 4 4 3 5 3" xfId="5588" xr:uid="{00000000-0005-0000-0000-0000A8150000}"/>
    <cellStyle name="Normal 4 4 3 5 3 2" xfId="14030" xr:uid="{52B936D3-3191-4EBF-AE09-EF917F1D3B3E}"/>
    <cellStyle name="Normal 4 4 3 5 4" xfId="9812" xr:uid="{B2439771-0408-4EC7-81F2-7C7B594900FF}"/>
    <cellStyle name="Normal 4 4 3 6" xfId="1693" xr:uid="{00000000-0005-0000-0000-0000A9150000}"/>
    <cellStyle name="Normal 4 4 3 6 2" xfId="3923" xr:uid="{00000000-0005-0000-0000-0000AA150000}"/>
    <cellStyle name="Normal 4 4 3 6 2 2" xfId="8146" xr:uid="{00000000-0005-0000-0000-0000AB150000}"/>
    <cellStyle name="Normal 4 4 3 6 2 2 2" xfId="16588" xr:uid="{DC31F85E-4EAB-4379-97E3-E36D966E7238}"/>
    <cellStyle name="Normal 4 4 3 6 2 3" xfId="12370" xr:uid="{D0F18D0B-F647-4FD1-A4FD-561C2302D6F1}"/>
    <cellStyle name="Normal 4 4 3 6 3" xfId="6001" xr:uid="{00000000-0005-0000-0000-0000AC150000}"/>
    <cellStyle name="Normal 4 4 3 6 3 2" xfId="14443" xr:uid="{9B51F185-8846-488E-AA82-2149991A3B88}"/>
    <cellStyle name="Normal 4 4 3 6 4" xfId="10225" xr:uid="{8DE26B51-1A3D-4D95-8A66-281AD97FE142}"/>
    <cellStyle name="Normal 4 4 3 7" xfId="2107" xr:uid="{00000000-0005-0000-0000-0000AD150000}"/>
    <cellStyle name="Normal 4 4 3 7 2" xfId="4336" xr:uid="{00000000-0005-0000-0000-0000AE150000}"/>
    <cellStyle name="Normal 4 4 3 7 2 2" xfId="8559" xr:uid="{00000000-0005-0000-0000-0000AF150000}"/>
    <cellStyle name="Normal 4 4 3 7 2 2 2" xfId="17001" xr:uid="{68F51575-582C-486F-839D-50F8AE055A30}"/>
    <cellStyle name="Normal 4 4 3 7 2 3" xfId="12783" xr:uid="{8C38B19E-C056-4739-A575-FFBD7AF0BACC}"/>
    <cellStyle name="Normal 4 4 3 7 3" xfId="6414" xr:uid="{00000000-0005-0000-0000-0000B0150000}"/>
    <cellStyle name="Normal 4 4 3 7 3 2" xfId="14856" xr:uid="{DAEA5E3E-9094-4CDF-B74C-7C3D003B2D77}"/>
    <cellStyle name="Normal 4 4 3 7 4" xfId="10638" xr:uid="{5FB5BCA1-C438-4C17-ABFB-AE717801FD77}"/>
    <cellStyle name="Normal 4 4 3 8" xfId="2543" xr:uid="{00000000-0005-0000-0000-0000B1150000}"/>
    <cellStyle name="Normal 4 4 3 8 2" xfId="6827" xr:uid="{00000000-0005-0000-0000-0000B2150000}"/>
    <cellStyle name="Normal 4 4 3 8 2 2" xfId="15269" xr:uid="{7E202FF7-D9EE-4AD5-A93B-33B6AB4E0A48}"/>
    <cellStyle name="Normal 4 4 3 8 3" xfId="11051" xr:uid="{8949F9C2-EA09-4E2A-9406-C3561ED18DC7}"/>
    <cellStyle name="Normal 4 4 3 9" xfId="4762" xr:uid="{00000000-0005-0000-0000-0000B3150000}"/>
    <cellStyle name="Normal 4 4 3 9 2" xfId="13204" xr:uid="{59D43121-892F-4FB1-9275-66179515107C}"/>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2 2 2" xfId="15767" xr:uid="{93FBCDD9-F7C6-4C0F-B952-086529C9471A}"/>
    <cellStyle name="Normal 4 4 4 2 2 2 3" xfId="11549" xr:uid="{DAA4271D-2217-4F91-9BB5-77EE98EE51A5}"/>
    <cellStyle name="Normal 4 4 4 2 2 3" xfId="5180" xr:uid="{00000000-0005-0000-0000-0000B9150000}"/>
    <cellStyle name="Normal 4 4 4 2 2 3 2" xfId="13622" xr:uid="{2D55C1B2-A111-4224-91A8-CC8F24BB3F67}"/>
    <cellStyle name="Normal 4 4 4 2 2 4" xfId="9404" xr:uid="{AA7E60BD-AAA7-48B8-8061-9AEFB429C456}"/>
    <cellStyle name="Normal 4 4 4 2 3" xfId="1285" xr:uid="{00000000-0005-0000-0000-0000BA150000}"/>
    <cellStyle name="Normal 4 4 4 2 3 2" xfId="3515" xr:uid="{00000000-0005-0000-0000-0000BB150000}"/>
    <cellStyle name="Normal 4 4 4 2 3 2 2" xfId="7738" xr:uid="{00000000-0005-0000-0000-0000BC150000}"/>
    <cellStyle name="Normal 4 4 4 2 3 2 2 2" xfId="16180" xr:uid="{FBCF68C7-99BE-4D16-9825-F75D069F790C}"/>
    <cellStyle name="Normal 4 4 4 2 3 2 3" xfId="11962" xr:uid="{DDB25138-76C8-47B3-8281-280A62866A91}"/>
    <cellStyle name="Normal 4 4 4 2 3 3" xfId="5593" xr:uid="{00000000-0005-0000-0000-0000BD150000}"/>
    <cellStyle name="Normal 4 4 4 2 3 3 2" xfId="14035" xr:uid="{EADFC5D1-9FFE-4179-AF7A-EB6D8AC7DF6A}"/>
    <cellStyle name="Normal 4 4 4 2 3 4" xfId="9817" xr:uid="{DB581E5B-56ED-47F9-8DED-055C6A9AAD9B}"/>
    <cellStyle name="Normal 4 4 4 2 4" xfId="1698" xr:uid="{00000000-0005-0000-0000-0000BE150000}"/>
    <cellStyle name="Normal 4 4 4 2 4 2" xfId="3928" xr:uid="{00000000-0005-0000-0000-0000BF150000}"/>
    <cellStyle name="Normal 4 4 4 2 4 2 2" xfId="8151" xr:uid="{00000000-0005-0000-0000-0000C0150000}"/>
    <cellStyle name="Normal 4 4 4 2 4 2 2 2" xfId="16593" xr:uid="{75930CDF-F0ED-423B-8E32-8FEAB6CFF59C}"/>
    <cellStyle name="Normal 4 4 4 2 4 2 3" xfId="12375" xr:uid="{CF3D6550-3BEA-4EDC-8ADF-7028AEB58E83}"/>
    <cellStyle name="Normal 4 4 4 2 4 3" xfId="6006" xr:uid="{00000000-0005-0000-0000-0000C1150000}"/>
    <cellStyle name="Normal 4 4 4 2 4 3 2" xfId="14448" xr:uid="{B4704B2B-622E-4488-A0FC-E1FF8436216F}"/>
    <cellStyle name="Normal 4 4 4 2 4 4" xfId="10230" xr:uid="{D4D16035-7975-47B4-AF22-5702D50F7308}"/>
    <cellStyle name="Normal 4 4 4 2 5" xfId="2112" xr:uid="{00000000-0005-0000-0000-0000C2150000}"/>
    <cellStyle name="Normal 4 4 4 2 5 2" xfId="4341" xr:uid="{00000000-0005-0000-0000-0000C3150000}"/>
    <cellStyle name="Normal 4 4 4 2 5 2 2" xfId="8564" xr:uid="{00000000-0005-0000-0000-0000C4150000}"/>
    <cellStyle name="Normal 4 4 4 2 5 2 2 2" xfId="17006" xr:uid="{C710E94D-193A-4C90-A22C-A33BBFCFFFF7}"/>
    <cellStyle name="Normal 4 4 4 2 5 2 3" xfId="12788" xr:uid="{92B2D074-5C31-414B-91E5-1E10F5B42D5A}"/>
    <cellStyle name="Normal 4 4 4 2 5 3" xfId="6419" xr:uid="{00000000-0005-0000-0000-0000C5150000}"/>
    <cellStyle name="Normal 4 4 4 2 5 3 2" xfId="14861" xr:uid="{76C8077E-C587-4481-9FCC-110213A6C5F9}"/>
    <cellStyle name="Normal 4 4 4 2 5 4" xfId="10643" xr:uid="{6FA6FD22-E71C-4F88-8024-4E5D9370CDC6}"/>
    <cellStyle name="Normal 4 4 4 2 6" xfId="2548" xr:uid="{00000000-0005-0000-0000-0000C6150000}"/>
    <cellStyle name="Normal 4 4 4 2 6 2" xfId="6832" xr:uid="{00000000-0005-0000-0000-0000C7150000}"/>
    <cellStyle name="Normal 4 4 4 2 6 2 2" xfId="15274" xr:uid="{A214969F-DB87-4904-8417-8EA62EECDDED}"/>
    <cellStyle name="Normal 4 4 4 2 6 3" xfId="11056" xr:uid="{0AF5D7F4-653A-4BBC-924F-30A55724BD22}"/>
    <cellStyle name="Normal 4 4 4 2 7" xfId="4767" xr:uid="{00000000-0005-0000-0000-0000C8150000}"/>
    <cellStyle name="Normal 4 4 4 2 7 2" xfId="13209" xr:uid="{A70F8523-2C2B-4874-8CDF-B81E83CEC959}"/>
    <cellStyle name="Normal 4 4 4 2 8" xfId="8991" xr:uid="{26012081-8F83-49D1-B185-FE341F99C6FF}"/>
    <cellStyle name="Normal 4 4 4 3" xfId="866" xr:uid="{00000000-0005-0000-0000-0000C9150000}"/>
    <cellStyle name="Normal 4 4 4 3 2" xfId="3101" xr:uid="{00000000-0005-0000-0000-0000CA150000}"/>
    <cellStyle name="Normal 4 4 4 3 2 2" xfId="7324" xr:uid="{00000000-0005-0000-0000-0000CB150000}"/>
    <cellStyle name="Normal 4 4 4 3 2 2 2" xfId="15766" xr:uid="{1CC2C8CB-9032-4C71-B608-9C39C22A5A2C}"/>
    <cellStyle name="Normal 4 4 4 3 2 3" xfId="11548" xr:uid="{819A0E54-032D-4BDE-AA89-69B9A1147BCF}"/>
    <cellStyle name="Normal 4 4 4 3 3" xfId="5179" xr:uid="{00000000-0005-0000-0000-0000CC150000}"/>
    <cellStyle name="Normal 4 4 4 3 3 2" xfId="13621" xr:uid="{56B0D5F2-1EE0-48CC-870E-254B15DABDAE}"/>
    <cellStyle name="Normal 4 4 4 3 4" xfId="9403" xr:uid="{DFA6E5E0-7535-488A-91C4-1CB22FE9F3A1}"/>
    <cellStyle name="Normal 4 4 4 4" xfId="1284" xr:uid="{00000000-0005-0000-0000-0000CD150000}"/>
    <cellStyle name="Normal 4 4 4 4 2" xfId="3514" xr:uid="{00000000-0005-0000-0000-0000CE150000}"/>
    <cellStyle name="Normal 4 4 4 4 2 2" xfId="7737" xr:uid="{00000000-0005-0000-0000-0000CF150000}"/>
    <cellStyle name="Normal 4 4 4 4 2 2 2" xfId="16179" xr:uid="{A2888917-C661-4280-9E70-F71B6896D508}"/>
    <cellStyle name="Normal 4 4 4 4 2 3" xfId="11961" xr:uid="{3CE8E00A-D497-46B3-B7DB-C901457A0980}"/>
    <cellStyle name="Normal 4 4 4 4 3" xfId="5592" xr:uid="{00000000-0005-0000-0000-0000D0150000}"/>
    <cellStyle name="Normal 4 4 4 4 3 2" xfId="14034" xr:uid="{77977FAF-EF11-4550-90F3-263164A775EC}"/>
    <cellStyle name="Normal 4 4 4 4 4" xfId="9816" xr:uid="{3DC20E9C-0D03-4C6E-89DA-A3540749CA72}"/>
    <cellStyle name="Normal 4 4 4 5" xfId="1697" xr:uid="{00000000-0005-0000-0000-0000D1150000}"/>
    <cellStyle name="Normal 4 4 4 5 2" xfId="3927" xr:uid="{00000000-0005-0000-0000-0000D2150000}"/>
    <cellStyle name="Normal 4 4 4 5 2 2" xfId="8150" xr:uid="{00000000-0005-0000-0000-0000D3150000}"/>
    <cellStyle name="Normal 4 4 4 5 2 2 2" xfId="16592" xr:uid="{A7FABC31-919F-4040-8E53-B687CCA49DF8}"/>
    <cellStyle name="Normal 4 4 4 5 2 3" xfId="12374" xr:uid="{8B3C3D3F-A53C-4E0C-AC91-D8E8FA1A4143}"/>
    <cellStyle name="Normal 4 4 4 5 3" xfId="6005" xr:uid="{00000000-0005-0000-0000-0000D4150000}"/>
    <cellStyle name="Normal 4 4 4 5 3 2" xfId="14447" xr:uid="{8652632F-9C57-4A84-8C55-4F26FB3D774A}"/>
    <cellStyle name="Normal 4 4 4 5 4" xfId="10229" xr:uid="{B2DFA2BE-0CD4-4E27-9161-8A365415662A}"/>
    <cellStyle name="Normal 4 4 4 6" xfId="2111" xr:uid="{00000000-0005-0000-0000-0000D5150000}"/>
    <cellStyle name="Normal 4 4 4 6 2" xfId="4340" xr:uid="{00000000-0005-0000-0000-0000D6150000}"/>
    <cellStyle name="Normal 4 4 4 6 2 2" xfId="8563" xr:uid="{00000000-0005-0000-0000-0000D7150000}"/>
    <cellStyle name="Normal 4 4 4 6 2 2 2" xfId="17005" xr:uid="{5565089F-CC0C-4486-A65F-0799E50D3709}"/>
    <cellStyle name="Normal 4 4 4 6 2 3" xfId="12787" xr:uid="{DC3AE5C9-302F-4031-A0BE-A9CC6D891C5A}"/>
    <cellStyle name="Normal 4 4 4 6 3" xfId="6418" xr:uid="{00000000-0005-0000-0000-0000D8150000}"/>
    <cellStyle name="Normal 4 4 4 6 3 2" xfId="14860" xr:uid="{26636A34-A84F-4178-9E4D-7BDBF1DFD0E2}"/>
    <cellStyle name="Normal 4 4 4 6 4" xfId="10642" xr:uid="{0A31C3FE-7035-44F4-AB84-B13A6922029B}"/>
    <cellStyle name="Normal 4 4 4 7" xfId="2547" xr:uid="{00000000-0005-0000-0000-0000D9150000}"/>
    <cellStyle name="Normal 4 4 4 7 2" xfId="6831" xr:uid="{00000000-0005-0000-0000-0000DA150000}"/>
    <cellStyle name="Normal 4 4 4 7 2 2" xfId="15273" xr:uid="{40F918FB-AA6F-4FC2-A7C2-AD0E208B44A4}"/>
    <cellStyle name="Normal 4 4 4 7 3" xfId="11055" xr:uid="{E385F66E-91AC-4D09-B651-5C208292B221}"/>
    <cellStyle name="Normal 4 4 4 8" xfId="4766" xr:uid="{00000000-0005-0000-0000-0000DB150000}"/>
    <cellStyle name="Normal 4 4 4 8 2" xfId="13208" xr:uid="{11DB02E5-B935-41C5-8DE7-C6AAF2C29C3B}"/>
    <cellStyle name="Normal 4 4 4 9" xfId="8990" xr:uid="{EEAF1BE0-CC9A-42DE-93BF-F795FB5B9815}"/>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2 2 2" xfId="15768" xr:uid="{E1D9061A-BD8E-4852-8447-8074511EAD00}"/>
    <cellStyle name="Normal 4 4 5 2 2 3" xfId="11550" xr:uid="{3F139EC5-45CD-4D8A-8922-EEE34AFF54F0}"/>
    <cellStyle name="Normal 4 4 5 2 3" xfId="5181" xr:uid="{00000000-0005-0000-0000-0000E0150000}"/>
    <cellStyle name="Normal 4 4 5 2 3 2" xfId="13623" xr:uid="{8B6B0904-E9F7-4F24-9D9C-B06929FAE7D7}"/>
    <cellStyle name="Normal 4 4 5 2 4" xfId="9405" xr:uid="{F431F7F4-7B2B-458E-B6A7-581701C2C86D}"/>
    <cellStyle name="Normal 4 4 5 3" xfId="1286" xr:uid="{00000000-0005-0000-0000-0000E1150000}"/>
    <cellStyle name="Normal 4 4 5 3 2" xfId="3516" xr:uid="{00000000-0005-0000-0000-0000E2150000}"/>
    <cellStyle name="Normal 4 4 5 3 2 2" xfId="7739" xr:uid="{00000000-0005-0000-0000-0000E3150000}"/>
    <cellStyle name="Normal 4 4 5 3 2 2 2" xfId="16181" xr:uid="{3C1F9E3D-F59A-41F3-8937-F6C505548C4E}"/>
    <cellStyle name="Normal 4 4 5 3 2 3" xfId="11963" xr:uid="{7D99C518-6358-4D01-84A5-19B9127326A6}"/>
    <cellStyle name="Normal 4 4 5 3 3" xfId="5594" xr:uid="{00000000-0005-0000-0000-0000E4150000}"/>
    <cellStyle name="Normal 4 4 5 3 3 2" xfId="14036" xr:uid="{D6B1ED0E-E23A-48A6-BD9F-268D28417386}"/>
    <cellStyle name="Normal 4 4 5 3 4" xfId="9818" xr:uid="{D34B79A5-7747-4A6C-AF34-10B779B98721}"/>
    <cellStyle name="Normal 4 4 5 4" xfId="1699" xr:uid="{00000000-0005-0000-0000-0000E5150000}"/>
    <cellStyle name="Normal 4 4 5 4 2" xfId="3929" xr:uid="{00000000-0005-0000-0000-0000E6150000}"/>
    <cellStyle name="Normal 4 4 5 4 2 2" xfId="8152" xr:uid="{00000000-0005-0000-0000-0000E7150000}"/>
    <cellStyle name="Normal 4 4 5 4 2 2 2" xfId="16594" xr:uid="{B6DE6BBF-CA66-4E22-9D22-F726AE234731}"/>
    <cellStyle name="Normal 4 4 5 4 2 3" xfId="12376" xr:uid="{410BCBBD-DF90-42D3-819D-6A4925755D61}"/>
    <cellStyle name="Normal 4 4 5 4 3" xfId="6007" xr:uid="{00000000-0005-0000-0000-0000E8150000}"/>
    <cellStyle name="Normal 4 4 5 4 3 2" xfId="14449" xr:uid="{D4D4060B-32D5-4B7B-A097-1C99CC1940D9}"/>
    <cellStyle name="Normal 4 4 5 4 4" xfId="10231" xr:uid="{93D59758-7A31-4F8D-A998-EDB18D22A126}"/>
    <cellStyle name="Normal 4 4 5 5" xfId="2113" xr:uid="{00000000-0005-0000-0000-0000E9150000}"/>
    <cellStyle name="Normal 4 4 5 5 2" xfId="4342" xr:uid="{00000000-0005-0000-0000-0000EA150000}"/>
    <cellStyle name="Normal 4 4 5 5 2 2" xfId="8565" xr:uid="{00000000-0005-0000-0000-0000EB150000}"/>
    <cellStyle name="Normal 4 4 5 5 2 2 2" xfId="17007" xr:uid="{8EDA02E2-53E6-4984-A4E4-1CDA9D83DCB0}"/>
    <cellStyle name="Normal 4 4 5 5 2 3" xfId="12789" xr:uid="{8B937B49-05F3-4290-A4B6-56010D15B9BA}"/>
    <cellStyle name="Normal 4 4 5 5 3" xfId="6420" xr:uid="{00000000-0005-0000-0000-0000EC150000}"/>
    <cellStyle name="Normal 4 4 5 5 3 2" xfId="14862" xr:uid="{7B83A99B-0F45-45AC-9D57-FFD00031E97E}"/>
    <cellStyle name="Normal 4 4 5 5 4" xfId="10644" xr:uid="{956B7DC4-53F3-48D0-9893-CB6B91A6515E}"/>
    <cellStyle name="Normal 4 4 5 6" xfId="2549" xr:uid="{00000000-0005-0000-0000-0000ED150000}"/>
    <cellStyle name="Normal 4 4 5 6 2" xfId="6833" xr:uid="{00000000-0005-0000-0000-0000EE150000}"/>
    <cellStyle name="Normal 4 4 5 6 2 2" xfId="15275" xr:uid="{8757E747-6094-409D-8E08-EA1A4C5F0491}"/>
    <cellStyle name="Normal 4 4 5 6 3" xfId="11057" xr:uid="{81312A27-8A7C-4D56-9F09-8CC1F1B71978}"/>
    <cellStyle name="Normal 4 4 5 7" xfId="4768" xr:uid="{00000000-0005-0000-0000-0000EF150000}"/>
    <cellStyle name="Normal 4 4 5 7 2" xfId="13210" xr:uid="{08F2C776-DD59-4FE3-A9F7-557D56E498A0}"/>
    <cellStyle name="Normal 4 4 5 8" xfId="8992" xr:uid="{31764BFA-BB76-42EE-96DB-8E6FB1FA0D36}"/>
    <cellStyle name="Normal 4 4 6" xfId="853" xr:uid="{00000000-0005-0000-0000-0000F0150000}"/>
    <cellStyle name="Normal 4 4 6 2" xfId="3088" xr:uid="{00000000-0005-0000-0000-0000F1150000}"/>
    <cellStyle name="Normal 4 4 6 2 2" xfId="7311" xr:uid="{00000000-0005-0000-0000-0000F2150000}"/>
    <cellStyle name="Normal 4 4 6 2 2 2" xfId="15753" xr:uid="{B06E9E8C-1B52-4059-AA94-E8253E3845F1}"/>
    <cellStyle name="Normal 4 4 6 2 3" xfId="11535" xr:uid="{BC512AAD-A23D-47A5-ACE0-1F0864BB4966}"/>
    <cellStyle name="Normal 4 4 6 3" xfId="5166" xr:uid="{00000000-0005-0000-0000-0000F3150000}"/>
    <cellStyle name="Normal 4 4 6 3 2" xfId="13608" xr:uid="{5F5C8151-D261-48F0-A8B5-4C76F59BF42C}"/>
    <cellStyle name="Normal 4 4 6 4" xfId="9390" xr:uid="{F7455879-AB69-4944-A540-08A2F2759800}"/>
    <cellStyle name="Normal 4 4 7" xfId="1271" xr:uid="{00000000-0005-0000-0000-0000F4150000}"/>
    <cellStyle name="Normal 4 4 7 2" xfId="3501" xr:uid="{00000000-0005-0000-0000-0000F5150000}"/>
    <cellStyle name="Normal 4 4 7 2 2" xfId="7724" xr:uid="{00000000-0005-0000-0000-0000F6150000}"/>
    <cellStyle name="Normal 4 4 7 2 2 2" xfId="16166" xr:uid="{F2510147-2CDB-420E-8C8F-5837219EE1AC}"/>
    <cellStyle name="Normal 4 4 7 2 3" xfId="11948" xr:uid="{A766D706-4B2F-499A-89F9-579981744F31}"/>
    <cellStyle name="Normal 4 4 7 3" xfId="5579" xr:uid="{00000000-0005-0000-0000-0000F7150000}"/>
    <cellStyle name="Normal 4 4 7 3 2" xfId="14021" xr:uid="{1944F3AD-618F-45DB-9921-63BE8443AE66}"/>
    <cellStyle name="Normal 4 4 7 4" xfId="9803" xr:uid="{13FA179D-4E91-4104-8798-BCF0472DFCF6}"/>
    <cellStyle name="Normal 4 4 8" xfId="1684" xr:uid="{00000000-0005-0000-0000-0000F8150000}"/>
    <cellStyle name="Normal 4 4 8 2" xfId="3914" xr:uid="{00000000-0005-0000-0000-0000F9150000}"/>
    <cellStyle name="Normal 4 4 8 2 2" xfId="8137" xr:uid="{00000000-0005-0000-0000-0000FA150000}"/>
    <cellStyle name="Normal 4 4 8 2 2 2" xfId="16579" xr:uid="{61646406-432F-428C-8CF9-0283365F2A38}"/>
    <cellStyle name="Normal 4 4 8 2 3" xfId="12361" xr:uid="{0723567C-89C7-46FF-9948-26CBFD7B1E79}"/>
    <cellStyle name="Normal 4 4 8 3" xfId="5992" xr:uid="{00000000-0005-0000-0000-0000FB150000}"/>
    <cellStyle name="Normal 4 4 8 3 2" xfId="14434" xr:uid="{38DDBFED-9636-4FC5-876D-CBBB7B18DF9A}"/>
    <cellStyle name="Normal 4 4 8 4" xfId="10216" xr:uid="{8BA2762F-CCBF-4862-BB85-234F48C6C880}"/>
    <cellStyle name="Normal 4 4 9" xfId="2098" xr:uid="{00000000-0005-0000-0000-0000FC150000}"/>
    <cellStyle name="Normal 4 4 9 2" xfId="4327" xr:uid="{00000000-0005-0000-0000-0000FD150000}"/>
    <cellStyle name="Normal 4 4 9 2 2" xfId="8550" xr:uid="{00000000-0005-0000-0000-0000FE150000}"/>
    <cellStyle name="Normal 4 4 9 2 2 2" xfId="16992" xr:uid="{576DC73D-4D0D-4D29-8F4E-CCB4344FCBBF}"/>
    <cellStyle name="Normal 4 4 9 2 3" xfId="12774" xr:uid="{C932C8C8-0008-4F8D-807C-89CB975CA55D}"/>
    <cellStyle name="Normal 4 4 9 3" xfId="6405" xr:uid="{00000000-0005-0000-0000-0000FF150000}"/>
    <cellStyle name="Normal 4 4 9 3 2" xfId="14847" xr:uid="{3D1F31B6-F72A-41A6-97F2-7748249B753F}"/>
    <cellStyle name="Normal 4 4 9 4" xfId="10629" xr:uid="{A79D77BF-0645-421F-96D6-58BD013B82D7}"/>
    <cellStyle name="Normal 4 5" xfId="394" xr:uid="{00000000-0005-0000-0000-000000160000}"/>
    <cellStyle name="Normal 4 6" xfId="395" xr:uid="{00000000-0005-0000-0000-000001160000}"/>
    <cellStyle name="Normal 4 6 10" xfId="4769" xr:uid="{00000000-0005-0000-0000-000002160000}"/>
    <cellStyle name="Normal 4 6 10 2" xfId="13211" xr:uid="{E5CD71FB-2BA9-40EE-B485-2723A2A9E96B}"/>
    <cellStyle name="Normal 4 6 11" xfId="8993" xr:uid="{6405A953-0143-47DF-BE83-854B92A144C1}"/>
    <cellStyle name="Normal 4 6 2" xfId="396" xr:uid="{00000000-0005-0000-0000-000003160000}"/>
    <cellStyle name="Normal 4 6 2 10" xfId="8994" xr:uid="{8FABEC5C-2714-4A07-B572-223E3FD0F1F5}"/>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2 2 2" xfId="15772" xr:uid="{C41A028D-947E-46B2-AE26-85EA0B35BDF2}"/>
    <cellStyle name="Normal 4 6 2 2 2 2 2 3" xfId="11554" xr:uid="{E343864A-8B3B-480C-9003-109C2BA4303C}"/>
    <cellStyle name="Normal 4 6 2 2 2 2 3" xfId="5185" xr:uid="{00000000-0005-0000-0000-000009160000}"/>
    <cellStyle name="Normal 4 6 2 2 2 2 3 2" xfId="13627" xr:uid="{B56752C3-122E-4D2F-8066-4FBC853C2FCB}"/>
    <cellStyle name="Normal 4 6 2 2 2 2 4" xfId="9409" xr:uid="{9E45545F-6CA2-4750-94C5-94F8DA82C92C}"/>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2 2 2" xfId="16185" xr:uid="{710B9A74-F784-4C2B-8C0A-0E833001FC4F}"/>
    <cellStyle name="Normal 4 6 2 2 2 3 2 3" xfId="11967" xr:uid="{B260989C-77C2-4E73-BBEB-15F51AAE4BB4}"/>
    <cellStyle name="Normal 4 6 2 2 2 3 3" xfId="5598" xr:uid="{00000000-0005-0000-0000-00000D160000}"/>
    <cellStyle name="Normal 4 6 2 2 2 3 3 2" xfId="14040" xr:uid="{C27725D5-C3DA-450C-9E93-0D37BD175357}"/>
    <cellStyle name="Normal 4 6 2 2 2 3 4" xfId="9822" xr:uid="{D0AA2968-1AD5-4956-B091-390C9CC5CA64}"/>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2 2 2" xfId="16598" xr:uid="{52E3A006-B0DB-49C0-830D-C6928A62836B}"/>
    <cellStyle name="Normal 4 6 2 2 2 4 2 3" xfId="12380" xr:uid="{4929CEFC-3D2C-4BEE-9AC4-9D43AD6F332F}"/>
    <cellStyle name="Normal 4 6 2 2 2 4 3" xfId="6011" xr:uid="{00000000-0005-0000-0000-000011160000}"/>
    <cellStyle name="Normal 4 6 2 2 2 4 3 2" xfId="14453" xr:uid="{DB3DFCDC-A94D-4C2F-8D9A-A77FC338B192}"/>
    <cellStyle name="Normal 4 6 2 2 2 4 4" xfId="10235" xr:uid="{A0100D49-3809-42B4-8804-5C3D5D75A11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2 2 2" xfId="17011" xr:uid="{C3C34420-5164-4ABB-8CBE-9B21D55E918B}"/>
    <cellStyle name="Normal 4 6 2 2 2 5 2 3" xfId="12793" xr:uid="{40EFA8B1-3A93-405D-8669-A9BD26043315}"/>
    <cellStyle name="Normal 4 6 2 2 2 5 3" xfId="6424" xr:uid="{00000000-0005-0000-0000-000015160000}"/>
    <cellStyle name="Normal 4 6 2 2 2 5 3 2" xfId="14866" xr:uid="{AA3DC6EC-717B-410B-ACA5-7A613729B098}"/>
    <cellStyle name="Normal 4 6 2 2 2 5 4" xfId="10648" xr:uid="{89F3E7D3-AC07-4598-BAB1-7E9C7E14E0EF}"/>
    <cellStyle name="Normal 4 6 2 2 2 6" xfId="2553" xr:uid="{00000000-0005-0000-0000-000016160000}"/>
    <cellStyle name="Normal 4 6 2 2 2 6 2" xfId="6837" xr:uid="{00000000-0005-0000-0000-000017160000}"/>
    <cellStyle name="Normal 4 6 2 2 2 6 2 2" xfId="15279" xr:uid="{7D708B34-07A9-4AFE-B449-60E578A620F6}"/>
    <cellStyle name="Normal 4 6 2 2 2 6 3" xfId="11061" xr:uid="{61ACB7D6-C66B-42D7-8A35-A7DDB78E2F49}"/>
    <cellStyle name="Normal 4 6 2 2 2 7" xfId="4772" xr:uid="{00000000-0005-0000-0000-000018160000}"/>
    <cellStyle name="Normal 4 6 2 2 2 7 2" xfId="13214" xr:uid="{93BC7DC3-1352-4ABB-BFAE-DAFC7CE87906}"/>
    <cellStyle name="Normal 4 6 2 2 2 8" xfId="8996" xr:uid="{544611AF-7456-45F7-84D4-B9BDACFFDCF6}"/>
    <cellStyle name="Normal 4 6 2 2 3" xfId="871" xr:uid="{00000000-0005-0000-0000-000019160000}"/>
    <cellStyle name="Normal 4 6 2 2 3 2" xfId="3106" xr:uid="{00000000-0005-0000-0000-00001A160000}"/>
    <cellStyle name="Normal 4 6 2 2 3 2 2" xfId="7329" xr:uid="{00000000-0005-0000-0000-00001B160000}"/>
    <cellStyle name="Normal 4 6 2 2 3 2 2 2" xfId="15771" xr:uid="{DAC91FB4-1F4F-4781-9C39-39F92952BD79}"/>
    <cellStyle name="Normal 4 6 2 2 3 2 3" xfId="11553" xr:uid="{14D17040-E2C3-40FE-8EDE-6BF7498F98C8}"/>
    <cellStyle name="Normal 4 6 2 2 3 3" xfId="5184" xr:uid="{00000000-0005-0000-0000-00001C160000}"/>
    <cellStyle name="Normal 4 6 2 2 3 3 2" xfId="13626" xr:uid="{60712CD9-78D2-4595-B735-229557C6BDC0}"/>
    <cellStyle name="Normal 4 6 2 2 3 4" xfId="9408" xr:uid="{EE364EF4-CF85-4152-896D-F1057EBB2784}"/>
    <cellStyle name="Normal 4 6 2 2 4" xfId="1289" xr:uid="{00000000-0005-0000-0000-00001D160000}"/>
    <cellStyle name="Normal 4 6 2 2 4 2" xfId="3519" xr:uid="{00000000-0005-0000-0000-00001E160000}"/>
    <cellStyle name="Normal 4 6 2 2 4 2 2" xfId="7742" xr:uid="{00000000-0005-0000-0000-00001F160000}"/>
    <cellStyle name="Normal 4 6 2 2 4 2 2 2" xfId="16184" xr:uid="{1742F656-8F80-48B9-9061-2B0B2EFB2BBF}"/>
    <cellStyle name="Normal 4 6 2 2 4 2 3" xfId="11966" xr:uid="{33E21C48-3578-442B-A59E-9065F8CB2BFD}"/>
    <cellStyle name="Normal 4 6 2 2 4 3" xfId="5597" xr:uid="{00000000-0005-0000-0000-000020160000}"/>
    <cellStyle name="Normal 4 6 2 2 4 3 2" xfId="14039" xr:uid="{93DC7AF9-2DC3-4A80-A4A3-E560AA0B8B83}"/>
    <cellStyle name="Normal 4 6 2 2 4 4" xfId="9821" xr:uid="{2F9CE771-BB5F-4983-8C54-595E0EFBEFBD}"/>
    <cellStyle name="Normal 4 6 2 2 5" xfId="1702" xr:uid="{00000000-0005-0000-0000-000021160000}"/>
    <cellStyle name="Normal 4 6 2 2 5 2" xfId="3932" xr:uid="{00000000-0005-0000-0000-000022160000}"/>
    <cellStyle name="Normal 4 6 2 2 5 2 2" xfId="8155" xr:uid="{00000000-0005-0000-0000-000023160000}"/>
    <cellStyle name="Normal 4 6 2 2 5 2 2 2" xfId="16597" xr:uid="{7B1ED6DC-6259-4DAD-8055-95C999CBF3CD}"/>
    <cellStyle name="Normal 4 6 2 2 5 2 3" xfId="12379" xr:uid="{E502B7AD-C04B-4934-ABF3-B320BFAF11BF}"/>
    <cellStyle name="Normal 4 6 2 2 5 3" xfId="6010" xr:uid="{00000000-0005-0000-0000-000024160000}"/>
    <cellStyle name="Normal 4 6 2 2 5 3 2" xfId="14452" xr:uid="{00EA4E53-7E26-4250-9B65-CF64F4A87036}"/>
    <cellStyle name="Normal 4 6 2 2 5 4" xfId="10234" xr:uid="{D791298A-F426-4709-96BC-D2D36B0EB9BE}"/>
    <cellStyle name="Normal 4 6 2 2 6" xfId="2116" xr:uid="{00000000-0005-0000-0000-000025160000}"/>
    <cellStyle name="Normal 4 6 2 2 6 2" xfId="4345" xr:uid="{00000000-0005-0000-0000-000026160000}"/>
    <cellStyle name="Normal 4 6 2 2 6 2 2" xfId="8568" xr:uid="{00000000-0005-0000-0000-000027160000}"/>
    <cellStyle name="Normal 4 6 2 2 6 2 2 2" xfId="17010" xr:uid="{2CF3DFD4-5932-478B-BFBB-374EEE024534}"/>
    <cellStyle name="Normal 4 6 2 2 6 2 3" xfId="12792" xr:uid="{23134521-8B01-4C07-8C2D-9AD5F54CDDE8}"/>
    <cellStyle name="Normal 4 6 2 2 6 3" xfId="6423" xr:uid="{00000000-0005-0000-0000-000028160000}"/>
    <cellStyle name="Normal 4 6 2 2 6 3 2" xfId="14865" xr:uid="{5838757C-51D2-4AED-92B7-3DCB2177CECF}"/>
    <cellStyle name="Normal 4 6 2 2 6 4" xfId="10647" xr:uid="{80CC1C43-5F2A-404D-99AE-FD9CE404FCF6}"/>
    <cellStyle name="Normal 4 6 2 2 7" xfId="2552" xr:uid="{00000000-0005-0000-0000-000029160000}"/>
    <cellStyle name="Normal 4 6 2 2 7 2" xfId="6836" xr:uid="{00000000-0005-0000-0000-00002A160000}"/>
    <cellStyle name="Normal 4 6 2 2 7 2 2" xfId="15278" xr:uid="{7511DB31-6202-4AD8-AA1C-412B20B68363}"/>
    <cellStyle name="Normal 4 6 2 2 7 3" xfId="11060" xr:uid="{D550A22F-21EB-42A5-9917-93ED6EC8E613}"/>
    <cellStyle name="Normal 4 6 2 2 8" xfId="4771" xr:uid="{00000000-0005-0000-0000-00002B160000}"/>
    <cellStyle name="Normal 4 6 2 2 8 2" xfId="13213" xr:uid="{DD8C0BA8-2E56-400B-8215-2F79010736E1}"/>
    <cellStyle name="Normal 4 6 2 2 9" xfId="8995" xr:uid="{0523E741-3F03-4EE8-9700-822A132628E1}"/>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2 2 2" xfId="15773" xr:uid="{DDC875A9-D2F4-4853-96C2-F3EB369C7AD5}"/>
    <cellStyle name="Normal 4 6 2 3 2 2 3" xfId="11555" xr:uid="{E25AA47B-08B1-40B6-9AE9-181807A2699E}"/>
    <cellStyle name="Normal 4 6 2 3 2 3" xfId="5186" xr:uid="{00000000-0005-0000-0000-000030160000}"/>
    <cellStyle name="Normal 4 6 2 3 2 3 2" xfId="13628" xr:uid="{DFDF7281-265C-49F2-A569-687280880BCC}"/>
    <cellStyle name="Normal 4 6 2 3 2 4" xfId="9410" xr:uid="{6AFEDF1A-76FD-4EE4-B8AA-51A6BAAAC201}"/>
    <cellStyle name="Normal 4 6 2 3 3" xfId="1291" xr:uid="{00000000-0005-0000-0000-000031160000}"/>
    <cellStyle name="Normal 4 6 2 3 3 2" xfId="3521" xr:uid="{00000000-0005-0000-0000-000032160000}"/>
    <cellStyle name="Normal 4 6 2 3 3 2 2" xfId="7744" xr:uid="{00000000-0005-0000-0000-000033160000}"/>
    <cellStyle name="Normal 4 6 2 3 3 2 2 2" xfId="16186" xr:uid="{CD455F87-CFA2-4110-BA51-635F6E34151F}"/>
    <cellStyle name="Normal 4 6 2 3 3 2 3" xfId="11968" xr:uid="{22CE84F5-1C49-4449-B602-AAAEA0DB4008}"/>
    <cellStyle name="Normal 4 6 2 3 3 3" xfId="5599" xr:uid="{00000000-0005-0000-0000-000034160000}"/>
    <cellStyle name="Normal 4 6 2 3 3 3 2" xfId="14041" xr:uid="{3D9DEC27-8897-4031-99D6-487D65E2643A}"/>
    <cellStyle name="Normal 4 6 2 3 3 4" xfId="9823" xr:uid="{BE430321-880F-426E-BA3C-42B3285D24C1}"/>
    <cellStyle name="Normal 4 6 2 3 4" xfId="1704" xr:uid="{00000000-0005-0000-0000-000035160000}"/>
    <cellStyle name="Normal 4 6 2 3 4 2" xfId="3934" xr:uid="{00000000-0005-0000-0000-000036160000}"/>
    <cellStyle name="Normal 4 6 2 3 4 2 2" xfId="8157" xr:uid="{00000000-0005-0000-0000-000037160000}"/>
    <cellStyle name="Normal 4 6 2 3 4 2 2 2" xfId="16599" xr:uid="{F3514579-37B3-4326-92A4-433E95DDF43F}"/>
    <cellStyle name="Normal 4 6 2 3 4 2 3" xfId="12381" xr:uid="{10DBE204-0868-4597-A8B1-715996C6EB07}"/>
    <cellStyle name="Normal 4 6 2 3 4 3" xfId="6012" xr:uid="{00000000-0005-0000-0000-000038160000}"/>
    <cellStyle name="Normal 4 6 2 3 4 3 2" xfId="14454" xr:uid="{E5AF4354-3E46-442D-8345-064FDFB5DFD7}"/>
    <cellStyle name="Normal 4 6 2 3 4 4" xfId="10236" xr:uid="{92FF42A9-7561-4AA9-8977-942DC407B9F7}"/>
    <cellStyle name="Normal 4 6 2 3 5" xfId="2118" xr:uid="{00000000-0005-0000-0000-000039160000}"/>
    <cellStyle name="Normal 4 6 2 3 5 2" xfId="4347" xr:uid="{00000000-0005-0000-0000-00003A160000}"/>
    <cellStyle name="Normal 4 6 2 3 5 2 2" xfId="8570" xr:uid="{00000000-0005-0000-0000-00003B160000}"/>
    <cellStyle name="Normal 4 6 2 3 5 2 2 2" xfId="17012" xr:uid="{2AC7E5E0-B1BE-4C1A-B13F-4CDA8051838C}"/>
    <cellStyle name="Normal 4 6 2 3 5 2 3" xfId="12794" xr:uid="{D6B477AC-E6DF-4EE5-9C88-E834B1BA4AE3}"/>
    <cellStyle name="Normal 4 6 2 3 5 3" xfId="6425" xr:uid="{00000000-0005-0000-0000-00003C160000}"/>
    <cellStyle name="Normal 4 6 2 3 5 3 2" xfId="14867" xr:uid="{6A341EF6-AF4B-474C-9614-0B53BECCF955}"/>
    <cellStyle name="Normal 4 6 2 3 5 4" xfId="10649" xr:uid="{3DACD8DC-A4D7-4974-BBBF-D9D7CB4452F2}"/>
    <cellStyle name="Normal 4 6 2 3 6" xfId="2554" xr:uid="{00000000-0005-0000-0000-00003D160000}"/>
    <cellStyle name="Normal 4 6 2 3 6 2" xfId="6838" xr:uid="{00000000-0005-0000-0000-00003E160000}"/>
    <cellStyle name="Normal 4 6 2 3 6 2 2" xfId="15280" xr:uid="{B34A0818-948A-4699-A3A1-9F90973734B3}"/>
    <cellStyle name="Normal 4 6 2 3 6 3" xfId="11062" xr:uid="{A0EA0AE9-39DE-421C-9F04-880E4F636E98}"/>
    <cellStyle name="Normal 4 6 2 3 7" xfId="4773" xr:uid="{00000000-0005-0000-0000-00003F160000}"/>
    <cellStyle name="Normal 4 6 2 3 7 2" xfId="13215" xr:uid="{B3685BCA-AF39-4B9E-925C-0812D5ECF602}"/>
    <cellStyle name="Normal 4 6 2 3 8" xfId="8997" xr:uid="{C3C83F97-3A21-4344-BA63-4E73F5F66980}"/>
    <cellStyle name="Normal 4 6 2 4" xfId="870" xr:uid="{00000000-0005-0000-0000-000040160000}"/>
    <cellStyle name="Normal 4 6 2 4 2" xfId="3105" xr:uid="{00000000-0005-0000-0000-000041160000}"/>
    <cellStyle name="Normal 4 6 2 4 2 2" xfId="7328" xr:uid="{00000000-0005-0000-0000-000042160000}"/>
    <cellStyle name="Normal 4 6 2 4 2 2 2" xfId="15770" xr:uid="{76ABCA6B-533A-406C-B3BD-0DDD4BA2C11B}"/>
    <cellStyle name="Normal 4 6 2 4 2 3" xfId="11552" xr:uid="{F6C9C622-FA00-4C22-8A21-48567420514B}"/>
    <cellStyle name="Normal 4 6 2 4 3" xfId="5183" xr:uid="{00000000-0005-0000-0000-000043160000}"/>
    <cellStyle name="Normal 4 6 2 4 3 2" xfId="13625" xr:uid="{81431792-409E-4450-9A70-261892769FAD}"/>
    <cellStyle name="Normal 4 6 2 4 4" xfId="9407" xr:uid="{A65B1679-FE35-4F3A-A606-88C52A9D26E3}"/>
    <cellStyle name="Normal 4 6 2 5" xfId="1288" xr:uid="{00000000-0005-0000-0000-000044160000}"/>
    <cellStyle name="Normal 4 6 2 5 2" xfId="3518" xr:uid="{00000000-0005-0000-0000-000045160000}"/>
    <cellStyle name="Normal 4 6 2 5 2 2" xfId="7741" xr:uid="{00000000-0005-0000-0000-000046160000}"/>
    <cellStyle name="Normal 4 6 2 5 2 2 2" xfId="16183" xr:uid="{D7930CB4-CA02-4DAB-B7E6-524C4E1E0BCE}"/>
    <cellStyle name="Normal 4 6 2 5 2 3" xfId="11965" xr:uid="{D860FE9E-037D-4526-95B6-EEC41D3BB217}"/>
    <cellStyle name="Normal 4 6 2 5 3" xfId="5596" xr:uid="{00000000-0005-0000-0000-000047160000}"/>
    <cellStyle name="Normal 4 6 2 5 3 2" xfId="14038" xr:uid="{887DEF62-9E56-43C9-B614-9D424051F583}"/>
    <cellStyle name="Normal 4 6 2 5 4" xfId="9820" xr:uid="{CBDFEF8F-22EF-4B79-8C86-2110A809A90D}"/>
    <cellStyle name="Normal 4 6 2 6" xfId="1701" xr:uid="{00000000-0005-0000-0000-000048160000}"/>
    <cellStyle name="Normal 4 6 2 6 2" xfId="3931" xr:uid="{00000000-0005-0000-0000-000049160000}"/>
    <cellStyle name="Normal 4 6 2 6 2 2" xfId="8154" xr:uid="{00000000-0005-0000-0000-00004A160000}"/>
    <cellStyle name="Normal 4 6 2 6 2 2 2" xfId="16596" xr:uid="{EB36022F-3DB7-4E27-8AF8-7C0A70965569}"/>
    <cellStyle name="Normal 4 6 2 6 2 3" xfId="12378" xr:uid="{9A542203-6602-4CFA-83F1-24FDFE9DBAB8}"/>
    <cellStyle name="Normal 4 6 2 6 3" xfId="6009" xr:uid="{00000000-0005-0000-0000-00004B160000}"/>
    <cellStyle name="Normal 4 6 2 6 3 2" xfId="14451" xr:uid="{1C331F64-CCE0-42E5-87B9-D00610A5A681}"/>
    <cellStyle name="Normal 4 6 2 6 4" xfId="10233" xr:uid="{D0F6838D-0181-426D-B4DF-B40190B5BB6B}"/>
    <cellStyle name="Normal 4 6 2 7" xfId="2115" xr:uid="{00000000-0005-0000-0000-00004C160000}"/>
    <cellStyle name="Normal 4 6 2 7 2" xfId="4344" xr:uid="{00000000-0005-0000-0000-00004D160000}"/>
    <cellStyle name="Normal 4 6 2 7 2 2" xfId="8567" xr:uid="{00000000-0005-0000-0000-00004E160000}"/>
    <cellStyle name="Normal 4 6 2 7 2 2 2" xfId="17009" xr:uid="{47242C76-8563-424F-938B-728C7CB34C4E}"/>
    <cellStyle name="Normal 4 6 2 7 2 3" xfId="12791" xr:uid="{6310FAFD-CE6A-4E0B-B280-0EAF637FC6C0}"/>
    <cellStyle name="Normal 4 6 2 7 3" xfId="6422" xr:uid="{00000000-0005-0000-0000-00004F160000}"/>
    <cellStyle name="Normal 4 6 2 7 3 2" xfId="14864" xr:uid="{751A693D-23DA-4E51-88E6-02E130A97F6F}"/>
    <cellStyle name="Normal 4 6 2 7 4" xfId="10646" xr:uid="{FB88F677-7727-4998-8ACE-736959428AE0}"/>
    <cellStyle name="Normal 4 6 2 8" xfId="2551" xr:uid="{00000000-0005-0000-0000-000050160000}"/>
    <cellStyle name="Normal 4 6 2 8 2" xfId="6835" xr:uid="{00000000-0005-0000-0000-000051160000}"/>
    <cellStyle name="Normal 4 6 2 8 2 2" xfId="15277" xr:uid="{185ADB34-3276-44DA-8639-2071A6D5D36F}"/>
    <cellStyle name="Normal 4 6 2 8 3" xfId="11059" xr:uid="{A503F2AB-06F8-4726-ACA8-39483D397109}"/>
    <cellStyle name="Normal 4 6 2 9" xfId="4770" xr:uid="{00000000-0005-0000-0000-000052160000}"/>
    <cellStyle name="Normal 4 6 2 9 2" xfId="13212" xr:uid="{BE02F347-B1B1-40CF-A60B-F5AEB6210A14}"/>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2 2 2" xfId="15775" xr:uid="{C579311F-A967-46B5-ADD0-F5BDBA413A29}"/>
    <cellStyle name="Normal 4 6 3 2 2 2 3" xfId="11557" xr:uid="{922A4554-0E72-400B-87E4-9BBD73ABC268}"/>
    <cellStyle name="Normal 4 6 3 2 2 3" xfId="5188" xr:uid="{00000000-0005-0000-0000-000058160000}"/>
    <cellStyle name="Normal 4 6 3 2 2 3 2" xfId="13630" xr:uid="{00CB38B9-5C18-488D-9BE3-6C581FC5B96B}"/>
    <cellStyle name="Normal 4 6 3 2 2 4" xfId="9412" xr:uid="{8DE47BF8-DFBC-43F5-B51F-75A03E6D321A}"/>
    <cellStyle name="Normal 4 6 3 2 3" xfId="1293" xr:uid="{00000000-0005-0000-0000-000059160000}"/>
    <cellStyle name="Normal 4 6 3 2 3 2" xfId="3523" xr:uid="{00000000-0005-0000-0000-00005A160000}"/>
    <cellStyle name="Normal 4 6 3 2 3 2 2" xfId="7746" xr:uid="{00000000-0005-0000-0000-00005B160000}"/>
    <cellStyle name="Normal 4 6 3 2 3 2 2 2" xfId="16188" xr:uid="{D4555FD4-5F71-4B7E-870C-D7D4C745563A}"/>
    <cellStyle name="Normal 4 6 3 2 3 2 3" xfId="11970" xr:uid="{B999D096-071C-4D82-90D7-3A9C099E96AD}"/>
    <cellStyle name="Normal 4 6 3 2 3 3" xfId="5601" xr:uid="{00000000-0005-0000-0000-00005C160000}"/>
    <cellStyle name="Normal 4 6 3 2 3 3 2" xfId="14043" xr:uid="{2F4AE699-ED9F-41C4-BD3C-178561D5AA0B}"/>
    <cellStyle name="Normal 4 6 3 2 3 4" xfId="9825" xr:uid="{770A751E-0707-4624-BE0C-205FB3A15C54}"/>
    <cellStyle name="Normal 4 6 3 2 4" xfId="1706" xr:uid="{00000000-0005-0000-0000-00005D160000}"/>
    <cellStyle name="Normal 4 6 3 2 4 2" xfId="3936" xr:uid="{00000000-0005-0000-0000-00005E160000}"/>
    <cellStyle name="Normal 4 6 3 2 4 2 2" xfId="8159" xr:uid="{00000000-0005-0000-0000-00005F160000}"/>
    <cellStyle name="Normal 4 6 3 2 4 2 2 2" xfId="16601" xr:uid="{61BDBC33-D4A5-48E0-9E50-F793429FAED8}"/>
    <cellStyle name="Normal 4 6 3 2 4 2 3" xfId="12383" xr:uid="{4F08FA73-A230-4B31-9AB8-48458A782D4B}"/>
    <cellStyle name="Normal 4 6 3 2 4 3" xfId="6014" xr:uid="{00000000-0005-0000-0000-000060160000}"/>
    <cellStyle name="Normal 4 6 3 2 4 3 2" xfId="14456" xr:uid="{C60B82CF-E979-4F27-9FAC-474DA85FEE6E}"/>
    <cellStyle name="Normal 4 6 3 2 4 4" xfId="10238" xr:uid="{EF84A8E2-AB07-4C5E-B2AD-27BF8ADEC2F6}"/>
    <cellStyle name="Normal 4 6 3 2 5" xfId="2120" xr:uid="{00000000-0005-0000-0000-000061160000}"/>
    <cellStyle name="Normal 4 6 3 2 5 2" xfId="4349" xr:uid="{00000000-0005-0000-0000-000062160000}"/>
    <cellStyle name="Normal 4 6 3 2 5 2 2" xfId="8572" xr:uid="{00000000-0005-0000-0000-000063160000}"/>
    <cellStyle name="Normal 4 6 3 2 5 2 2 2" xfId="17014" xr:uid="{7BEC42F3-7241-4A8D-B7F1-9CEBCE24117B}"/>
    <cellStyle name="Normal 4 6 3 2 5 2 3" xfId="12796" xr:uid="{FB9B1AC3-341A-4487-8001-38C04E16F9C7}"/>
    <cellStyle name="Normal 4 6 3 2 5 3" xfId="6427" xr:uid="{00000000-0005-0000-0000-000064160000}"/>
    <cellStyle name="Normal 4 6 3 2 5 3 2" xfId="14869" xr:uid="{04A18CCE-097D-40D5-8D92-B54A32339873}"/>
    <cellStyle name="Normal 4 6 3 2 5 4" xfId="10651" xr:uid="{6A10FD38-5346-4E55-B029-31C59C80FCE8}"/>
    <cellStyle name="Normal 4 6 3 2 6" xfId="2556" xr:uid="{00000000-0005-0000-0000-000065160000}"/>
    <cellStyle name="Normal 4 6 3 2 6 2" xfId="6840" xr:uid="{00000000-0005-0000-0000-000066160000}"/>
    <cellStyle name="Normal 4 6 3 2 6 2 2" xfId="15282" xr:uid="{7B38892D-42F4-4EE1-96B6-9623849766AB}"/>
    <cellStyle name="Normal 4 6 3 2 6 3" xfId="11064" xr:uid="{066A008E-64E7-4325-8C62-036ED06AEBFA}"/>
    <cellStyle name="Normal 4 6 3 2 7" xfId="4775" xr:uid="{00000000-0005-0000-0000-000067160000}"/>
    <cellStyle name="Normal 4 6 3 2 7 2" xfId="13217" xr:uid="{3B50A6E6-280C-4810-892E-2405C82B9952}"/>
    <cellStyle name="Normal 4 6 3 2 8" xfId="8999" xr:uid="{84DCACE4-B046-4CB3-827E-4611A305F3FA}"/>
    <cellStyle name="Normal 4 6 3 3" xfId="874" xr:uid="{00000000-0005-0000-0000-000068160000}"/>
    <cellStyle name="Normal 4 6 3 3 2" xfId="3109" xr:uid="{00000000-0005-0000-0000-000069160000}"/>
    <cellStyle name="Normal 4 6 3 3 2 2" xfId="7332" xr:uid="{00000000-0005-0000-0000-00006A160000}"/>
    <cellStyle name="Normal 4 6 3 3 2 2 2" xfId="15774" xr:uid="{D8C26332-C3A3-40B9-AA28-1318963E09F8}"/>
    <cellStyle name="Normal 4 6 3 3 2 3" xfId="11556" xr:uid="{F9D3E55E-D780-4F93-A701-9CAD8B62960B}"/>
    <cellStyle name="Normal 4 6 3 3 3" xfId="5187" xr:uid="{00000000-0005-0000-0000-00006B160000}"/>
    <cellStyle name="Normal 4 6 3 3 3 2" xfId="13629" xr:uid="{370CD994-2457-445B-A3A9-BCE6E631FCFE}"/>
    <cellStyle name="Normal 4 6 3 3 4" xfId="9411" xr:uid="{5B509468-8C69-49DC-B423-7C5C8025B3C9}"/>
    <cellStyle name="Normal 4 6 3 4" xfId="1292" xr:uid="{00000000-0005-0000-0000-00006C160000}"/>
    <cellStyle name="Normal 4 6 3 4 2" xfId="3522" xr:uid="{00000000-0005-0000-0000-00006D160000}"/>
    <cellStyle name="Normal 4 6 3 4 2 2" xfId="7745" xr:uid="{00000000-0005-0000-0000-00006E160000}"/>
    <cellStyle name="Normal 4 6 3 4 2 2 2" xfId="16187" xr:uid="{967FCA76-D855-4D80-865A-419A7EBF482D}"/>
    <cellStyle name="Normal 4 6 3 4 2 3" xfId="11969" xr:uid="{4B40C357-7767-416D-96CD-AEFD13DA4396}"/>
    <cellStyle name="Normal 4 6 3 4 3" xfId="5600" xr:uid="{00000000-0005-0000-0000-00006F160000}"/>
    <cellStyle name="Normal 4 6 3 4 3 2" xfId="14042" xr:uid="{FA08D3FD-CC40-4161-8791-8D57937D6982}"/>
    <cellStyle name="Normal 4 6 3 4 4" xfId="9824" xr:uid="{31AD34B2-2834-4CD4-AD0C-13A2B7D4191D}"/>
    <cellStyle name="Normal 4 6 3 5" xfId="1705" xr:uid="{00000000-0005-0000-0000-000070160000}"/>
    <cellStyle name="Normal 4 6 3 5 2" xfId="3935" xr:uid="{00000000-0005-0000-0000-000071160000}"/>
    <cellStyle name="Normal 4 6 3 5 2 2" xfId="8158" xr:uid="{00000000-0005-0000-0000-000072160000}"/>
    <cellStyle name="Normal 4 6 3 5 2 2 2" xfId="16600" xr:uid="{F463126C-8E55-4197-91D8-D62073FC6348}"/>
    <cellStyle name="Normal 4 6 3 5 2 3" xfId="12382" xr:uid="{5A236EE8-F1B2-4599-9AE4-59AD96DEBBF8}"/>
    <cellStyle name="Normal 4 6 3 5 3" xfId="6013" xr:uid="{00000000-0005-0000-0000-000073160000}"/>
    <cellStyle name="Normal 4 6 3 5 3 2" xfId="14455" xr:uid="{2B312688-91B1-46DF-9AD5-EA9E7F0A3F49}"/>
    <cellStyle name="Normal 4 6 3 5 4" xfId="10237" xr:uid="{B8280F85-1CBB-430D-A401-E462629EF16C}"/>
    <cellStyle name="Normal 4 6 3 6" xfId="2119" xr:uid="{00000000-0005-0000-0000-000074160000}"/>
    <cellStyle name="Normal 4 6 3 6 2" xfId="4348" xr:uid="{00000000-0005-0000-0000-000075160000}"/>
    <cellStyle name="Normal 4 6 3 6 2 2" xfId="8571" xr:uid="{00000000-0005-0000-0000-000076160000}"/>
    <cellStyle name="Normal 4 6 3 6 2 2 2" xfId="17013" xr:uid="{B7B35E5D-4A98-4D4A-84FD-E84CBD37EFDD}"/>
    <cellStyle name="Normal 4 6 3 6 2 3" xfId="12795" xr:uid="{97407D66-D9D9-4885-A11A-EA02DC08BE2B}"/>
    <cellStyle name="Normal 4 6 3 6 3" xfId="6426" xr:uid="{00000000-0005-0000-0000-000077160000}"/>
    <cellStyle name="Normal 4 6 3 6 3 2" xfId="14868" xr:uid="{411220B4-9B8B-48DB-85B1-7BD352D58EE7}"/>
    <cellStyle name="Normal 4 6 3 6 4" xfId="10650" xr:uid="{ABAC9216-AAAC-4541-8F84-CA9ED3A04AD6}"/>
    <cellStyle name="Normal 4 6 3 7" xfId="2555" xr:uid="{00000000-0005-0000-0000-000078160000}"/>
    <cellStyle name="Normal 4 6 3 7 2" xfId="6839" xr:uid="{00000000-0005-0000-0000-000079160000}"/>
    <cellStyle name="Normal 4 6 3 7 2 2" xfId="15281" xr:uid="{BCBF3929-5FAC-4A16-80E2-F6B416E1D015}"/>
    <cellStyle name="Normal 4 6 3 7 3" xfId="11063" xr:uid="{62A8751E-F62C-4FD8-95E3-6A1437F1D4D6}"/>
    <cellStyle name="Normal 4 6 3 8" xfId="4774" xr:uid="{00000000-0005-0000-0000-00007A160000}"/>
    <cellStyle name="Normal 4 6 3 8 2" xfId="13216" xr:uid="{2A3126A0-5353-4FC7-A762-54A87FD468AD}"/>
    <cellStyle name="Normal 4 6 3 9" xfId="8998" xr:uid="{6ED577E2-6C71-4BA8-894D-10E6CE6012B7}"/>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2 2 2" xfId="15776" xr:uid="{A0444617-32C9-45DC-B246-54C76DF0F3D1}"/>
    <cellStyle name="Normal 4 6 4 2 2 3" xfId="11558" xr:uid="{6C7E3B30-4128-4448-B2B4-50B73B46395D}"/>
    <cellStyle name="Normal 4 6 4 2 3" xfId="5189" xr:uid="{00000000-0005-0000-0000-00007F160000}"/>
    <cellStyle name="Normal 4 6 4 2 3 2" xfId="13631" xr:uid="{B4A649D4-E078-4BCC-8921-19609F09997F}"/>
    <cellStyle name="Normal 4 6 4 2 4" xfId="9413" xr:uid="{D150CA14-F68F-4BC6-B074-EDCF1591CEE0}"/>
    <cellStyle name="Normal 4 6 4 3" xfId="1294" xr:uid="{00000000-0005-0000-0000-000080160000}"/>
    <cellStyle name="Normal 4 6 4 3 2" xfId="3524" xr:uid="{00000000-0005-0000-0000-000081160000}"/>
    <cellStyle name="Normal 4 6 4 3 2 2" xfId="7747" xr:uid="{00000000-0005-0000-0000-000082160000}"/>
    <cellStyle name="Normal 4 6 4 3 2 2 2" xfId="16189" xr:uid="{A5CD7923-B485-4E80-99BB-699ED71C9B34}"/>
    <cellStyle name="Normal 4 6 4 3 2 3" xfId="11971" xr:uid="{D92AE214-18C8-43B2-84E6-477EDBC03830}"/>
    <cellStyle name="Normal 4 6 4 3 3" xfId="5602" xr:uid="{00000000-0005-0000-0000-000083160000}"/>
    <cellStyle name="Normal 4 6 4 3 3 2" xfId="14044" xr:uid="{C9DA5588-1ADB-4062-9D7E-B6CCB8FBFEF7}"/>
    <cellStyle name="Normal 4 6 4 3 4" xfId="9826" xr:uid="{C86E50F0-3426-4720-B2D4-D4E2A03F3600}"/>
    <cellStyle name="Normal 4 6 4 4" xfId="1707" xr:uid="{00000000-0005-0000-0000-000084160000}"/>
    <cellStyle name="Normal 4 6 4 4 2" xfId="3937" xr:uid="{00000000-0005-0000-0000-000085160000}"/>
    <cellStyle name="Normal 4 6 4 4 2 2" xfId="8160" xr:uid="{00000000-0005-0000-0000-000086160000}"/>
    <cellStyle name="Normal 4 6 4 4 2 2 2" xfId="16602" xr:uid="{1D1AD5A2-11B0-4391-AC62-0706FAF93477}"/>
    <cellStyle name="Normal 4 6 4 4 2 3" xfId="12384" xr:uid="{290580A7-2A9B-4120-8E27-E51AC6EA14D9}"/>
    <cellStyle name="Normal 4 6 4 4 3" xfId="6015" xr:uid="{00000000-0005-0000-0000-000087160000}"/>
    <cellStyle name="Normal 4 6 4 4 3 2" xfId="14457" xr:uid="{70CF30FC-5C0B-4756-B32B-D605FA414EE3}"/>
    <cellStyle name="Normal 4 6 4 4 4" xfId="10239" xr:uid="{64CF1846-4739-405E-BAFF-0A57722743CD}"/>
    <cellStyle name="Normal 4 6 4 5" xfId="2121" xr:uid="{00000000-0005-0000-0000-000088160000}"/>
    <cellStyle name="Normal 4 6 4 5 2" xfId="4350" xr:uid="{00000000-0005-0000-0000-000089160000}"/>
    <cellStyle name="Normal 4 6 4 5 2 2" xfId="8573" xr:uid="{00000000-0005-0000-0000-00008A160000}"/>
    <cellStyle name="Normal 4 6 4 5 2 2 2" xfId="17015" xr:uid="{E21AD347-0370-4B20-9DC1-0C5969D01F56}"/>
    <cellStyle name="Normal 4 6 4 5 2 3" xfId="12797" xr:uid="{AB551DC6-8AC0-4AC6-BC2D-0DF42F6FEF9B}"/>
    <cellStyle name="Normal 4 6 4 5 3" xfId="6428" xr:uid="{00000000-0005-0000-0000-00008B160000}"/>
    <cellStyle name="Normal 4 6 4 5 3 2" xfId="14870" xr:uid="{268B9551-ED89-4B35-B86C-2EEC3D8F4B64}"/>
    <cellStyle name="Normal 4 6 4 5 4" xfId="10652" xr:uid="{CE6FA9A3-F07E-4502-A8E4-076DCBEA93D6}"/>
    <cellStyle name="Normal 4 6 4 6" xfId="2557" xr:uid="{00000000-0005-0000-0000-00008C160000}"/>
    <cellStyle name="Normal 4 6 4 6 2" xfId="6841" xr:uid="{00000000-0005-0000-0000-00008D160000}"/>
    <cellStyle name="Normal 4 6 4 6 2 2" xfId="15283" xr:uid="{980790C3-9A68-4E7B-A8AB-9C978D658844}"/>
    <cellStyle name="Normal 4 6 4 6 3" xfId="11065" xr:uid="{3E565A85-D351-4D77-BD6B-7C87CF2C8FEF}"/>
    <cellStyle name="Normal 4 6 4 7" xfId="4776" xr:uid="{00000000-0005-0000-0000-00008E160000}"/>
    <cellStyle name="Normal 4 6 4 7 2" xfId="13218" xr:uid="{9019955B-33A8-4E7A-A287-F9907527B038}"/>
    <cellStyle name="Normal 4 6 4 8" xfId="9000" xr:uid="{9E0E04D4-C29E-42F1-9DD4-E1DF4A780E52}"/>
    <cellStyle name="Normal 4 6 5" xfId="869" xr:uid="{00000000-0005-0000-0000-00008F160000}"/>
    <cellStyle name="Normal 4 6 5 2" xfId="3104" xr:uid="{00000000-0005-0000-0000-000090160000}"/>
    <cellStyle name="Normal 4 6 5 2 2" xfId="7327" xr:uid="{00000000-0005-0000-0000-000091160000}"/>
    <cellStyle name="Normal 4 6 5 2 2 2" xfId="15769" xr:uid="{B74D99FE-DEC5-4980-A431-B65D20D2D744}"/>
    <cellStyle name="Normal 4 6 5 2 3" xfId="11551" xr:uid="{4869592D-79EE-4A20-AACC-821E41148082}"/>
    <cellStyle name="Normal 4 6 5 3" xfId="5182" xr:uid="{00000000-0005-0000-0000-000092160000}"/>
    <cellStyle name="Normal 4 6 5 3 2" xfId="13624" xr:uid="{59F8CEBF-EC18-46D0-AE5B-BCE02906D1BA}"/>
    <cellStyle name="Normal 4 6 5 4" xfId="9406" xr:uid="{9BFDEDE4-8775-4A5D-924F-89EA5BDEA18C}"/>
    <cellStyle name="Normal 4 6 6" xfId="1287" xr:uid="{00000000-0005-0000-0000-000093160000}"/>
    <cellStyle name="Normal 4 6 6 2" xfId="3517" xr:uid="{00000000-0005-0000-0000-000094160000}"/>
    <cellStyle name="Normal 4 6 6 2 2" xfId="7740" xr:uid="{00000000-0005-0000-0000-000095160000}"/>
    <cellStyle name="Normal 4 6 6 2 2 2" xfId="16182" xr:uid="{53E61C0B-B1CA-41B0-A1CC-77E631900839}"/>
    <cellStyle name="Normal 4 6 6 2 3" xfId="11964" xr:uid="{BAD7AE93-922D-4498-8C3B-523264C3E14D}"/>
    <cellStyle name="Normal 4 6 6 3" xfId="5595" xr:uid="{00000000-0005-0000-0000-000096160000}"/>
    <cellStyle name="Normal 4 6 6 3 2" xfId="14037" xr:uid="{45EF909A-D202-4972-AA80-2EF44CA06DEF}"/>
    <cellStyle name="Normal 4 6 6 4" xfId="9819" xr:uid="{EB330BB9-B450-495D-955C-7147DB1DD69B}"/>
    <cellStyle name="Normal 4 6 7" xfId="1700" xr:uid="{00000000-0005-0000-0000-000097160000}"/>
    <cellStyle name="Normal 4 6 7 2" xfId="3930" xr:uid="{00000000-0005-0000-0000-000098160000}"/>
    <cellStyle name="Normal 4 6 7 2 2" xfId="8153" xr:uid="{00000000-0005-0000-0000-000099160000}"/>
    <cellStyle name="Normal 4 6 7 2 2 2" xfId="16595" xr:uid="{63B301A9-08D8-4F00-9616-294F60379916}"/>
    <cellStyle name="Normal 4 6 7 2 3" xfId="12377" xr:uid="{C89B7280-B34A-4C63-9534-7366B91A48EB}"/>
    <cellStyle name="Normal 4 6 7 3" xfId="6008" xr:uid="{00000000-0005-0000-0000-00009A160000}"/>
    <cellStyle name="Normal 4 6 7 3 2" xfId="14450" xr:uid="{93F27CD1-EF01-48C0-B8CB-6F6021594BB2}"/>
    <cellStyle name="Normal 4 6 7 4" xfId="10232" xr:uid="{E0E66E34-2E8F-454D-A18A-354FBE5957DA}"/>
    <cellStyle name="Normal 4 6 8" xfId="2114" xr:uid="{00000000-0005-0000-0000-00009B160000}"/>
    <cellStyle name="Normal 4 6 8 2" xfId="4343" xr:uid="{00000000-0005-0000-0000-00009C160000}"/>
    <cellStyle name="Normal 4 6 8 2 2" xfId="8566" xr:uid="{00000000-0005-0000-0000-00009D160000}"/>
    <cellStyle name="Normal 4 6 8 2 2 2" xfId="17008" xr:uid="{4BF63381-21B2-4DFD-932B-ED918FDDBCFF}"/>
    <cellStyle name="Normal 4 6 8 2 3" xfId="12790" xr:uid="{9F06B622-DBB5-4438-B3A4-A46D1E2FFB26}"/>
    <cellStyle name="Normal 4 6 8 3" xfId="6421" xr:uid="{00000000-0005-0000-0000-00009E160000}"/>
    <cellStyle name="Normal 4 6 8 3 2" xfId="14863" xr:uid="{47015A1A-85CA-414B-A36A-214BDDE8D1F2}"/>
    <cellStyle name="Normal 4 6 8 4" xfId="10645" xr:uid="{B651F7E8-2110-443C-82CC-16DF22FC369F}"/>
    <cellStyle name="Normal 4 6 9" xfId="2550" xr:uid="{00000000-0005-0000-0000-00009F160000}"/>
    <cellStyle name="Normal 4 6 9 2" xfId="6834" xr:uid="{00000000-0005-0000-0000-0000A0160000}"/>
    <cellStyle name="Normal 4 6 9 2 2" xfId="15276" xr:uid="{437DBB3F-F35A-49D9-BDDD-C2505591FB87}"/>
    <cellStyle name="Normal 4 6 9 3" xfId="11058" xr:uid="{B9AAFD55-51BF-425C-B018-1D7B61C916FA}"/>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2 2 2" xfId="15778" xr:uid="{D4060AB6-BEAC-49C1-B7FF-65B6C8E06E08}"/>
    <cellStyle name="Normal 4 7 2 2 2 3" xfId="11560" xr:uid="{16E50D99-85AD-4CB0-9174-F4ECB683B31A}"/>
    <cellStyle name="Normal 4 7 2 2 3" xfId="5191" xr:uid="{00000000-0005-0000-0000-0000A6160000}"/>
    <cellStyle name="Normal 4 7 2 2 3 2" xfId="13633" xr:uid="{4DF362A1-C425-46B1-B5F1-4A3B91BFEE90}"/>
    <cellStyle name="Normal 4 7 2 2 4" xfId="9415" xr:uid="{A4489E1E-3A11-42C0-920C-2387DCBEB1C3}"/>
    <cellStyle name="Normal 4 7 2 3" xfId="1296" xr:uid="{00000000-0005-0000-0000-0000A7160000}"/>
    <cellStyle name="Normal 4 7 2 3 2" xfId="3526" xr:uid="{00000000-0005-0000-0000-0000A8160000}"/>
    <cellStyle name="Normal 4 7 2 3 2 2" xfId="7749" xr:uid="{00000000-0005-0000-0000-0000A9160000}"/>
    <cellStyle name="Normal 4 7 2 3 2 2 2" xfId="16191" xr:uid="{D7B21518-8FFB-433E-8191-5A5B5B235641}"/>
    <cellStyle name="Normal 4 7 2 3 2 3" xfId="11973" xr:uid="{A036B328-027C-4CB3-BD5B-F12E5218D875}"/>
    <cellStyle name="Normal 4 7 2 3 3" xfId="5604" xr:uid="{00000000-0005-0000-0000-0000AA160000}"/>
    <cellStyle name="Normal 4 7 2 3 3 2" xfId="14046" xr:uid="{603A491F-A549-4793-B613-667F57026CED}"/>
    <cellStyle name="Normal 4 7 2 3 4" xfId="9828" xr:uid="{CE2669C8-61DC-44FD-8D6C-F5C769191F12}"/>
    <cellStyle name="Normal 4 7 2 4" xfId="1709" xr:uid="{00000000-0005-0000-0000-0000AB160000}"/>
    <cellStyle name="Normal 4 7 2 4 2" xfId="3939" xr:uid="{00000000-0005-0000-0000-0000AC160000}"/>
    <cellStyle name="Normal 4 7 2 4 2 2" xfId="8162" xr:uid="{00000000-0005-0000-0000-0000AD160000}"/>
    <cellStyle name="Normal 4 7 2 4 2 2 2" xfId="16604" xr:uid="{FDDF5F3B-89D6-4CFE-971B-8C2B78797187}"/>
    <cellStyle name="Normal 4 7 2 4 2 3" xfId="12386" xr:uid="{B97C0940-9465-46F1-A6B4-9816CF3CE4AA}"/>
    <cellStyle name="Normal 4 7 2 4 3" xfId="6017" xr:uid="{00000000-0005-0000-0000-0000AE160000}"/>
    <cellStyle name="Normal 4 7 2 4 3 2" xfId="14459" xr:uid="{7427CF71-C692-49ED-9E84-BF4C0273478E}"/>
    <cellStyle name="Normal 4 7 2 4 4" xfId="10241" xr:uid="{67FB89D5-A13B-4CD7-BE54-320B6F6FFD26}"/>
    <cellStyle name="Normal 4 7 2 5" xfId="2123" xr:uid="{00000000-0005-0000-0000-0000AF160000}"/>
    <cellStyle name="Normal 4 7 2 5 2" xfId="4352" xr:uid="{00000000-0005-0000-0000-0000B0160000}"/>
    <cellStyle name="Normal 4 7 2 5 2 2" xfId="8575" xr:uid="{00000000-0005-0000-0000-0000B1160000}"/>
    <cellStyle name="Normal 4 7 2 5 2 2 2" xfId="17017" xr:uid="{A578F0FB-518A-43F0-A38D-238C580B9E14}"/>
    <cellStyle name="Normal 4 7 2 5 2 3" xfId="12799" xr:uid="{50E37414-9295-49DA-AD0F-F2F7E384579D}"/>
    <cellStyle name="Normal 4 7 2 5 3" xfId="6430" xr:uid="{00000000-0005-0000-0000-0000B2160000}"/>
    <cellStyle name="Normal 4 7 2 5 3 2" xfId="14872" xr:uid="{55AA7856-EC3A-49C6-B011-51D4DC4C6F5A}"/>
    <cellStyle name="Normal 4 7 2 5 4" xfId="10654" xr:uid="{6F23D2A6-D9D8-4067-8922-8D56FBE2751F}"/>
    <cellStyle name="Normal 4 7 2 6" xfId="2559" xr:uid="{00000000-0005-0000-0000-0000B3160000}"/>
    <cellStyle name="Normal 4 7 2 6 2" xfId="6843" xr:uid="{00000000-0005-0000-0000-0000B4160000}"/>
    <cellStyle name="Normal 4 7 2 6 2 2" xfId="15285" xr:uid="{EEB44776-EAC4-4E2C-9C4C-82512F6F04F8}"/>
    <cellStyle name="Normal 4 7 2 6 3" xfId="11067" xr:uid="{9DDA0EB6-9E94-449F-AEC6-7A0F51BE0622}"/>
    <cellStyle name="Normal 4 7 2 7" xfId="4778" xr:uid="{00000000-0005-0000-0000-0000B5160000}"/>
    <cellStyle name="Normal 4 7 2 7 2" xfId="13220" xr:uid="{DF4259A1-67E6-4561-A4E8-848E9F05DB2F}"/>
    <cellStyle name="Normal 4 7 2 8" xfId="9002" xr:uid="{3699379C-3531-4003-877A-27DD2D113DC4}"/>
    <cellStyle name="Normal 4 7 3" xfId="877" xr:uid="{00000000-0005-0000-0000-0000B6160000}"/>
    <cellStyle name="Normal 4 7 3 2" xfId="3112" xr:uid="{00000000-0005-0000-0000-0000B7160000}"/>
    <cellStyle name="Normal 4 7 3 2 2" xfId="7335" xr:uid="{00000000-0005-0000-0000-0000B8160000}"/>
    <cellStyle name="Normal 4 7 3 2 2 2" xfId="15777" xr:uid="{2C8FBFAA-5D44-4820-8071-9E52535F16DA}"/>
    <cellStyle name="Normal 4 7 3 2 3" xfId="11559" xr:uid="{CA7E7CC6-4D04-443A-8D9D-99C0232557FD}"/>
    <cellStyle name="Normal 4 7 3 3" xfId="5190" xr:uid="{00000000-0005-0000-0000-0000B9160000}"/>
    <cellStyle name="Normal 4 7 3 3 2" xfId="13632" xr:uid="{94D055DC-BA6E-4BD9-B04E-174BF1E37885}"/>
    <cellStyle name="Normal 4 7 3 4" xfId="9414" xr:uid="{082223A3-DFDC-45EC-9431-023D38FE9278}"/>
    <cellStyle name="Normal 4 7 4" xfId="1295" xr:uid="{00000000-0005-0000-0000-0000BA160000}"/>
    <cellStyle name="Normal 4 7 4 2" xfId="3525" xr:uid="{00000000-0005-0000-0000-0000BB160000}"/>
    <cellStyle name="Normal 4 7 4 2 2" xfId="7748" xr:uid="{00000000-0005-0000-0000-0000BC160000}"/>
    <cellStyle name="Normal 4 7 4 2 2 2" xfId="16190" xr:uid="{4B95D652-26FB-43F6-A83C-EA97BA4A8EF4}"/>
    <cellStyle name="Normal 4 7 4 2 3" xfId="11972" xr:uid="{835DDC11-99C0-4F35-84FF-D8EC3619E4E1}"/>
    <cellStyle name="Normal 4 7 4 3" xfId="5603" xr:uid="{00000000-0005-0000-0000-0000BD160000}"/>
    <cellStyle name="Normal 4 7 4 3 2" xfId="14045" xr:uid="{4FB85269-D762-40F2-AD78-D0B6F78B59B1}"/>
    <cellStyle name="Normal 4 7 4 4" xfId="9827" xr:uid="{62D9AD18-A29D-4EDB-BA12-27AE696DE81E}"/>
    <cellStyle name="Normal 4 7 5" xfId="1708" xr:uid="{00000000-0005-0000-0000-0000BE160000}"/>
    <cellStyle name="Normal 4 7 5 2" xfId="3938" xr:uid="{00000000-0005-0000-0000-0000BF160000}"/>
    <cellStyle name="Normal 4 7 5 2 2" xfId="8161" xr:uid="{00000000-0005-0000-0000-0000C0160000}"/>
    <cellStyle name="Normal 4 7 5 2 2 2" xfId="16603" xr:uid="{3E3C5133-1A33-4113-ADB7-F2C5FC537747}"/>
    <cellStyle name="Normal 4 7 5 2 3" xfId="12385" xr:uid="{3A8CF7D0-41A3-4300-BF57-08B7B956030D}"/>
    <cellStyle name="Normal 4 7 5 3" xfId="6016" xr:uid="{00000000-0005-0000-0000-0000C1160000}"/>
    <cellStyle name="Normal 4 7 5 3 2" xfId="14458" xr:uid="{16740C67-584C-4D46-B752-87C3378B93F6}"/>
    <cellStyle name="Normal 4 7 5 4" xfId="10240" xr:uid="{FBBD8456-4F00-4A94-835B-F06C3E256225}"/>
    <cellStyle name="Normal 4 7 6" xfId="2122" xr:uid="{00000000-0005-0000-0000-0000C2160000}"/>
    <cellStyle name="Normal 4 7 6 2" xfId="4351" xr:uid="{00000000-0005-0000-0000-0000C3160000}"/>
    <cellStyle name="Normal 4 7 6 2 2" xfId="8574" xr:uid="{00000000-0005-0000-0000-0000C4160000}"/>
    <cellStyle name="Normal 4 7 6 2 2 2" xfId="17016" xr:uid="{EAE8179E-7738-4511-953C-19513AD5E6DB}"/>
    <cellStyle name="Normal 4 7 6 2 3" xfId="12798" xr:uid="{CA05F264-1221-4DF0-B9BC-F059748D9A4E}"/>
    <cellStyle name="Normal 4 7 6 3" xfId="6429" xr:uid="{00000000-0005-0000-0000-0000C5160000}"/>
    <cellStyle name="Normal 4 7 6 3 2" xfId="14871" xr:uid="{2B2F0674-37EE-47F1-88E6-2AFAE223D7E6}"/>
    <cellStyle name="Normal 4 7 6 4" xfId="10653" xr:uid="{1EC212B9-1AD5-4E86-940A-E6F70D4F89AF}"/>
    <cellStyle name="Normal 4 7 7" xfId="2558" xr:uid="{00000000-0005-0000-0000-0000C6160000}"/>
    <cellStyle name="Normal 4 7 7 2" xfId="6842" xr:uid="{00000000-0005-0000-0000-0000C7160000}"/>
    <cellStyle name="Normal 4 7 7 2 2" xfId="15284" xr:uid="{8A51D269-432D-4C46-A073-38B112787AD9}"/>
    <cellStyle name="Normal 4 7 7 3" xfId="11066" xr:uid="{D30DEC03-6A6A-42A1-87A2-186EDBF76893}"/>
    <cellStyle name="Normal 4 7 8" xfId="4777" xr:uid="{00000000-0005-0000-0000-0000C8160000}"/>
    <cellStyle name="Normal 4 7 8 2" xfId="13219" xr:uid="{3128B451-ACB8-46EA-8BC2-B79E47E70BB4}"/>
    <cellStyle name="Normal 4 7 9" xfId="9001" xr:uid="{DEBD46D6-E289-4B4C-90A5-D9AFF916D1C6}"/>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2 2 2" xfId="15779" xr:uid="{F0FA2F76-3E07-43CC-9641-2A3BB225FDAB}"/>
    <cellStyle name="Normal 4 8 2 2 3" xfId="11561" xr:uid="{676DA2DB-3092-4F8A-B96F-B5FE8CF8584E}"/>
    <cellStyle name="Normal 4 8 2 3" xfId="5192" xr:uid="{00000000-0005-0000-0000-0000CD160000}"/>
    <cellStyle name="Normal 4 8 2 3 2" xfId="13634" xr:uid="{3C1C3EA3-65EA-469D-851D-1D7AA371604C}"/>
    <cellStyle name="Normal 4 8 2 4" xfId="9416" xr:uid="{535B4E52-1C37-4BE6-8764-5897ED846E94}"/>
    <cellStyle name="Normal 4 8 3" xfId="1297" xr:uid="{00000000-0005-0000-0000-0000CE160000}"/>
    <cellStyle name="Normal 4 8 3 2" xfId="3527" xr:uid="{00000000-0005-0000-0000-0000CF160000}"/>
    <cellStyle name="Normal 4 8 3 2 2" xfId="7750" xr:uid="{00000000-0005-0000-0000-0000D0160000}"/>
    <cellStyle name="Normal 4 8 3 2 2 2" xfId="16192" xr:uid="{CB7394FB-EF1D-4B4C-A1AA-6AA51C6EF45D}"/>
    <cellStyle name="Normal 4 8 3 2 3" xfId="11974" xr:uid="{6DD822CA-8769-42C8-878F-D67F86D636D8}"/>
    <cellStyle name="Normal 4 8 3 3" xfId="5605" xr:uid="{00000000-0005-0000-0000-0000D1160000}"/>
    <cellStyle name="Normal 4 8 3 3 2" xfId="14047" xr:uid="{F37C34AE-5192-4F32-AB90-F4BC31ED30D9}"/>
    <cellStyle name="Normal 4 8 3 4" xfId="9829" xr:uid="{059528D0-EDED-4895-A607-802396FF0A60}"/>
    <cellStyle name="Normal 4 8 4" xfId="1710" xr:uid="{00000000-0005-0000-0000-0000D2160000}"/>
    <cellStyle name="Normal 4 8 4 2" xfId="3940" xr:uid="{00000000-0005-0000-0000-0000D3160000}"/>
    <cellStyle name="Normal 4 8 4 2 2" xfId="8163" xr:uid="{00000000-0005-0000-0000-0000D4160000}"/>
    <cellStyle name="Normal 4 8 4 2 2 2" xfId="16605" xr:uid="{9DE2C8BC-9AAF-44F6-90A2-4EAA6B741731}"/>
    <cellStyle name="Normal 4 8 4 2 3" xfId="12387" xr:uid="{8DACB815-A055-4994-AA9A-2134B65504B3}"/>
    <cellStyle name="Normal 4 8 4 3" xfId="6018" xr:uid="{00000000-0005-0000-0000-0000D5160000}"/>
    <cellStyle name="Normal 4 8 4 3 2" xfId="14460" xr:uid="{603FDBFF-F9DB-4E92-B91E-9DDD2C632A5C}"/>
    <cellStyle name="Normal 4 8 4 4" xfId="10242" xr:uid="{24D4AA07-B61D-47B8-AEE7-A7DF340DB3AC}"/>
    <cellStyle name="Normal 4 8 5" xfId="2124" xr:uid="{00000000-0005-0000-0000-0000D6160000}"/>
    <cellStyle name="Normal 4 8 5 2" xfId="4353" xr:uid="{00000000-0005-0000-0000-0000D7160000}"/>
    <cellStyle name="Normal 4 8 5 2 2" xfId="8576" xr:uid="{00000000-0005-0000-0000-0000D8160000}"/>
    <cellStyle name="Normal 4 8 5 2 2 2" xfId="17018" xr:uid="{9667DE91-7E88-4038-9195-B77E20B0D0BF}"/>
    <cellStyle name="Normal 4 8 5 2 3" xfId="12800" xr:uid="{CDCBB1CD-E44C-4621-AC66-0387EFB6BE98}"/>
    <cellStyle name="Normal 4 8 5 3" xfId="6431" xr:uid="{00000000-0005-0000-0000-0000D9160000}"/>
    <cellStyle name="Normal 4 8 5 3 2" xfId="14873" xr:uid="{5B0D8201-F94E-434C-8F9D-F3CF69BF48B1}"/>
    <cellStyle name="Normal 4 8 5 4" xfId="10655" xr:uid="{7997920B-DDDD-467B-9B28-FC0356F54050}"/>
    <cellStyle name="Normal 4 8 6" xfId="2560" xr:uid="{00000000-0005-0000-0000-0000DA160000}"/>
    <cellStyle name="Normal 4 8 6 2" xfId="6844" xr:uid="{00000000-0005-0000-0000-0000DB160000}"/>
    <cellStyle name="Normal 4 8 6 2 2" xfId="15286" xr:uid="{5AA75F48-57ED-494A-B9FC-EFD05E7CF8B2}"/>
    <cellStyle name="Normal 4 8 6 3" xfId="11068" xr:uid="{4E75811D-FF80-44FA-B664-0902CFDC40CF}"/>
    <cellStyle name="Normal 4 8 7" xfId="4779" xr:uid="{00000000-0005-0000-0000-0000DC160000}"/>
    <cellStyle name="Normal 4 8 7 2" xfId="13221" xr:uid="{DCF16042-7D10-47EB-8B28-80005B97D9D6}"/>
    <cellStyle name="Normal 4 8 8" xfId="9003" xr:uid="{072F2960-CB25-4B91-B216-ADCA4A5448F5}"/>
    <cellStyle name="Normal 4 9" xfId="4716" xr:uid="{00000000-0005-0000-0000-0000DD160000}"/>
    <cellStyle name="Normal 4 9 2" xfId="13158" xr:uid="{73EDD1F0-EECA-4061-AB4C-E8CD606AF733}"/>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2 2 2" xfId="16606" xr:uid="{7EE5B274-8494-49CA-9DA3-41750D9DF280}"/>
    <cellStyle name="Normal 5 10 2 3" xfId="12388" xr:uid="{F96BE97A-1E8D-4857-9FD4-5B2630055C17}"/>
    <cellStyle name="Normal 5 10 3" xfId="6019" xr:uid="{00000000-0005-0000-0000-0000E2160000}"/>
    <cellStyle name="Normal 5 10 3 2" xfId="14461" xr:uid="{C9C6A5B6-96C7-4035-88EF-25CC8BD0E23A}"/>
    <cellStyle name="Normal 5 10 4" xfId="10243" xr:uid="{6E03C2DC-6CE3-4C43-8E69-70586156FED3}"/>
    <cellStyle name="Normal 5 11" xfId="2125" xr:uid="{00000000-0005-0000-0000-0000E3160000}"/>
    <cellStyle name="Normal 5 11 2" xfId="4354" xr:uid="{00000000-0005-0000-0000-0000E4160000}"/>
    <cellStyle name="Normal 5 11 2 2" xfId="8577" xr:uid="{00000000-0005-0000-0000-0000E5160000}"/>
    <cellStyle name="Normal 5 11 2 2 2" xfId="17019" xr:uid="{702C3A3A-E520-4B0A-A2EB-BA3F9C7870DA}"/>
    <cellStyle name="Normal 5 11 2 3" xfId="12801" xr:uid="{4A47B2ED-CBC3-4A89-B35E-2E205AE6A878}"/>
    <cellStyle name="Normal 5 11 3" xfId="6432" xr:uid="{00000000-0005-0000-0000-0000E6160000}"/>
    <cellStyle name="Normal 5 11 3 2" xfId="14874" xr:uid="{D57ED101-B0DA-4FA2-836F-1C92164679B7}"/>
    <cellStyle name="Normal 5 11 4" xfId="10656" xr:uid="{D79734F6-1F6E-49B7-86D7-C82C6EF31F84}"/>
    <cellStyle name="Normal 5 12" xfId="2561" xr:uid="{00000000-0005-0000-0000-0000E7160000}"/>
    <cellStyle name="Normal 5 12 2" xfId="6845" xr:uid="{00000000-0005-0000-0000-0000E8160000}"/>
    <cellStyle name="Normal 5 12 2 2" xfId="15287" xr:uid="{4B7178E2-F821-467E-A41C-CFF6442ADCDD}"/>
    <cellStyle name="Normal 5 12 3" xfId="11069" xr:uid="{607CA6A0-EC41-4865-8BE2-0ECC3E88A83E}"/>
    <cellStyle name="Normal 5 13" xfId="4780" xr:uid="{00000000-0005-0000-0000-0000E9160000}"/>
    <cellStyle name="Normal 5 13 2" xfId="13222" xr:uid="{FAF20866-D2EF-4C90-982C-F2CE593C7746}"/>
    <cellStyle name="Normal 5 14" xfId="9004" xr:uid="{CEAC49A1-AB68-4063-8E86-EE4624884AB1}"/>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2 2 2" xfId="17020" xr:uid="{C90BF264-347D-46BC-82FF-218E4A81480E}"/>
    <cellStyle name="Normal 5 2 10 2 3" xfId="12802" xr:uid="{61156FA5-3807-4FF0-BD7E-5A35FCE4FA60}"/>
    <cellStyle name="Normal 5 2 10 3" xfId="6433" xr:uid="{00000000-0005-0000-0000-0000EE160000}"/>
    <cellStyle name="Normal 5 2 10 3 2" xfId="14875" xr:uid="{F757757F-7E7E-480B-99C9-976184773F1B}"/>
    <cellStyle name="Normal 5 2 10 4" xfId="10657" xr:uid="{EAE1C21E-47D9-43E5-96ED-B957ABE0FD56}"/>
    <cellStyle name="Normal 5 2 11" xfId="2562" xr:uid="{00000000-0005-0000-0000-0000EF160000}"/>
    <cellStyle name="Normal 5 2 11 2" xfId="6846" xr:uid="{00000000-0005-0000-0000-0000F0160000}"/>
    <cellStyle name="Normal 5 2 11 2 2" xfId="15288" xr:uid="{EC2DB81E-0A12-4084-90A4-3B5E3FDE124C}"/>
    <cellStyle name="Normal 5 2 11 3" xfId="11070" xr:uid="{4E5BB3B5-0A94-4EE3-BA54-7C5747A4194A}"/>
    <cellStyle name="Normal 5 2 12" xfId="4781" xr:uid="{00000000-0005-0000-0000-0000F1160000}"/>
    <cellStyle name="Normal 5 2 12 2" xfId="13223" xr:uid="{BCA2A683-9E1B-4B0E-8459-C81EDA53A940}"/>
    <cellStyle name="Normal 5 2 13" xfId="9005" xr:uid="{3E2B08B5-BD45-4570-B102-964A6DE469CB}"/>
    <cellStyle name="Normal 5 2 2" xfId="408" xr:uid="{00000000-0005-0000-0000-0000F2160000}"/>
    <cellStyle name="Normal 5 2 2 10" xfId="2563" xr:uid="{00000000-0005-0000-0000-0000F3160000}"/>
    <cellStyle name="Normal 5 2 2 10 2" xfId="6847" xr:uid="{00000000-0005-0000-0000-0000F4160000}"/>
    <cellStyle name="Normal 5 2 2 10 2 2" xfId="15289" xr:uid="{5F9EFA81-8A87-4A9C-AA75-E2F81695E22E}"/>
    <cellStyle name="Normal 5 2 2 10 3" xfId="11071" xr:uid="{4E5C5894-E65D-4ECC-AAA6-F18399096154}"/>
    <cellStyle name="Normal 5 2 2 11" xfId="4782" xr:uid="{00000000-0005-0000-0000-0000F5160000}"/>
    <cellStyle name="Normal 5 2 2 11 2" xfId="13224" xr:uid="{ECE92CFF-965C-41CB-B1BE-08C14545F4E0}"/>
    <cellStyle name="Normal 5 2 2 12" xfId="9006" xr:uid="{E8F72B2B-096A-45C4-A671-76C30D362746}"/>
    <cellStyle name="Normal 5 2 2 2" xfId="409" xr:uid="{00000000-0005-0000-0000-0000F6160000}"/>
    <cellStyle name="Normal 5 2 2 2 10" xfId="4783" xr:uid="{00000000-0005-0000-0000-0000F7160000}"/>
    <cellStyle name="Normal 5 2 2 2 10 2" xfId="13225" xr:uid="{57C616D2-5153-4A6A-9C43-E78903B18DD5}"/>
    <cellStyle name="Normal 5 2 2 2 11" xfId="9007" xr:uid="{FFA323B2-A6D9-4B29-B873-3ED9DF106BAC}"/>
    <cellStyle name="Normal 5 2 2 2 2" xfId="410" xr:uid="{00000000-0005-0000-0000-0000F8160000}"/>
    <cellStyle name="Normal 5 2 2 2 2 10" xfId="9008" xr:uid="{60E6FCBA-4C43-494B-86DA-1401CA5B276F}"/>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2 2 2" xfId="15786" xr:uid="{A13829AE-4B5C-42E0-9545-B2BF2BFC92E9}"/>
    <cellStyle name="Normal 5 2 2 2 2 2 2 2 2 3" xfId="11568" xr:uid="{5F1B2AAC-55C0-45EE-A550-F1DE535855CF}"/>
    <cellStyle name="Normal 5 2 2 2 2 2 2 2 3" xfId="5199" xr:uid="{00000000-0005-0000-0000-0000FE160000}"/>
    <cellStyle name="Normal 5 2 2 2 2 2 2 2 3 2" xfId="13641" xr:uid="{1B16C2E5-5853-44C4-89BF-65ED165FE526}"/>
    <cellStyle name="Normal 5 2 2 2 2 2 2 2 4" xfId="9423" xr:uid="{254D4C5D-FF36-468B-ACFA-DAD1CD33C198}"/>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2 2 2" xfId="16199" xr:uid="{566B8E70-7967-45B1-BA27-4F25D414A791}"/>
    <cellStyle name="Normal 5 2 2 2 2 2 2 3 2 3" xfId="11981" xr:uid="{25246E3A-1C66-4B4C-AD8C-53DD3EB0F10A}"/>
    <cellStyle name="Normal 5 2 2 2 2 2 2 3 3" xfId="5612" xr:uid="{00000000-0005-0000-0000-000002170000}"/>
    <cellStyle name="Normal 5 2 2 2 2 2 2 3 3 2" xfId="14054" xr:uid="{859FD545-B5F6-49C4-9B6B-0A02ED35BCDA}"/>
    <cellStyle name="Normal 5 2 2 2 2 2 2 3 4" xfId="9836" xr:uid="{BBFBD9C3-35E1-41D1-AA60-9732A0F919ED}"/>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2 2 2" xfId="16612" xr:uid="{93D6F4D9-2F6F-441B-AA4A-8E04B3B8C070}"/>
    <cellStyle name="Normal 5 2 2 2 2 2 2 4 2 3" xfId="12394" xr:uid="{269DE33F-B717-41D7-8C76-88588F6AB3AC}"/>
    <cellStyle name="Normal 5 2 2 2 2 2 2 4 3" xfId="6025" xr:uid="{00000000-0005-0000-0000-000006170000}"/>
    <cellStyle name="Normal 5 2 2 2 2 2 2 4 3 2" xfId="14467" xr:uid="{D73E9FEF-788C-4FC6-B05A-CC570C69CC78}"/>
    <cellStyle name="Normal 5 2 2 2 2 2 2 4 4" xfId="10249" xr:uid="{D2251277-9107-4476-B8A4-0D989342B3BF}"/>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2 2 2" xfId="17025" xr:uid="{5BE126FE-FA53-4819-93B1-6280F7AE3988}"/>
    <cellStyle name="Normal 5 2 2 2 2 2 2 5 2 3" xfId="12807" xr:uid="{AE23E3B0-93A9-457C-AE33-8DF534BC1F41}"/>
    <cellStyle name="Normal 5 2 2 2 2 2 2 5 3" xfId="6438" xr:uid="{00000000-0005-0000-0000-00000A170000}"/>
    <cellStyle name="Normal 5 2 2 2 2 2 2 5 3 2" xfId="14880" xr:uid="{4F46470F-32B4-4873-B219-E1AAF13A0D6E}"/>
    <cellStyle name="Normal 5 2 2 2 2 2 2 5 4" xfId="10662" xr:uid="{DF048F5D-2675-4AF0-8D44-292690B2B103}"/>
    <cellStyle name="Normal 5 2 2 2 2 2 2 6" xfId="2567" xr:uid="{00000000-0005-0000-0000-00000B170000}"/>
    <cellStyle name="Normal 5 2 2 2 2 2 2 6 2" xfId="6851" xr:uid="{00000000-0005-0000-0000-00000C170000}"/>
    <cellStyle name="Normal 5 2 2 2 2 2 2 6 2 2" xfId="15293" xr:uid="{8DAFF1CE-2FDF-4309-8BAA-E6287DAD5A59}"/>
    <cellStyle name="Normal 5 2 2 2 2 2 2 6 3" xfId="11075" xr:uid="{1C3F0CCA-F676-4A19-949B-8F5BAC05C26B}"/>
    <cellStyle name="Normal 5 2 2 2 2 2 2 7" xfId="4786" xr:uid="{00000000-0005-0000-0000-00000D170000}"/>
    <cellStyle name="Normal 5 2 2 2 2 2 2 7 2" xfId="13228" xr:uid="{018679B7-AD14-40C2-A231-688B27649844}"/>
    <cellStyle name="Normal 5 2 2 2 2 2 2 8" xfId="9010" xr:uid="{17F57629-D6D1-4FA8-86F0-0E19FEBCE44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2 2 2" xfId="15785" xr:uid="{0F3EF69E-E2A3-4155-917F-7455AB291074}"/>
    <cellStyle name="Normal 5 2 2 2 2 2 3 2 3" xfId="11567" xr:uid="{D607E219-66CF-42C5-8EFE-F14FAA341236}"/>
    <cellStyle name="Normal 5 2 2 2 2 2 3 3" xfId="5198" xr:uid="{00000000-0005-0000-0000-000011170000}"/>
    <cellStyle name="Normal 5 2 2 2 2 2 3 3 2" xfId="13640" xr:uid="{1EDF9B17-9B00-42C7-AE02-5859098E2649}"/>
    <cellStyle name="Normal 5 2 2 2 2 2 3 4" xfId="9422" xr:uid="{F5B464A1-6574-4401-A72C-4581B925C8F1}"/>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2 2 2" xfId="16198" xr:uid="{B9626F3D-2B91-4325-BADC-282F3E5FAA73}"/>
    <cellStyle name="Normal 5 2 2 2 2 2 4 2 3" xfId="11980" xr:uid="{6D4CDC95-11DF-4A28-BECD-BF6B51980FED}"/>
    <cellStyle name="Normal 5 2 2 2 2 2 4 3" xfId="5611" xr:uid="{00000000-0005-0000-0000-000015170000}"/>
    <cellStyle name="Normal 5 2 2 2 2 2 4 3 2" xfId="14053" xr:uid="{0592CBC7-75BD-4B15-AF0B-EC41222C566F}"/>
    <cellStyle name="Normal 5 2 2 2 2 2 4 4" xfId="9835" xr:uid="{89E55CD7-6FA9-4E42-8797-69D5D2B1DE31}"/>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2 2 2" xfId="16611" xr:uid="{ACBC6D3E-15E4-4F71-85A4-ECD61ACD300A}"/>
    <cellStyle name="Normal 5 2 2 2 2 2 5 2 3" xfId="12393" xr:uid="{DDF63D43-98DE-4232-B97C-2584490669B0}"/>
    <cellStyle name="Normal 5 2 2 2 2 2 5 3" xfId="6024" xr:uid="{00000000-0005-0000-0000-000019170000}"/>
    <cellStyle name="Normal 5 2 2 2 2 2 5 3 2" xfId="14466" xr:uid="{C28C2956-7378-493D-87E3-9DD4F3D168D6}"/>
    <cellStyle name="Normal 5 2 2 2 2 2 5 4" xfId="10248" xr:uid="{281DE081-0E16-4C5F-AA5A-E9C48C581A6E}"/>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2 2 2" xfId="17024" xr:uid="{DC3A85F7-6EA6-42C3-8EE5-A3C10336E240}"/>
    <cellStyle name="Normal 5 2 2 2 2 2 6 2 3" xfId="12806" xr:uid="{E8554221-E56D-4264-AADA-397FB4E81E85}"/>
    <cellStyle name="Normal 5 2 2 2 2 2 6 3" xfId="6437" xr:uid="{00000000-0005-0000-0000-00001D170000}"/>
    <cellStyle name="Normal 5 2 2 2 2 2 6 3 2" xfId="14879" xr:uid="{48CE841A-D2D6-498F-849F-3A2775B5C42C}"/>
    <cellStyle name="Normal 5 2 2 2 2 2 6 4" xfId="10661" xr:uid="{C4431ECA-825B-4C41-BE5F-AF4A576550B8}"/>
    <cellStyle name="Normal 5 2 2 2 2 2 7" xfId="2566" xr:uid="{00000000-0005-0000-0000-00001E170000}"/>
    <cellStyle name="Normal 5 2 2 2 2 2 7 2" xfId="6850" xr:uid="{00000000-0005-0000-0000-00001F170000}"/>
    <cellStyle name="Normal 5 2 2 2 2 2 7 2 2" xfId="15292" xr:uid="{7D707816-E6A6-440C-9E56-EF4A9785A948}"/>
    <cellStyle name="Normal 5 2 2 2 2 2 7 3" xfId="11074" xr:uid="{93F8BE7F-8DF7-4F4B-AA09-9AD312483E64}"/>
    <cellStyle name="Normal 5 2 2 2 2 2 8" xfId="4785" xr:uid="{00000000-0005-0000-0000-000020170000}"/>
    <cellStyle name="Normal 5 2 2 2 2 2 8 2" xfId="13227" xr:uid="{B8F22A07-6401-4C70-AE1D-0DCDA13F6632}"/>
    <cellStyle name="Normal 5 2 2 2 2 2 9" xfId="9009" xr:uid="{352CF54A-ACEC-45E8-9528-A2D34293D265}"/>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2 2 2" xfId="15787" xr:uid="{3CC9FF36-F779-4670-B8CA-3E3B14914C18}"/>
    <cellStyle name="Normal 5 2 2 2 2 3 2 2 3" xfId="11569" xr:uid="{884F6DA5-1FCF-44A1-A53A-E52B993CA329}"/>
    <cellStyle name="Normal 5 2 2 2 2 3 2 3" xfId="5200" xr:uid="{00000000-0005-0000-0000-000025170000}"/>
    <cellStyle name="Normal 5 2 2 2 2 3 2 3 2" xfId="13642" xr:uid="{0DD3020D-C2D7-4F70-A288-C25ABA21C933}"/>
    <cellStyle name="Normal 5 2 2 2 2 3 2 4" xfId="9424" xr:uid="{97795E09-18DB-4A82-9CC1-3C0F8437606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2 2 2" xfId="16200" xr:uid="{11FEEE23-B6A6-4B95-9931-39060C0EE3C3}"/>
    <cellStyle name="Normal 5 2 2 2 2 3 3 2 3" xfId="11982" xr:uid="{083D491F-4611-417E-9ED3-F2F5911E2924}"/>
    <cellStyle name="Normal 5 2 2 2 2 3 3 3" xfId="5613" xr:uid="{00000000-0005-0000-0000-000029170000}"/>
    <cellStyle name="Normal 5 2 2 2 2 3 3 3 2" xfId="14055" xr:uid="{9633A898-D2B7-4B75-B36F-AA8EE9D66793}"/>
    <cellStyle name="Normal 5 2 2 2 2 3 3 4" xfId="9837" xr:uid="{40E80511-7205-4770-B78F-64A753542B57}"/>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2 2 2" xfId="16613" xr:uid="{93355A51-7E23-4315-B245-C8733795AB86}"/>
    <cellStyle name="Normal 5 2 2 2 2 3 4 2 3" xfId="12395" xr:uid="{50FAE404-414D-466C-9040-70B365E9EEB0}"/>
    <cellStyle name="Normal 5 2 2 2 2 3 4 3" xfId="6026" xr:uid="{00000000-0005-0000-0000-00002D170000}"/>
    <cellStyle name="Normal 5 2 2 2 2 3 4 3 2" xfId="14468" xr:uid="{3EA1FE88-DFBD-4EC7-80A6-816CD4D09C3C}"/>
    <cellStyle name="Normal 5 2 2 2 2 3 4 4" xfId="10250" xr:uid="{4A605F80-645B-49C6-8A11-8F651E647D45}"/>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2 2 2" xfId="17026" xr:uid="{B4CEBBE8-5EA5-48DC-8814-0FC40F748036}"/>
    <cellStyle name="Normal 5 2 2 2 2 3 5 2 3" xfId="12808" xr:uid="{D94C5F61-A641-459A-A722-7A364307F81D}"/>
    <cellStyle name="Normal 5 2 2 2 2 3 5 3" xfId="6439" xr:uid="{00000000-0005-0000-0000-000031170000}"/>
    <cellStyle name="Normal 5 2 2 2 2 3 5 3 2" xfId="14881" xr:uid="{18C83227-EAF0-4135-BF7A-5872A76B9FF6}"/>
    <cellStyle name="Normal 5 2 2 2 2 3 5 4" xfId="10663" xr:uid="{FE6AA32B-890C-4EF5-8B0E-D19994D81AB5}"/>
    <cellStyle name="Normal 5 2 2 2 2 3 6" xfId="2568" xr:uid="{00000000-0005-0000-0000-000032170000}"/>
    <cellStyle name="Normal 5 2 2 2 2 3 6 2" xfId="6852" xr:uid="{00000000-0005-0000-0000-000033170000}"/>
    <cellStyle name="Normal 5 2 2 2 2 3 6 2 2" xfId="15294" xr:uid="{4C2A6481-FD8A-4727-91D5-D7C1DA316C67}"/>
    <cellStyle name="Normal 5 2 2 2 2 3 6 3" xfId="11076" xr:uid="{1C05100F-E452-4219-8B79-FEAC7682B1E4}"/>
    <cellStyle name="Normal 5 2 2 2 2 3 7" xfId="4787" xr:uid="{00000000-0005-0000-0000-000034170000}"/>
    <cellStyle name="Normal 5 2 2 2 2 3 7 2" xfId="13229" xr:uid="{44AED693-7163-4267-98E0-8112E14B57E4}"/>
    <cellStyle name="Normal 5 2 2 2 2 3 8" xfId="9011" xr:uid="{B819D56D-96EE-4141-AC81-7A27F1902203}"/>
    <cellStyle name="Normal 5 2 2 2 2 4" xfId="884" xr:uid="{00000000-0005-0000-0000-000035170000}"/>
    <cellStyle name="Normal 5 2 2 2 2 4 2" xfId="3119" xr:uid="{00000000-0005-0000-0000-000036170000}"/>
    <cellStyle name="Normal 5 2 2 2 2 4 2 2" xfId="7342" xr:uid="{00000000-0005-0000-0000-000037170000}"/>
    <cellStyle name="Normal 5 2 2 2 2 4 2 2 2" xfId="15784" xr:uid="{F0379C18-2418-459F-AE52-6A33CEA99C94}"/>
    <cellStyle name="Normal 5 2 2 2 2 4 2 3" xfId="11566" xr:uid="{A343E240-B41D-44E7-935A-985E188C8D7E}"/>
    <cellStyle name="Normal 5 2 2 2 2 4 3" xfId="5197" xr:uid="{00000000-0005-0000-0000-000038170000}"/>
    <cellStyle name="Normal 5 2 2 2 2 4 3 2" xfId="13639" xr:uid="{ED2DFDFF-35E5-496A-AA34-EAC9CA55F1E8}"/>
    <cellStyle name="Normal 5 2 2 2 2 4 4" xfId="9421" xr:uid="{3FFDDA25-AF2B-4539-BA8A-D0799BC8475F}"/>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2 2 2" xfId="16197" xr:uid="{10E09A08-8F54-4EB5-B230-58314A856FF1}"/>
    <cellStyle name="Normal 5 2 2 2 2 5 2 3" xfId="11979" xr:uid="{D1F3B525-E675-442F-9EBE-4CAB65020BCF}"/>
    <cellStyle name="Normal 5 2 2 2 2 5 3" xfId="5610" xr:uid="{00000000-0005-0000-0000-00003C170000}"/>
    <cellStyle name="Normal 5 2 2 2 2 5 3 2" xfId="14052" xr:uid="{59C8E4B9-F412-4C85-AF4E-A8797E1EE9D7}"/>
    <cellStyle name="Normal 5 2 2 2 2 5 4" xfId="9834" xr:uid="{3A5F32A3-DE6E-45B4-B3FE-88C8F6D28EB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2 2 2" xfId="16610" xr:uid="{C324A08D-4EA4-4259-8C45-2241105FF8D3}"/>
    <cellStyle name="Normal 5 2 2 2 2 6 2 3" xfId="12392" xr:uid="{95CBCB4B-7A8F-4994-8362-A7150B704C1E}"/>
    <cellStyle name="Normal 5 2 2 2 2 6 3" xfId="6023" xr:uid="{00000000-0005-0000-0000-000040170000}"/>
    <cellStyle name="Normal 5 2 2 2 2 6 3 2" xfId="14465" xr:uid="{DB414D9D-5520-4C59-B164-4DEDC107577D}"/>
    <cellStyle name="Normal 5 2 2 2 2 6 4" xfId="10247" xr:uid="{C2F9F913-A972-4BB2-BC4A-958F80C074D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2 2 2" xfId="17023" xr:uid="{5A0C2743-A758-43DE-9E0F-D4107F1A5E08}"/>
    <cellStyle name="Normal 5 2 2 2 2 7 2 3" xfId="12805" xr:uid="{2C9FFA82-9426-49D9-BFF5-52CAAC4B9693}"/>
    <cellStyle name="Normal 5 2 2 2 2 7 3" xfId="6436" xr:uid="{00000000-0005-0000-0000-000044170000}"/>
    <cellStyle name="Normal 5 2 2 2 2 7 3 2" xfId="14878" xr:uid="{743793AE-21AD-4ACF-BF15-EF0358FE1438}"/>
    <cellStyle name="Normal 5 2 2 2 2 7 4" xfId="10660" xr:uid="{683AF9D1-C548-4CB4-A29A-1D1A4A37FCC3}"/>
    <cellStyle name="Normal 5 2 2 2 2 8" xfId="2565" xr:uid="{00000000-0005-0000-0000-000045170000}"/>
    <cellStyle name="Normal 5 2 2 2 2 8 2" xfId="6849" xr:uid="{00000000-0005-0000-0000-000046170000}"/>
    <cellStyle name="Normal 5 2 2 2 2 8 2 2" xfId="15291" xr:uid="{6AAA3E68-8249-4E03-8ED0-89C3AC508061}"/>
    <cellStyle name="Normal 5 2 2 2 2 8 3" xfId="11073" xr:uid="{1C914922-E59C-406C-938A-CB1E65E50E56}"/>
    <cellStyle name="Normal 5 2 2 2 2 9" xfId="4784" xr:uid="{00000000-0005-0000-0000-000047170000}"/>
    <cellStyle name="Normal 5 2 2 2 2 9 2" xfId="13226" xr:uid="{8082FE75-DDA1-4BF4-AD4B-520EDD2CDF3E}"/>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2 2 2" xfId="15789" xr:uid="{DF8B4EC1-1A7E-45D2-91FD-9D5F3AEA299D}"/>
    <cellStyle name="Normal 5 2 2 2 3 2 2 2 3" xfId="11571" xr:uid="{F7AC87B3-9B55-4ACE-AFD3-336F738EB30C}"/>
    <cellStyle name="Normal 5 2 2 2 3 2 2 3" xfId="5202" xr:uid="{00000000-0005-0000-0000-00004D170000}"/>
    <cellStyle name="Normal 5 2 2 2 3 2 2 3 2" xfId="13644" xr:uid="{E8486E76-8590-4665-AD8A-34C3A4C0B3F9}"/>
    <cellStyle name="Normal 5 2 2 2 3 2 2 4" xfId="9426" xr:uid="{15F7BC55-0BBC-4838-BC86-7B4AB7A46606}"/>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2 2 2" xfId="16202" xr:uid="{CA745576-E72C-4D8C-86D5-A2032E45EB56}"/>
    <cellStyle name="Normal 5 2 2 2 3 2 3 2 3" xfId="11984" xr:uid="{202F853D-A273-43AD-9517-15B2BAA50793}"/>
    <cellStyle name="Normal 5 2 2 2 3 2 3 3" xfId="5615" xr:uid="{00000000-0005-0000-0000-000051170000}"/>
    <cellStyle name="Normal 5 2 2 2 3 2 3 3 2" xfId="14057" xr:uid="{FB9132C6-3702-40AE-B837-C6120CD64EC3}"/>
    <cellStyle name="Normal 5 2 2 2 3 2 3 4" xfId="9839" xr:uid="{83FB80F5-0BBA-400C-B65A-D7DB061B2B3A}"/>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2 2 2" xfId="16615" xr:uid="{622AA278-E8D7-4AD6-8A3B-E1220810A394}"/>
    <cellStyle name="Normal 5 2 2 2 3 2 4 2 3" xfId="12397" xr:uid="{F334C407-B1D1-41CC-B162-09AAAAFFC647}"/>
    <cellStyle name="Normal 5 2 2 2 3 2 4 3" xfId="6028" xr:uid="{00000000-0005-0000-0000-000055170000}"/>
    <cellStyle name="Normal 5 2 2 2 3 2 4 3 2" xfId="14470" xr:uid="{9A0CB34E-AE22-487B-8407-3B45C4FDD65C}"/>
    <cellStyle name="Normal 5 2 2 2 3 2 4 4" xfId="10252" xr:uid="{61B2B824-5884-46E5-ABD5-276011D19998}"/>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2 2 2" xfId="17028" xr:uid="{4CD48464-7CF2-417E-96B2-81A416A08245}"/>
    <cellStyle name="Normal 5 2 2 2 3 2 5 2 3" xfId="12810" xr:uid="{9153ACAA-BBA2-4D66-B170-DF37807A497D}"/>
    <cellStyle name="Normal 5 2 2 2 3 2 5 3" xfId="6441" xr:uid="{00000000-0005-0000-0000-000059170000}"/>
    <cellStyle name="Normal 5 2 2 2 3 2 5 3 2" xfId="14883" xr:uid="{336C7E59-A6BB-4213-9F1C-9E9EBC7EB3EA}"/>
    <cellStyle name="Normal 5 2 2 2 3 2 5 4" xfId="10665" xr:uid="{D1266C39-C6BA-4702-952A-488574935B57}"/>
    <cellStyle name="Normal 5 2 2 2 3 2 6" xfId="2570" xr:uid="{00000000-0005-0000-0000-00005A170000}"/>
    <cellStyle name="Normal 5 2 2 2 3 2 6 2" xfId="6854" xr:uid="{00000000-0005-0000-0000-00005B170000}"/>
    <cellStyle name="Normal 5 2 2 2 3 2 6 2 2" xfId="15296" xr:uid="{AE77CF7E-B8A2-4EA6-8693-089D53B0DEFE}"/>
    <cellStyle name="Normal 5 2 2 2 3 2 6 3" xfId="11078" xr:uid="{A9A7BCC8-7D86-4BE3-955C-3A9523B1A218}"/>
    <cellStyle name="Normal 5 2 2 2 3 2 7" xfId="4789" xr:uid="{00000000-0005-0000-0000-00005C170000}"/>
    <cellStyle name="Normal 5 2 2 2 3 2 7 2" xfId="13231" xr:uid="{362B023E-D113-464D-9CCC-DDB5E4A999BA}"/>
    <cellStyle name="Normal 5 2 2 2 3 2 8" xfId="9013" xr:uid="{AA6189EE-5EFE-4CA8-8E8F-B62C26D6A61B}"/>
    <cellStyle name="Normal 5 2 2 2 3 3" xfId="888" xr:uid="{00000000-0005-0000-0000-00005D170000}"/>
    <cellStyle name="Normal 5 2 2 2 3 3 2" xfId="3123" xr:uid="{00000000-0005-0000-0000-00005E170000}"/>
    <cellStyle name="Normal 5 2 2 2 3 3 2 2" xfId="7346" xr:uid="{00000000-0005-0000-0000-00005F170000}"/>
    <cellStyle name="Normal 5 2 2 2 3 3 2 2 2" xfId="15788" xr:uid="{08AB6D44-B511-42F6-BFDC-A87F94BCE499}"/>
    <cellStyle name="Normal 5 2 2 2 3 3 2 3" xfId="11570" xr:uid="{4C58C726-4306-456D-A872-2F5E553BFD1E}"/>
    <cellStyle name="Normal 5 2 2 2 3 3 3" xfId="5201" xr:uid="{00000000-0005-0000-0000-000060170000}"/>
    <cellStyle name="Normal 5 2 2 2 3 3 3 2" xfId="13643" xr:uid="{E09AADDC-E1DC-4D9C-9E67-DA0A35F9690E}"/>
    <cellStyle name="Normal 5 2 2 2 3 3 4" xfId="9425" xr:uid="{C4293FA6-13B1-47C7-84CA-F4F1EC70362F}"/>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2 2 2" xfId="16201" xr:uid="{1234195A-E134-4FC4-84C9-7790F50B33B6}"/>
    <cellStyle name="Normal 5 2 2 2 3 4 2 3" xfId="11983" xr:uid="{37BEEF17-C39E-448F-85AB-9DDB97CFC5EF}"/>
    <cellStyle name="Normal 5 2 2 2 3 4 3" xfId="5614" xr:uid="{00000000-0005-0000-0000-000064170000}"/>
    <cellStyle name="Normal 5 2 2 2 3 4 3 2" xfId="14056" xr:uid="{62F0788E-474D-4181-80D3-945457B3B2A5}"/>
    <cellStyle name="Normal 5 2 2 2 3 4 4" xfId="9838" xr:uid="{2D267E44-C5D2-4043-A58D-795F62BB015F}"/>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2 2 2" xfId="16614" xr:uid="{C4E17F9B-AF32-4D66-9A88-1E43C3C86452}"/>
    <cellStyle name="Normal 5 2 2 2 3 5 2 3" xfId="12396" xr:uid="{14C1695B-61B3-4047-8309-0249E55CE5B3}"/>
    <cellStyle name="Normal 5 2 2 2 3 5 3" xfId="6027" xr:uid="{00000000-0005-0000-0000-000068170000}"/>
    <cellStyle name="Normal 5 2 2 2 3 5 3 2" xfId="14469" xr:uid="{3F797C1A-3796-492B-9584-076B0091EB27}"/>
    <cellStyle name="Normal 5 2 2 2 3 5 4" xfId="10251" xr:uid="{5EA65663-FF50-490C-8D02-F48E6528F104}"/>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2 2 2" xfId="17027" xr:uid="{9D8019B3-34ED-4DAF-B338-32C85D36D669}"/>
    <cellStyle name="Normal 5 2 2 2 3 6 2 3" xfId="12809" xr:uid="{C292C943-58ED-45DA-B0B2-AAC413ED67D1}"/>
    <cellStyle name="Normal 5 2 2 2 3 6 3" xfId="6440" xr:uid="{00000000-0005-0000-0000-00006C170000}"/>
    <cellStyle name="Normal 5 2 2 2 3 6 3 2" xfId="14882" xr:uid="{10F0DE2C-EBAE-4724-BA87-68EBA596EE2B}"/>
    <cellStyle name="Normal 5 2 2 2 3 6 4" xfId="10664" xr:uid="{B106BDD9-FF28-4AE1-B01F-6757CEE371B2}"/>
    <cellStyle name="Normal 5 2 2 2 3 7" xfId="2569" xr:uid="{00000000-0005-0000-0000-00006D170000}"/>
    <cellStyle name="Normal 5 2 2 2 3 7 2" xfId="6853" xr:uid="{00000000-0005-0000-0000-00006E170000}"/>
    <cellStyle name="Normal 5 2 2 2 3 7 2 2" xfId="15295" xr:uid="{0FD13952-A8BA-43FB-BD28-CDD0930D74D0}"/>
    <cellStyle name="Normal 5 2 2 2 3 7 3" xfId="11077" xr:uid="{E08831C1-1634-4E03-B44D-B0FCD6E676E1}"/>
    <cellStyle name="Normal 5 2 2 2 3 8" xfId="4788" xr:uid="{00000000-0005-0000-0000-00006F170000}"/>
    <cellStyle name="Normal 5 2 2 2 3 8 2" xfId="13230" xr:uid="{D66E1B09-DF8E-4690-96B6-5B0D142EC6E9}"/>
    <cellStyle name="Normal 5 2 2 2 3 9" xfId="9012" xr:uid="{07E8F11F-45E0-49BA-A8EE-DA568FCE4221}"/>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2 2 2" xfId="15790" xr:uid="{9FAA4CA2-5C72-447F-B263-2A75C64DDF95}"/>
    <cellStyle name="Normal 5 2 2 2 4 2 2 3" xfId="11572" xr:uid="{A2C35F9C-7639-42B2-B2BA-D4602BE9BD51}"/>
    <cellStyle name="Normal 5 2 2 2 4 2 3" xfId="5203" xr:uid="{00000000-0005-0000-0000-000074170000}"/>
    <cellStyle name="Normal 5 2 2 2 4 2 3 2" xfId="13645" xr:uid="{4F78D1AF-F8D1-4964-9602-76080ED20ED0}"/>
    <cellStyle name="Normal 5 2 2 2 4 2 4" xfId="9427" xr:uid="{E1E1DC44-20B2-4ED0-892B-1CDCD0E2F1AB}"/>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2 2 2" xfId="16203" xr:uid="{0FA1640E-FE29-4D03-A356-CF2E7FABD92A}"/>
    <cellStyle name="Normal 5 2 2 2 4 3 2 3" xfId="11985" xr:uid="{C0A28566-4AC2-4468-B258-108CD830F9CB}"/>
    <cellStyle name="Normal 5 2 2 2 4 3 3" xfId="5616" xr:uid="{00000000-0005-0000-0000-000078170000}"/>
    <cellStyle name="Normal 5 2 2 2 4 3 3 2" xfId="14058" xr:uid="{5A7B2074-CDCD-4A20-AA7B-3C984C6F22DC}"/>
    <cellStyle name="Normal 5 2 2 2 4 3 4" xfId="9840" xr:uid="{6FB1FC44-6CBB-45A9-B87C-CD4D178FFAE4}"/>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2 2 2" xfId="16616" xr:uid="{17229A3E-4496-4C48-95C2-FD25D665A8D2}"/>
    <cellStyle name="Normal 5 2 2 2 4 4 2 3" xfId="12398" xr:uid="{B2D2DAFE-7428-443E-9670-2A85A8C374EE}"/>
    <cellStyle name="Normal 5 2 2 2 4 4 3" xfId="6029" xr:uid="{00000000-0005-0000-0000-00007C170000}"/>
    <cellStyle name="Normal 5 2 2 2 4 4 3 2" xfId="14471" xr:uid="{08A53F96-739D-4BCF-A431-B4768F58A730}"/>
    <cellStyle name="Normal 5 2 2 2 4 4 4" xfId="10253" xr:uid="{68C1DE69-BCCF-4F87-AB73-C9D9D8CF085A}"/>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2 2 2" xfId="17029" xr:uid="{16E7B394-3A25-46BA-9680-9D22FE8664F5}"/>
    <cellStyle name="Normal 5 2 2 2 4 5 2 3" xfId="12811" xr:uid="{597AC45B-BC9A-4FCD-A87B-3FBCF6BFED4C}"/>
    <cellStyle name="Normal 5 2 2 2 4 5 3" xfId="6442" xr:uid="{00000000-0005-0000-0000-000080170000}"/>
    <cellStyle name="Normal 5 2 2 2 4 5 3 2" xfId="14884" xr:uid="{F52D6019-31CA-43A4-BAE6-014313F81657}"/>
    <cellStyle name="Normal 5 2 2 2 4 5 4" xfId="10666" xr:uid="{B88AECC2-3CE8-4571-AA71-31DD9FDB01E6}"/>
    <cellStyle name="Normal 5 2 2 2 4 6" xfId="2571" xr:uid="{00000000-0005-0000-0000-000081170000}"/>
    <cellStyle name="Normal 5 2 2 2 4 6 2" xfId="6855" xr:uid="{00000000-0005-0000-0000-000082170000}"/>
    <cellStyle name="Normal 5 2 2 2 4 6 2 2" xfId="15297" xr:uid="{BBF1AD0F-344E-42F0-9531-DB0F70064840}"/>
    <cellStyle name="Normal 5 2 2 2 4 6 3" xfId="11079" xr:uid="{BF67E19C-40C0-4898-BB22-88EC3D4CD6C4}"/>
    <cellStyle name="Normal 5 2 2 2 4 7" xfId="4790" xr:uid="{00000000-0005-0000-0000-000083170000}"/>
    <cellStyle name="Normal 5 2 2 2 4 7 2" xfId="13232" xr:uid="{DCE7B05B-90EF-4DF4-870F-2337D9A6F68F}"/>
    <cellStyle name="Normal 5 2 2 2 4 8" xfId="9014" xr:uid="{FDADEA8C-99D2-4EDD-AE46-5DF6D9CFE5DD}"/>
    <cellStyle name="Normal 5 2 2 2 5" xfId="883" xr:uid="{00000000-0005-0000-0000-000084170000}"/>
    <cellStyle name="Normal 5 2 2 2 5 2" xfId="3118" xr:uid="{00000000-0005-0000-0000-000085170000}"/>
    <cellStyle name="Normal 5 2 2 2 5 2 2" xfId="7341" xr:uid="{00000000-0005-0000-0000-000086170000}"/>
    <cellStyle name="Normal 5 2 2 2 5 2 2 2" xfId="15783" xr:uid="{652A5F4D-6591-4BDF-BF02-2AC7BF4BBE60}"/>
    <cellStyle name="Normal 5 2 2 2 5 2 3" xfId="11565" xr:uid="{0723877E-1055-441E-9564-A4D990CA1CB9}"/>
    <cellStyle name="Normal 5 2 2 2 5 3" xfId="5196" xr:uid="{00000000-0005-0000-0000-000087170000}"/>
    <cellStyle name="Normal 5 2 2 2 5 3 2" xfId="13638" xr:uid="{99048F24-1971-4E71-A158-AC1D2CFF6D26}"/>
    <cellStyle name="Normal 5 2 2 2 5 4" xfId="9420" xr:uid="{D7C3E646-89B5-4A05-9410-E565EFB0FC73}"/>
    <cellStyle name="Normal 5 2 2 2 6" xfId="1301" xr:uid="{00000000-0005-0000-0000-000088170000}"/>
    <cellStyle name="Normal 5 2 2 2 6 2" xfId="3531" xr:uid="{00000000-0005-0000-0000-000089170000}"/>
    <cellStyle name="Normal 5 2 2 2 6 2 2" xfId="7754" xr:uid="{00000000-0005-0000-0000-00008A170000}"/>
    <cellStyle name="Normal 5 2 2 2 6 2 2 2" xfId="16196" xr:uid="{43CCC701-243E-41E9-9F38-C807EAD799F1}"/>
    <cellStyle name="Normal 5 2 2 2 6 2 3" xfId="11978" xr:uid="{F108EB9E-10E1-498D-A6B6-EBCD2782268B}"/>
    <cellStyle name="Normal 5 2 2 2 6 3" xfId="5609" xr:uid="{00000000-0005-0000-0000-00008B170000}"/>
    <cellStyle name="Normal 5 2 2 2 6 3 2" xfId="14051" xr:uid="{602312E7-E708-4CEE-B90B-AB04C510A46F}"/>
    <cellStyle name="Normal 5 2 2 2 6 4" xfId="9833" xr:uid="{DF8EBCF6-D27E-4FF8-8E79-5649836D3B31}"/>
    <cellStyle name="Normal 5 2 2 2 7" xfId="1714" xr:uid="{00000000-0005-0000-0000-00008C170000}"/>
    <cellStyle name="Normal 5 2 2 2 7 2" xfId="3944" xr:uid="{00000000-0005-0000-0000-00008D170000}"/>
    <cellStyle name="Normal 5 2 2 2 7 2 2" xfId="8167" xr:uid="{00000000-0005-0000-0000-00008E170000}"/>
    <cellStyle name="Normal 5 2 2 2 7 2 2 2" xfId="16609" xr:uid="{FF915032-EFE4-41DA-A859-F0A45DADD5DF}"/>
    <cellStyle name="Normal 5 2 2 2 7 2 3" xfId="12391" xr:uid="{8CC493BB-83D7-4297-9E0B-C8FB397B2B9D}"/>
    <cellStyle name="Normal 5 2 2 2 7 3" xfId="6022" xr:uid="{00000000-0005-0000-0000-00008F170000}"/>
    <cellStyle name="Normal 5 2 2 2 7 3 2" xfId="14464" xr:uid="{3E249AA6-7C01-4BA5-8E6A-7C87A25816D4}"/>
    <cellStyle name="Normal 5 2 2 2 7 4" xfId="10246" xr:uid="{1B8121DE-E984-40EC-84C1-A5CC5581DCFF}"/>
    <cellStyle name="Normal 5 2 2 2 8" xfId="2128" xr:uid="{00000000-0005-0000-0000-000090170000}"/>
    <cellStyle name="Normal 5 2 2 2 8 2" xfId="4357" xr:uid="{00000000-0005-0000-0000-000091170000}"/>
    <cellStyle name="Normal 5 2 2 2 8 2 2" xfId="8580" xr:uid="{00000000-0005-0000-0000-000092170000}"/>
    <cellStyle name="Normal 5 2 2 2 8 2 2 2" xfId="17022" xr:uid="{3225A425-9104-4422-99EA-DDE77C9B4FDC}"/>
    <cellStyle name="Normal 5 2 2 2 8 2 3" xfId="12804" xr:uid="{56FB31F7-5238-43CB-BF3B-B185B1ECAFB4}"/>
    <cellStyle name="Normal 5 2 2 2 8 3" xfId="6435" xr:uid="{00000000-0005-0000-0000-000093170000}"/>
    <cellStyle name="Normal 5 2 2 2 8 3 2" xfId="14877" xr:uid="{776CDD9C-9604-4EAB-B923-C763C6EABB1F}"/>
    <cellStyle name="Normal 5 2 2 2 8 4" xfId="10659" xr:uid="{93F5D1B6-C7AC-43E6-9D59-ECD0024C699A}"/>
    <cellStyle name="Normal 5 2 2 2 9" xfId="2564" xr:uid="{00000000-0005-0000-0000-000094170000}"/>
    <cellStyle name="Normal 5 2 2 2 9 2" xfId="6848" xr:uid="{00000000-0005-0000-0000-000095170000}"/>
    <cellStyle name="Normal 5 2 2 2 9 2 2" xfId="15290" xr:uid="{C50A72C2-0BA7-4B43-A213-D8969BD4E3F0}"/>
    <cellStyle name="Normal 5 2 2 2 9 3" xfId="11072" xr:uid="{6F0C550F-0FBC-4837-933C-89B0E28C706C}"/>
    <cellStyle name="Normal 5 2 2 3" xfId="417" xr:uid="{00000000-0005-0000-0000-000096170000}"/>
    <cellStyle name="Normal 5 2 2 3 10" xfId="9015" xr:uid="{C68FEC93-62BE-42C7-BD62-BD3E8EBC2DD7}"/>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2 2 2" xfId="15793" xr:uid="{83FD2CB3-EFB8-420D-B8E8-E4DBCB9BAB5F}"/>
    <cellStyle name="Normal 5 2 2 3 2 2 2 2 3" xfId="11575" xr:uid="{E84E43C5-A387-4B01-915E-B9CF48B262E7}"/>
    <cellStyle name="Normal 5 2 2 3 2 2 2 3" xfId="5206" xr:uid="{00000000-0005-0000-0000-00009C170000}"/>
    <cellStyle name="Normal 5 2 2 3 2 2 2 3 2" xfId="13648" xr:uid="{3C0DF627-ECC4-4B91-8C6B-8019FE429B2C}"/>
    <cellStyle name="Normal 5 2 2 3 2 2 2 4" xfId="9430" xr:uid="{F014248D-57AF-4AAD-8400-AB096FBBD4C5}"/>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2 2 2" xfId="16206" xr:uid="{3C78AF01-C3E1-4735-8A62-637BA4ABB1FB}"/>
    <cellStyle name="Normal 5 2 2 3 2 2 3 2 3" xfId="11988" xr:uid="{673E75CC-222C-4D7E-8668-350F4EC80E43}"/>
    <cellStyle name="Normal 5 2 2 3 2 2 3 3" xfId="5619" xr:uid="{00000000-0005-0000-0000-0000A0170000}"/>
    <cellStyle name="Normal 5 2 2 3 2 2 3 3 2" xfId="14061" xr:uid="{5CE05270-FDDC-4700-A41C-0202990EB616}"/>
    <cellStyle name="Normal 5 2 2 3 2 2 3 4" xfId="9843" xr:uid="{31257FEF-823E-4693-814F-207F3FF27F4D}"/>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2 2 2" xfId="16619" xr:uid="{95AEF4D2-60E0-487B-A8E6-948092FEB9CE}"/>
    <cellStyle name="Normal 5 2 2 3 2 2 4 2 3" xfId="12401" xr:uid="{12A2E3EE-D295-4A60-8305-FAA66AC16047}"/>
    <cellStyle name="Normal 5 2 2 3 2 2 4 3" xfId="6032" xr:uid="{00000000-0005-0000-0000-0000A4170000}"/>
    <cellStyle name="Normal 5 2 2 3 2 2 4 3 2" xfId="14474" xr:uid="{24E3EA3D-35F3-418A-96AA-7188C2778690}"/>
    <cellStyle name="Normal 5 2 2 3 2 2 4 4" xfId="10256" xr:uid="{EED8AA52-9205-473B-BA70-22041FCBA903}"/>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2 2 2" xfId="17032" xr:uid="{97ED8EB8-5AFA-482A-ACFC-EC532E577E8B}"/>
    <cellStyle name="Normal 5 2 2 3 2 2 5 2 3" xfId="12814" xr:uid="{3DEC2287-9640-4154-90D0-83A7153F63EE}"/>
    <cellStyle name="Normal 5 2 2 3 2 2 5 3" xfId="6445" xr:uid="{00000000-0005-0000-0000-0000A8170000}"/>
    <cellStyle name="Normal 5 2 2 3 2 2 5 3 2" xfId="14887" xr:uid="{5F7F6341-78CE-4F46-A3C6-9B2E855C08C8}"/>
    <cellStyle name="Normal 5 2 2 3 2 2 5 4" xfId="10669" xr:uid="{7FA76130-0283-499D-B875-B18EEC8AFF14}"/>
    <cellStyle name="Normal 5 2 2 3 2 2 6" xfId="2574" xr:uid="{00000000-0005-0000-0000-0000A9170000}"/>
    <cellStyle name="Normal 5 2 2 3 2 2 6 2" xfId="6858" xr:uid="{00000000-0005-0000-0000-0000AA170000}"/>
    <cellStyle name="Normal 5 2 2 3 2 2 6 2 2" xfId="15300" xr:uid="{F56A0BF4-A2D6-4EF2-95FE-B67414B869A9}"/>
    <cellStyle name="Normal 5 2 2 3 2 2 6 3" xfId="11082" xr:uid="{28EA92DC-B273-470C-B355-0CE4C5DBA16D}"/>
    <cellStyle name="Normal 5 2 2 3 2 2 7" xfId="4793" xr:uid="{00000000-0005-0000-0000-0000AB170000}"/>
    <cellStyle name="Normal 5 2 2 3 2 2 7 2" xfId="13235" xr:uid="{D6BFB0C7-2E46-4697-B3F3-74A1119B9F75}"/>
    <cellStyle name="Normal 5 2 2 3 2 2 8" xfId="9017" xr:uid="{04590C4C-47CE-49AA-B219-AD6AE99E866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2 2 2" xfId="15792" xr:uid="{6956D3AF-DD8C-4C12-B5C1-0A4CE66400B6}"/>
    <cellStyle name="Normal 5 2 2 3 2 3 2 3" xfId="11574" xr:uid="{546E9573-5350-4EFD-907E-28FB3F995D96}"/>
    <cellStyle name="Normal 5 2 2 3 2 3 3" xfId="5205" xr:uid="{00000000-0005-0000-0000-0000AF170000}"/>
    <cellStyle name="Normal 5 2 2 3 2 3 3 2" xfId="13647" xr:uid="{BBF32615-895F-4854-B105-B8947FF6F2C9}"/>
    <cellStyle name="Normal 5 2 2 3 2 3 4" xfId="9429" xr:uid="{4B3E1BB4-1406-4ECA-AF75-FEF2FC07727E}"/>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2 2 2" xfId="16205" xr:uid="{DDF68F7E-2A5B-4FA8-8E0F-387A7C869546}"/>
    <cellStyle name="Normal 5 2 2 3 2 4 2 3" xfId="11987" xr:uid="{FEC06529-454F-4B4D-9E0E-0FE54AA2A7A2}"/>
    <cellStyle name="Normal 5 2 2 3 2 4 3" xfId="5618" xr:uid="{00000000-0005-0000-0000-0000B3170000}"/>
    <cellStyle name="Normal 5 2 2 3 2 4 3 2" xfId="14060" xr:uid="{43E4AC00-6467-489F-83D9-D54007E71342}"/>
    <cellStyle name="Normal 5 2 2 3 2 4 4" xfId="9842" xr:uid="{6864E2B8-6C1F-4DBC-A9C5-F287BD9B18FF}"/>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2 2 2" xfId="16618" xr:uid="{5A1F899F-B304-4A5E-8D1F-11A521E315EB}"/>
    <cellStyle name="Normal 5 2 2 3 2 5 2 3" xfId="12400" xr:uid="{437E0A1E-3AF6-4836-9258-BF45BE000385}"/>
    <cellStyle name="Normal 5 2 2 3 2 5 3" xfId="6031" xr:uid="{00000000-0005-0000-0000-0000B7170000}"/>
    <cellStyle name="Normal 5 2 2 3 2 5 3 2" xfId="14473" xr:uid="{270B0DFA-D2CE-45F1-9979-C43D5E0963D7}"/>
    <cellStyle name="Normal 5 2 2 3 2 5 4" xfId="10255" xr:uid="{F2E3E9E0-D074-4569-B313-67DD99BCFEC7}"/>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2 2 2" xfId="17031" xr:uid="{308E4136-C52F-41D9-9036-07E63BF7983F}"/>
    <cellStyle name="Normal 5 2 2 3 2 6 2 3" xfId="12813" xr:uid="{DF15BEC1-9838-4F6E-8039-4D8BACA0E395}"/>
    <cellStyle name="Normal 5 2 2 3 2 6 3" xfId="6444" xr:uid="{00000000-0005-0000-0000-0000BB170000}"/>
    <cellStyle name="Normal 5 2 2 3 2 6 3 2" xfId="14886" xr:uid="{3632200E-6E87-40D4-970E-D89401E421FC}"/>
    <cellStyle name="Normal 5 2 2 3 2 6 4" xfId="10668" xr:uid="{BA5043BC-8B1A-4699-9EF2-7A70E5A88F19}"/>
    <cellStyle name="Normal 5 2 2 3 2 7" xfId="2573" xr:uid="{00000000-0005-0000-0000-0000BC170000}"/>
    <cellStyle name="Normal 5 2 2 3 2 7 2" xfId="6857" xr:uid="{00000000-0005-0000-0000-0000BD170000}"/>
    <cellStyle name="Normal 5 2 2 3 2 7 2 2" xfId="15299" xr:uid="{C67F6846-62C3-4AB2-BA37-F0A2C135876B}"/>
    <cellStyle name="Normal 5 2 2 3 2 7 3" xfId="11081" xr:uid="{E8904594-607A-4669-A3EC-60EC5CBCE177}"/>
    <cellStyle name="Normal 5 2 2 3 2 8" xfId="4792" xr:uid="{00000000-0005-0000-0000-0000BE170000}"/>
    <cellStyle name="Normal 5 2 2 3 2 8 2" xfId="13234" xr:uid="{68F987E8-A43E-4FAD-ADCF-50394A9CCFA8}"/>
    <cellStyle name="Normal 5 2 2 3 2 9" xfId="9016" xr:uid="{844B9B09-09AA-4029-BFE7-A01DDB278971}"/>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2 2 2" xfId="15794" xr:uid="{ED9D2F9F-AB96-4556-A73A-57E67EBC0483}"/>
    <cellStyle name="Normal 5 2 2 3 3 2 2 3" xfId="11576" xr:uid="{E49EAD5A-10EE-4C68-8614-FAB83BF145C5}"/>
    <cellStyle name="Normal 5 2 2 3 3 2 3" xfId="5207" xr:uid="{00000000-0005-0000-0000-0000C3170000}"/>
    <cellStyle name="Normal 5 2 2 3 3 2 3 2" xfId="13649" xr:uid="{F9EE50B6-B469-4A6B-89CA-EC722212E4DD}"/>
    <cellStyle name="Normal 5 2 2 3 3 2 4" xfId="9431" xr:uid="{0A19FA8D-2D83-488A-8C55-78D67D6BD503}"/>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2 2 2" xfId="16207" xr:uid="{2993245A-5C3F-4117-9973-DD42A1C32E9E}"/>
    <cellStyle name="Normal 5 2 2 3 3 3 2 3" xfId="11989" xr:uid="{7D212CF3-F5DA-4BB6-B729-F6C4583E03FC}"/>
    <cellStyle name="Normal 5 2 2 3 3 3 3" xfId="5620" xr:uid="{00000000-0005-0000-0000-0000C7170000}"/>
    <cellStyle name="Normal 5 2 2 3 3 3 3 2" xfId="14062" xr:uid="{24DD111C-8AF8-4093-BB4A-FE893FE2B2AC}"/>
    <cellStyle name="Normal 5 2 2 3 3 3 4" xfId="9844" xr:uid="{5F165094-5081-41C1-9038-E64C3EB06EA2}"/>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2 2 2" xfId="16620" xr:uid="{D51A68A8-61B9-4B24-8198-60041185062F}"/>
    <cellStyle name="Normal 5 2 2 3 3 4 2 3" xfId="12402" xr:uid="{BE39EF23-0C63-44BF-9B62-D9443CB40CA0}"/>
    <cellStyle name="Normal 5 2 2 3 3 4 3" xfId="6033" xr:uid="{00000000-0005-0000-0000-0000CB170000}"/>
    <cellStyle name="Normal 5 2 2 3 3 4 3 2" xfId="14475" xr:uid="{6FB8DE67-01F9-4A4A-B969-9DBC820DEFDD}"/>
    <cellStyle name="Normal 5 2 2 3 3 4 4" xfId="10257" xr:uid="{A8630775-65CC-4304-9B97-C1923B024C18}"/>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2 2 2" xfId="17033" xr:uid="{EAEB4176-1191-482E-8A9C-789978171D8D}"/>
    <cellStyle name="Normal 5 2 2 3 3 5 2 3" xfId="12815" xr:uid="{F5E1884C-14C9-402A-8702-C8AF23A76BB9}"/>
    <cellStyle name="Normal 5 2 2 3 3 5 3" xfId="6446" xr:uid="{00000000-0005-0000-0000-0000CF170000}"/>
    <cellStyle name="Normal 5 2 2 3 3 5 3 2" xfId="14888" xr:uid="{09471B92-09AE-4276-9364-EEB4E1E068EC}"/>
    <cellStyle name="Normal 5 2 2 3 3 5 4" xfId="10670" xr:uid="{7E04022A-5F9F-4D21-828B-D62A76296AE2}"/>
    <cellStyle name="Normal 5 2 2 3 3 6" xfId="2575" xr:uid="{00000000-0005-0000-0000-0000D0170000}"/>
    <cellStyle name="Normal 5 2 2 3 3 6 2" xfId="6859" xr:uid="{00000000-0005-0000-0000-0000D1170000}"/>
    <cellStyle name="Normal 5 2 2 3 3 6 2 2" xfId="15301" xr:uid="{F5921228-510E-4EF1-BA61-4CCE401F03D4}"/>
    <cellStyle name="Normal 5 2 2 3 3 6 3" xfId="11083" xr:uid="{37925542-CD40-4159-A8D7-98E627A88E45}"/>
    <cellStyle name="Normal 5 2 2 3 3 7" xfId="4794" xr:uid="{00000000-0005-0000-0000-0000D2170000}"/>
    <cellStyle name="Normal 5 2 2 3 3 7 2" xfId="13236" xr:uid="{A45E0470-C140-4C30-9051-2DAE85E836A6}"/>
    <cellStyle name="Normal 5 2 2 3 3 8" xfId="9018" xr:uid="{7BDD55EC-B819-4EB1-9DCC-27C0F1E25634}"/>
    <cellStyle name="Normal 5 2 2 3 4" xfId="891" xr:uid="{00000000-0005-0000-0000-0000D3170000}"/>
    <cellStyle name="Normal 5 2 2 3 4 2" xfId="3126" xr:uid="{00000000-0005-0000-0000-0000D4170000}"/>
    <cellStyle name="Normal 5 2 2 3 4 2 2" xfId="7349" xr:uid="{00000000-0005-0000-0000-0000D5170000}"/>
    <cellStyle name="Normal 5 2 2 3 4 2 2 2" xfId="15791" xr:uid="{F9FD702D-06D5-40AB-A783-633C69E9AF5F}"/>
    <cellStyle name="Normal 5 2 2 3 4 2 3" xfId="11573" xr:uid="{ED69BE10-FC2F-47C0-84B9-06049C00E82A}"/>
    <cellStyle name="Normal 5 2 2 3 4 3" xfId="5204" xr:uid="{00000000-0005-0000-0000-0000D6170000}"/>
    <cellStyle name="Normal 5 2 2 3 4 3 2" xfId="13646" xr:uid="{DF22A765-64F2-4CB9-B4D9-9B5444B1FEF7}"/>
    <cellStyle name="Normal 5 2 2 3 4 4" xfId="9428" xr:uid="{93AACA5E-F782-4600-9AEF-2FFC9A670E54}"/>
    <cellStyle name="Normal 5 2 2 3 5" xfId="1309" xr:uid="{00000000-0005-0000-0000-0000D7170000}"/>
    <cellStyle name="Normal 5 2 2 3 5 2" xfId="3539" xr:uid="{00000000-0005-0000-0000-0000D8170000}"/>
    <cellStyle name="Normal 5 2 2 3 5 2 2" xfId="7762" xr:uid="{00000000-0005-0000-0000-0000D9170000}"/>
    <cellStyle name="Normal 5 2 2 3 5 2 2 2" xfId="16204" xr:uid="{5DD095B1-6683-4327-8A63-A05057407819}"/>
    <cellStyle name="Normal 5 2 2 3 5 2 3" xfId="11986" xr:uid="{DAAF1AA5-1F91-4046-8DB7-0F1C23D094CB}"/>
    <cellStyle name="Normal 5 2 2 3 5 3" xfId="5617" xr:uid="{00000000-0005-0000-0000-0000DA170000}"/>
    <cellStyle name="Normal 5 2 2 3 5 3 2" xfId="14059" xr:uid="{12009D43-CE1C-4474-A91D-8219A494A8C1}"/>
    <cellStyle name="Normal 5 2 2 3 5 4" xfId="9841" xr:uid="{F55765B5-48F0-41A7-805A-CA602F537A97}"/>
    <cellStyle name="Normal 5 2 2 3 6" xfId="1722" xr:uid="{00000000-0005-0000-0000-0000DB170000}"/>
    <cellStyle name="Normal 5 2 2 3 6 2" xfId="3952" xr:uid="{00000000-0005-0000-0000-0000DC170000}"/>
    <cellStyle name="Normal 5 2 2 3 6 2 2" xfId="8175" xr:uid="{00000000-0005-0000-0000-0000DD170000}"/>
    <cellStyle name="Normal 5 2 2 3 6 2 2 2" xfId="16617" xr:uid="{05A33E06-A226-42CC-95F2-0E1B5C276001}"/>
    <cellStyle name="Normal 5 2 2 3 6 2 3" xfId="12399" xr:uid="{52927541-3A1A-4628-98A1-BB6377AF44B3}"/>
    <cellStyle name="Normal 5 2 2 3 6 3" xfId="6030" xr:uid="{00000000-0005-0000-0000-0000DE170000}"/>
    <cellStyle name="Normal 5 2 2 3 6 3 2" xfId="14472" xr:uid="{13F9DA3A-9375-4448-B15E-66018D523C1A}"/>
    <cellStyle name="Normal 5 2 2 3 6 4" xfId="10254" xr:uid="{D7008CAD-5752-40BB-96EC-D415D26CCF2C}"/>
    <cellStyle name="Normal 5 2 2 3 7" xfId="2136" xr:uid="{00000000-0005-0000-0000-0000DF170000}"/>
    <cellStyle name="Normal 5 2 2 3 7 2" xfId="4365" xr:uid="{00000000-0005-0000-0000-0000E0170000}"/>
    <cellStyle name="Normal 5 2 2 3 7 2 2" xfId="8588" xr:uid="{00000000-0005-0000-0000-0000E1170000}"/>
    <cellStyle name="Normal 5 2 2 3 7 2 2 2" xfId="17030" xr:uid="{F4C0CFFD-CEA8-4C34-BEF8-5F90307F77EE}"/>
    <cellStyle name="Normal 5 2 2 3 7 2 3" xfId="12812" xr:uid="{2CAF2A19-FB4A-4BDA-94DE-03B2EBE6C6E1}"/>
    <cellStyle name="Normal 5 2 2 3 7 3" xfId="6443" xr:uid="{00000000-0005-0000-0000-0000E2170000}"/>
    <cellStyle name="Normal 5 2 2 3 7 3 2" xfId="14885" xr:uid="{C57C08CA-66CC-4651-BBB4-CFC365331C65}"/>
    <cellStyle name="Normal 5 2 2 3 7 4" xfId="10667" xr:uid="{A9D22AB4-C591-41B2-96E1-EBDD3FDB8B51}"/>
    <cellStyle name="Normal 5 2 2 3 8" xfId="2572" xr:uid="{00000000-0005-0000-0000-0000E3170000}"/>
    <cellStyle name="Normal 5 2 2 3 8 2" xfId="6856" xr:uid="{00000000-0005-0000-0000-0000E4170000}"/>
    <cellStyle name="Normal 5 2 2 3 8 2 2" xfId="15298" xr:uid="{5C02A7ED-2BA9-4903-A4F5-32B35782CE53}"/>
    <cellStyle name="Normal 5 2 2 3 8 3" xfId="11080" xr:uid="{1029B186-332B-4904-8FCA-518A8EE6DAAE}"/>
    <cellStyle name="Normal 5 2 2 3 9" xfId="4791" xr:uid="{00000000-0005-0000-0000-0000E5170000}"/>
    <cellStyle name="Normal 5 2 2 3 9 2" xfId="13233" xr:uid="{C9034B0D-7EB7-4EAC-9A21-CF8C0C5006B7}"/>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2 2 2" xfId="15796" xr:uid="{2CFC5160-E90F-4A99-A53D-11B2E5332D82}"/>
    <cellStyle name="Normal 5 2 2 4 2 2 2 3" xfId="11578" xr:uid="{B6BC67F7-4855-4C86-9FA1-D8FC06733635}"/>
    <cellStyle name="Normal 5 2 2 4 2 2 3" xfId="5209" xr:uid="{00000000-0005-0000-0000-0000EB170000}"/>
    <cellStyle name="Normal 5 2 2 4 2 2 3 2" xfId="13651" xr:uid="{25BD7EEB-6543-4B15-AE80-5E58FFD59A91}"/>
    <cellStyle name="Normal 5 2 2 4 2 2 4" xfId="9433" xr:uid="{62259329-B8B1-436F-B1F6-3D59B82A8207}"/>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2 2 2" xfId="16209" xr:uid="{EEC906C6-464E-4F24-A026-C5E495BBA45C}"/>
    <cellStyle name="Normal 5 2 2 4 2 3 2 3" xfId="11991" xr:uid="{4EBE5361-8624-4318-8EBF-8462D81EAE37}"/>
    <cellStyle name="Normal 5 2 2 4 2 3 3" xfId="5622" xr:uid="{00000000-0005-0000-0000-0000EF170000}"/>
    <cellStyle name="Normal 5 2 2 4 2 3 3 2" xfId="14064" xr:uid="{B4A49A8C-BB91-4332-83EA-0BAA3A3B6B07}"/>
    <cellStyle name="Normal 5 2 2 4 2 3 4" xfId="9846" xr:uid="{F6D9DF5A-158D-4E40-9EA0-969859FD3758}"/>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2 2 2" xfId="16622" xr:uid="{E94650CC-0C2B-48AA-9A45-85A7441CEB65}"/>
    <cellStyle name="Normal 5 2 2 4 2 4 2 3" xfId="12404" xr:uid="{44169226-83E2-4D5F-9725-4043830F362F}"/>
    <cellStyle name="Normal 5 2 2 4 2 4 3" xfId="6035" xr:uid="{00000000-0005-0000-0000-0000F3170000}"/>
    <cellStyle name="Normal 5 2 2 4 2 4 3 2" xfId="14477" xr:uid="{FA79739E-880C-4338-96B8-EE5D09BED6A7}"/>
    <cellStyle name="Normal 5 2 2 4 2 4 4" xfId="10259" xr:uid="{C8BC2329-7F6A-4E65-A39A-89729B978754}"/>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2 2 2" xfId="17035" xr:uid="{CAC3ED41-5EC1-4F89-96AA-8CE4931563D3}"/>
    <cellStyle name="Normal 5 2 2 4 2 5 2 3" xfId="12817" xr:uid="{6A3D5397-0A1A-45F6-99D7-142B560F1DF0}"/>
    <cellStyle name="Normal 5 2 2 4 2 5 3" xfId="6448" xr:uid="{00000000-0005-0000-0000-0000F7170000}"/>
    <cellStyle name="Normal 5 2 2 4 2 5 3 2" xfId="14890" xr:uid="{234A6E0E-851E-4168-A731-CB840947DE2F}"/>
    <cellStyle name="Normal 5 2 2 4 2 5 4" xfId="10672" xr:uid="{799249EB-8FBC-4CAB-A211-9864C979FF5B}"/>
    <cellStyle name="Normal 5 2 2 4 2 6" xfId="2577" xr:uid="{00000000-0005-0000-0000-0000F8170000}"/>
    <cellStyle name="Normal 5 2 2 4 2 6 2" xfId="6861" xr:uid="{00000000-0005-0000-0000-0000F9170000}"/>
    <cellStyle name="Normal 5 2 2 4 2 6 2 2" xfId="15303" xr:uid="{74B341EB-84E8-43B3-8837-D2E365BC295E}"/>
    <cellStyle name="Normal 5 2 2 4 2 6 3" xfId="11085" xr:uid="{9AD76375-1165-45F0-81D3-E350D4DD157C}"/>
    <cellStyle name="Normal 5 2 2 4 2 7" xfId="4796" xr:uid="{00000000-0005-0000-0000-0000FA170000}"/>
    <cellStyle name="Normal 5 2 2 4 2 7 2" xfId="13238" xr:uid="{1D701A82-D865-4EA7-8D01-98F6733A7784}"/>
    <cellStyle name="Normal 5 2 2 4 2 8" xfId="9020" xr:uid="{BC5A45EA-C42E-4DEC-96DE-88DFACD94B43}"/>
    <cellStyle name="Normal 5 2 2 4 3" xfId="895" xr:uid="{00000000-0005-0000-0000-0000FB170000}"/>
    <cellStyle name="Normal 5 2 2 4 3 2" xfId="3130" xr:uid="{00000000-0005-0000-0000-0000FC170000}"/>
    <cellStyle name="Normal 5 2 2 4 3 2 2" xfId="7353" xr:uid="{00000000-0005-0000-0000-0000FD170000}"/>
    <cellStyle name="Normal 5 2 2 4 3 2 2 2" xfId="15795" xr:uid="{6E6C6262-710B-4D1C-A3E1-E0BC01DE5FA9}"/>
    <cellStyle name="Normal 5 2 2 4 3 2 3" xfId="11577" xr:uid="{84BD3482-97EA-48F6-AD2B-EF1E478E64B3}"/>
    <cellStyle name="Normal 5 2 2 4 3 3" xfId="5208" xr:uid="{00000000-0005-0000-0000-0000FE170000}"/>
    <cellStyle name="Normal 5 2 2 4 3 3 2" xfId="13650" xr:uid="{83CE3FC3-B895-47FB-872E-BE0142037F43}"/>
    <cellStyle name="Normal 5 2 2 4 3 4" xfId="9432" xr:uid="{BCE34160-29E6-4A52-8C06-D1C29D1BDAD7}"/>
    <cellStyle name="Normal 5 2 2 4 4" xfId="1313" xr:uid="{00000000-0005-0000-0000-0000FF170000}"/>
    <cellStyle name="Normal 5 2 2 4 4 2" xfId="3543" xr:uid="{00000000-0005-0000-0000-000000180000}"/>
    <cellStyle name="Normal 5 2 2 4 4 2 2" xfId="7766" xr:uid="{00000000-0005-0000-0000-000001180000}"/>
    <cellStyle name="Normal 5 2 2 4 4 2 2 2" xfId="16208" xr:uid="{DB329517-4BE4-4DF8-8207-8E5EF29B1EA9}"/>
    <cellStyle name="Normal 5 2 2 4 4 2 3" xfId="11990" xr:uid="{F18C6BC4-D79A-42D9-8991-348AFBD81B64}"/>
    <cellStyle name="Normal 5 2 2 4 4 3" xfId="5621" xr:uid="{00000000-0005-0000-0000-000002180000}"/>
    <cellStyle name="Normal 5 2 2 4 4 3 2" xfId="14063" xr:uid="{242FC5FE-DF4D-4D92-B3BB-9F91D4BC22DB}"/>
    <cellStyle name="Normal 5 2 2 4 4 4" xfId="9845" xr:uid="{46245E6D-2AB2-476F-A981-3C27E33F2BAC}"/>
    <cellStyle name="Normal 5 2 2 4 5" xfId="1726" xr:uid="{00000000-0005-0000-0000-000003180000}"/>
    <cellStyle name="Normal 5 2 2 4 5 2" xfId="3956" xr:uid="{00000000-0005-0000-0000-000004180000}"/>
    <cellStyle name="Normal 5 2 2 4 5 2 2" xfId="8179" xr:uid="{00000000-0005-0000-0000-000005180000}"/>
    <cellStyle name="Normal 5 2 2 4 5 2 2 2" xfId="16621" xr:uid="{8E521323-7ECE-402E-BDBB-04A112DCF556}"/>
    <cellStyle name="Normal 5 2 2 4 5 2 3" xfId="12403" xr:uid="{AF20FEDF-196B-402B-9228-CA676BECAFD2}"/>
    <cellStyle name="Normal 5 2 2 4 5 3" xfId="6034" xr:uid="{00000000-0005-0000-0000-000006180000}"/>
    <cellStyle name="Normal 5 2 2 4 5 3 2" xfId="14476" xr:uid="{DD45EC0A-0257-43D8-8B28-EF167CEC2E92}"/>
    <cellStyle name="Normal 5 2 2 4 5 4" xfId="10258" xr:uid="{856C5C4F-BDD3-40E3-9144-C7328B8BD3E2}"/>
    <cellStyle name="Normal 5 2 2 4 6" xfId="2140" xr:uid="{00000000-0005-0000-0000-000007180000}"/>
    <cellStyle name="Normal 5 2 2 4 6 2" xfId="4369" xr:uid="{00000000-0005-0000-0000-000008180000}"/>
    <cellStyle name="Normal 5 2 2 4 6 2 2" xfId="8592" xr:uid="{00000000-0005-0000-0000-000009180000}"/>
    <cellStyle name="Normal 5 2 2 4 6 2 2 2" xfId="17034" xr:uid="{2570F410-105D-4DEC-9C8A-3C51400AB63B}"/>
    <cellStyle name="Normal 5 2 2 4 6 2 3" xfId="12816" xr:uid="{56DFC37E-CCDA-4E21-9DD1-401DAAD11D70}"/>
    <cellStyle name="Normal 5 2 2 4 6 3" xfId="6447" xr:uid="{00000000-0005-0000-0000-00000A180000}"/>
    <cellStyle name="Normal 5 2 2 4 6 3 2" xfId="14889" xr:uid="{B22FA757-24F2-4333-9EE5-F0C9FF9285F2}"/>
    <cellStyle name="Normal 5 2 2 4 6 4" xfId="10671" xr:uid="{5567A174-B3F5-489F-88DB-455885769E3C}"/>
    <cellStyle name="Normal 5 2 2 4 7" xfId="2576" xr:uid="{00000000-0005-0000-0000-00000B180000}"/>
    <cellStyle name="Normal 5 2 2 4 7 2" xfId="6860" xr:uid="{00000000-0005-0000-0000-00000C180000}"/>
    <cellStyle name="Normal 5 2 2 4 7 2 2" xfId="15302" xr:uid="{E60DDA91-2179-4722-9EE6-C852B8C3EA2C}"/>
    <cellStyle name="Normal 5 2 2 4 7 3" xfId="11084" xr:uid="{76E2C591-F24F-46E6-A258-66219E016298}"/>
    <cellStyle name="Normal 5 2 2 4 8" xfId="4795" xr:uid="{00000000-0005-0000-0000-00000D180000}"/>
    <cellStyle name="Normal 5 2 2 4 8 2" xfId="13237" xr:uid="{32A009FA-957C-4289-B065-AA27C5E26A28}"/>
    <cellStyle name="Normal 5 2 2 4 9" xfId="9019" xr:uid="{C4C51694-5B6B-41D7-81F8-9F0F97E5ACCF}"/>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2 2 2" xfId="15797" xr:uid="{E2AE3400-B56E-4B2F-A9F2-1793B33A690C}"/>
    <cellStyle name="Normal 5 2 2 5 2 2 3" xfId="11579" xr:uid="{7C8A004E-D017-44C3-A501-7DD3FCA9AC90}"/>
    <cellStyle name="Normal 5 2 2 5 2 3" xfId="5210" xr:uid="{00000000-0005-0000-0000-000012180000}"/>
    <cellStyle name="Normal 5 2 2 5 2 3 2" xfId="13652" xr:uid="{379FA397-576A-4B2B-8576-B1E8563C211E}"/>
    <cellStyle name="Normal 5 2 2 5 2 4" xfId="9434" xr:uid="{4DA58632-CD03-486D-84F8-404041AE6745}"/>
    <cellStyle name="Normal 5 2 2 5 3" xfId="1315" xr:uid="{00000000-0005-0000-0000-000013180000}"/>
    <cellStyle name="Normal 5 2 2 5 3 2" xfId="3545" xr:uid="{00000000-0005-0000-0000-000014180000}"/>
    <cellStyle name="Normal 5 2 2 5 3 2 2" xfId="7768" xr:uid="{00000000-0005-0000-0000-000015180000}"/>
    <cellStyle name="Normal 5 2 2 5 3 2 2 2" xfId="16210" xr:uid="{F3C3DB1A-E719-45D9-A80F-B5F0ABB21DA8}"/>
    <cellStyle name="Normal 5 2 2 5 3 2 3" xfId="11992" xr:uid="{E41417FE-9E2B-4944-8E30-735344A95C6D}"/>
    <cellStyle name="Normal 5 2 2 5 3 3" xfId="5623" xr:uid="{00000000-0005-0000-0000-000016180000}"/>
    <cellStyle name="Normal 5 2 2 5 3 3 2" xfId="14065" xr:uid="{DB788FF9-959D-4E72-ACD1-8A19A3ABCE8B}"/>
    <cellStyle name="Normal 5 2 2 5 3 4" xfId="9847" xr:uid="{E4BFEE92-C16E-4460-BC31-318C87037E88}"/>
    <cellStyle name="Normal 5 2 2 5 4" xfId="1728" xr:uid="{00000000-0005-0000-0000-000017180000}"/>
    <cellStyle name="Normal 5 2 2 5 4 2" xfId="3958" xr:uid="{00000000-0005-0000-0000-000018180000}"/>
    <cellStyle name="Normal 5 2 2 5 4 2 2" xfId="8181" xr:uid="{00000000-0005-0000-0000-000019180000}"/>
    <cellStyle name="Normal 5 2 2 5 4 2 2 2" xfId="16623" xr:uid="{25746E6B-9D3F-4BB0-A05E-690888F4FCDB}"/>
    <cellStyle name="Normal 5 2 2 5 4 2 3" xfId="12405" xr:uid="{DA61B8D1-CE4B-4C78-AFDC-122B81ECE4E6}"/>
    <cellStyle name="Normal 5 2 2 5 4 3" xfId="6036" xr:uid="{00000000-0005-0000-0000-00001A180000}"/>
    <cellStyle name="Normal 5 2 2 5 4 3 2" xfId="14478" xr:uid="{BF0433FE-148B-4F51-933A-350DBC08F5D0}"/>
    <cellStyle name="Normal 5 2 2 5 4 4" xfId="10260" xr:uid="{6D38539E-7765-4941-8D39-57EEC9ADC458}"/>
    <cellStyle name="Normal 5 2 2 5 5" xfId="2142" xr:uid="{00000000-0005-0000-0000-00001B180000}"/>
    <cellStyle name="Normal 5 2 2 5 5 2" xfId="4371" xr:uid="{00000000-0005-0000-0000-00001C180000}"/>
    <cellStyle name="Normal 5 2 2 5 5 2 2" xfId="8594" xr:uid="{00000000-0005-0000-0000-00001D180000}"/>
    <cellStyle name="Normal 5 2 2 5 5 2 2 2" xfId="17036" xr:uid="{B923D2B2-3B71-41C2-A497-F34F4DEABC42}"/>
    <cellStyle name="Normal 5 2 2 5 5 2 3" xfId="12818" xr:uid="{AD1F8AB6-B827-4B4D-B8FD-629F2671A019}"/>
    <cellStyle name="Normal 5 2 2 5 5 3" xfId="6449" xr:uid="{00000000-0005-0000-0000-00001E180000}"/>
    <cellStyle name="Normal 5 2 2 5 5 3 2" xfId="14891" xr:uid="{999753CE-86FA-4D37-A8F6-582BECD90DAC}"/>
    <cellStyle name="Normal 5 2 2 5 5 4" xfId="10673" xr:uid="{369706D9-2D90-4D2B-8D74-B89D8925D53D}"/>
    <cellStyle name="Normal 5 2 2 5 6" xfId="2578" xr:uid="{00000000-0005-0000-0000-00001F180000}"/>
    <cellStyle name="Normal 5 2 2 5 6 2" xfId="6862" xr:uid="{00000000-0005-0000-0000-000020180000}"/>
    <cellStyle name="Normal 5 2 2 5 6 2 2" xfId="15304" xr:uid="{62344AA7-580C-41EA-8483-D2C988D84BF0}"/>
    <cellStyle name="Normal 5 2 2 5 6 3" xfId="11086" xr:uid="{3B9DC239-4299-4210-B93E-8E592E3040D4}"/>
    <cellStyle name="Normal 5 2 2 5 7" xfId="4797" xr:uid="{00000000-0005-0000-0000-000021180000}"/>
    <cellStyle name="Normal 5 2 2 5 7 2" xfId="13239" xr:uid="{D0478A5D-CC85-4916-9D8A-8B77106EDB59}"/>
    <cellStyle name="Normal 5 2 2 5 8" xfId="9021" xr:uid="{B770011F-9437-47C9-B2C7-A268D0FAA51A}"/>
    <cellStyle name="Normal 5 2 2 6" xfId="882" xr:uid="{00000000-0005-0000-0000-000022180000}"/>
    <cellStyle name="Normal 5 2 2 6 2" xfId="3117" xr:uid="{00000000-0005-0000-0000-000023180000}"/>
    <cellStyle name="Normal 5 2 2 6 2 2" xfId="7340" xr:uid="{00000000-0005-0000-0000-000024180000}"/>
    <cellStyle name="Normal 5 2 2 6 2 2 2" xfId="15782" xr:uid="{ADB9B270-B2A8-468A-837E-0ED739BE8F16}"/>
    <cellStyle name="Normal 5 2 2 6 2 3" xfId="11564" xr:uid="{D0D448FA-625E-4B1C-A75F-A198A07440CE}"/>
    <cellStyle name="Normal 5 2 2 6 3" xfId="5195" xr:uid="{00000000-0005-0000-0000-000025180000}"/>
    <cellStyle name="Normal 5 2 2 6 3 2" xfId="13637" xr:uid="{439669F4-6BA2-46E9-86F2-CA52E21608EF}"/>
    <cellStyle name="Normal 5 2 2 6 4" xfId="9419" xr:uid="{4D83A1A4-6F3C-41C7-B7AD-C71766C6F63F}"/>
    <cellStyle name="Normal 5 2 2 7" xfId="1300" xr:uid="{00000000-0005-0000-0000-000026180000}"/>
    <cellStyle name="Normal 5 2 2 7 2" xfId="3530" xr:uid="{00000000-0005-0000-0000-000027180000}"/>
    <cellStyle name="Normal 5 2 2 7 2 2" xfId="7753" xr:uid="{00000000-0005-0000-0000-000028180000}"/>
    <cellStyle name="Normal 5 2 2 7 2 2 2" xfId="16195" xr:uid="{CA986ECF-CDED-40AE-AD10-710A9198BEF3}"/>
    <cellStyle name="Normal 5 2 2 7 2 3" xfId="11977" xr:uid="{25B8BBD7-ED37-4813-804C-E2C98C5D6678}"/>
    <cellStyle name="Normal 5 2 2 7 3" xfId="5608" xr:uid="{00000000-0005-0000-0000-000029180000}"/>
    <cellStyle name="Normal 5 2 2 7 3 2" xfId="14050" xr:uid="{9FE41336-3E36-4774-BAEF-6DC68357B639}"/>
    <cellStyle name="Normal 5 2 2 7 4" xfId="9832" xr:uid="{8FFE161B-2482-4441-9F56-24175EAB7718}"/>
    <cellStyle name="Normal 5 2 2 8" xfId="1713" xr:uid="{00000000-0005-0000-0000-00002A180000}"/>
    <cellStyle name="Normal 5 2 2 8 2" xfId="3943" xr:uid="{00000000-0005-0000-0000-00002B180000}"/>
    <cellStyle name="Normal 5 2 2 8 2 2" xfId="8166" xr:uid="{00000000-0005-0000-0000-00002C180000}"/>
    <cellStyle name="Normal 5 2 2 8 2 2 2" xfId="16608" xr:uid="{71CAAD10-072B-4A61-A735-A091FFB5294D}"/>
    <cellStyle name="Normal 5 2 2 8 2 3" xfId="12390" xr:uid="{705DA47A-2A10-40E7-ABB2-3C9BDA959840}"/>
    <cellStyle name="Normal 5 2 2 8 3" xfId="6021" xr:uid="{00000000-0005-0000-0000-00002D180000}"/>
    <cellStyle name="Normal 5 2 2 8 3 2" xfId="14463" xr:uid="{6F1828E3-683D-40E5-B640-EC544676DCA4}"/>
    <cellStyle name="Normal 5 2 2 8 4" xfId="10245" xr:uid="{A4142EC1-3327-4D8A-AB20-329B76EA7AE0}"/>
    <cellStyle name="Normal 5 2 2 9" xfId="2127" xr:uid="{00000000-0005-0000-0000-00002E180000}"/>
    <cellStyle name="Normal 5 2 2 9 2" xfId="4356" xr:uid="{00000000-0005-0000-0000-00002F180000}"/>
    <cellStyle name="Normal 5 2 2 9 2 2" xfId="8579" xr:uid="{00000000-0005-0000-0000-000030180000}"/>
    <cellStyle name="Normal 5 2 2 9 2 2 2" xfId="17021" xr:uid="{82CFB24D-A503-49B6-BA8D-1E60666C17B6}"/>
    <cellStyle name="Normal 5 2 2 9 2 3" xfId="12803" xr:uid="{7C17E934-90DE-4479-A3C1-97053B835E5D}"/>
    <cellStyle name="Normal 5 2 2 9 3" xfId="6434" xr:uid="{00000000-0005-0000-0000-000031180000}"/>
    <cellStyle name="Normal 5 2 2 9 3 2" xfId="14876" xr:uid="{F1C1B699-BF89-48A0-AA2B-101EBBE9D776}"/>
    <cellStyle name="Normal 5 2 2 9 4" xfId="10658" xr:uid="{5F1D6589-3933-4804-B6FB-9702809726E1}"/>
    <cellStyle name="Normal 5 2 3" xfId="424" xr:uid="{00000000-0005-0000-0000-000032180000}"/>
    <cellStyle name="Normal 5 2 3 10" xfId="4798" xr:uid="{00000000-0005-0000-0000-000033180000}"/>
    <cellStyle name="Normal 5 2 3 10 2" xfId="13240" xr:uid="{1D0F8E7A-308D-4F46-8F1F-78C93F75DAC7}"/>
    <cellStyle name="Normal 5 2 3 11" xfId="9022" xr:uid="{790ABA10-29FF-4F64-8A57-4D46CC0CD33C}"/>
    <cellStyle name="Normal 5 2 3 2" xfId="425" xr:uid="{00000000-0005-0000-0000-000034180000}"/>
    <cellStyle name="Normal 5 2 3 2 10" xfId="9023" xr:uid="{14EC39A0-F53A-4202-BBA3-97A5904006CD}"/>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2 2 2" xfId="15801" xr:uid="{7AD94044-3C94-4D95-9E4F-4F014F533551}"/>
    <cellStyle name="Normal 5 2 3 2 2 2 2 2 3" xfId="11583" xr:uid="{5943837B-84F9-470F-9B9D-CBF9DD6DBD0C}"/>
    <cellStyle name="Normal 5 2 3 2 2 2 2 3" xfId="5214" xr:uid="{00000000-0005-0000-0000-00003A180000}"/>
    <cellStyle name="Normal 5 2 3 2 2 2 2 3 2" xfId="13656" xr:uid="{33A7DFEA-BF6E-40A2-A92B-A313263C06B7}"/>
    <cellStyle name="Normal 5 2 3 2 2 2 2 4" xfId="9438" xr:uid="{02FA6671-D2B2-4B0A-9DE9-8A14B0C576DE}"/>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2 2 2" xfId="16214" xr:uid="{383AD926-7222-4CE1-88B6-172643089576}"/>
    <cellStyle name="Normal 5 2 3 2 2 2 3 2 3" xfId="11996" xr:uid="{3D49D67A-DADC-43A7-9C47-5707B0082B88}"/>
    <cellStyle name="Normal 5 2 3 2 2 2 3 3" xfId="5627" xr:uid="{00000000-0005-0000-0000-00003E180000}"/>
    <cellStyle name="Normal 5 2 3 2 2 2 3 3 2" xfId="14069" xr:uid="{DB92422E-F00E-40FD-9F7F-D4AABE24536F}"/>
    <cellStyle name="Normal 5 2 3 2 2 2 3 4" xfId="9851" xr:uid="{D005945F-790E-42A4-B13F-06D825319AC9}"/>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2 2 2" xfId="16627" xr:uid="{5D72E116-39D4-41E4-916C-F502F8AEBE0D}"/>
    <cellStyle name="Normal 5 2 3 2 2 2 4 2 3" xfId="12409" xr:uid="{D4DEEC36-53E0-4E5F-956A-F7B85CF40995}"/>
    <cellStyle name="Normal 5 2 3 2 2 2 4 3" xfId="6040" xr:uid="{00000000-0005-0000-0000-000042180000}"/>
    <cellStyle name="Normal 5 2 3 2 2 2 4 3 2" xfId="14482" xr:uid="{2E040A5D-C652-493D-B6AE-E3E82B1D163A}"/>
    <cellStyle name="Normal 5 2 3 2 2 2 4 4" xfId="10264" xr:uid="{F223AF51-AE7C-41CC-973E-F8CD37A535D8}"/>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2 2 2" xfId="17040" xr:uid="{90240D33-13E5-4EE6-A876-C4791C2153E9}"/>
    <cellStyle name="Normal 5 2 3 2 2 2 5 2 3" xfId="12822" xr:uid="{9E80BEDD-178B-45DC-9DA6-A9873F8982FC}"/>
    <cellStyle name="Normal 5 2 3 2 2 2 5 3" xfId="6453" xr:uid="{00000000-0005-0000-0000-000046180000}"/>
    <cellStyle name="Normal 5 2 3 2 2 2 5 3 2" xfId="14895" xr:uid="{44567E19-4157-4A4C-AC68-E2B1FB985326}"/>
    <cellStyle name="Normal 5 2 3 2 2 2 5 4" xfId="10677" xr:uid="{C6FB4DD0-C018-47E3-86AB-FDCB1F4ACF39}"/>
    <cellStyle name="Normal 5 2 3 2 2 2 6" xfId="2582" xr:uid="{00000000-0005-0000-0000-000047180000}"/>
    <cellStyle name="Normal 5 2 3 2 2 2 6 2" xfId="6866" xr:uid="{00000000-0005-0000-0000-000048180000}"/>
    <cellStyle name="Normal 5 2 3 2 2 2 6 2 2" xfId="15308" xr:uid="{F8EFFE87-2DEF-4FB3-B77E-1AC2A7F92494}"/>
    <cellStyle name="Normal 5 2 3 2 2 2 6 3" xfId="11090" xr:uid="{A59E9AD7-D64F-4FD9-B7F6-8013B8AE1A0B}"/>
    <cellStyle name="Normal 5 2 3 2 2 2 7" xfId="4801" xr:uid="{00000000-0005-0000-0000-000049180000}"/>
    <cellStyle name="Normal 5 2 3 2 2 2 7 2" xfId="13243" xr:uid="{FC991B05-6A6D-441B-9FBE-A7BE1357F020}"/>
    <cellStyle name="Normal 5 2 3 2 2 2 8" xfId="9025" xr:uid="{474060A4-2843-435C-A632-575D871F6757}"/>
    <cellStyle name="Normal 5 2 3 2 2 3" xfId="900" xr:uid="{00000000-0005-0000-0000-00004A180000}"/>
    <cellStyle name="Normal 5 2 3 2 2 3 2" xfId="3135" xr:uid="{00000000-0005-0000-0000-00004B180000}"/>
    <cellStyle name="Normal 5 2 3 2 2 3 2 2" xfId="7358" xr:uid="{00000000-0005-0000-0000-00004C180000}"/>
    <cellStyle name="Normal 5 2 3 2 2 3 2 2 2" xfId="15800" xr:uid="{6CC38B37-6318-4228-B0BF-1F687F63944C}"/>
    <cellStyle name="Normal 5 2 3 2 2 3 2 3" xfId="11582" xr:uid="{DD4BCF22-DBB3-4A85-A704-0E31A938DE43}"/>
    <cellStyle name="Normal 5 2 3 2 2 3 3" xfId="5213" xr:uid="{00000000-0005-0000-0000-00004D180000}"/>
    <cellStyle name="Normal 5 2 3 2 2 3 3 2" xfId="13655" xr:uid="{F2BCFD9D-D9A9-4502-8A64-013B53C07183}"/>
    <cellStyle name="Normal 5 2 3 2 2 3 4" xfId="9437" xr:uid="{EE8D06AC-D8B1-4AC9-A805-961090618055}"/>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2 2 2" xfId="16213" xr:uid="{836D099F-6D98-4782-B0E3-037864F2A371}"/>
    <cellStyle name="Normal 5 2 3 2 2 4 2 3" xfId="11995" xr:uid="{6134043F-CEE2-46DE-BFB6-5DA5DCC938BA}"/>
    <cellStyle name="Normal 5 2 3 2 2 4 3" xfId="5626" xr:uid="{00000000-0005-0000-0000-000051180000}"/>
    <cellStyle name="Normal 5 2 3 2 2 4 3 2" xfId="14068" xr:uid="{D9AA6C66-E2B1-4FD3-BB53-B754A32F69A7}"/>
    <cellStyle name="Normal 5 2 3 2 2 4 4" xfId="9850" xr:uid="{064CF2EA-C185-44BA-81BD-1750A181F3E8}"/>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2 2 2" xfId="16626" xr:uid="{C4E1B92C-B637-4A4A-A1B9-3F51A4B11C34}"/>
    <cellStyle name="Normal 5 2 3 2 2 5 2 3" xfId="12408" xr:uid="{00A4DD0F-610A-4C48-B9E2-5F741C98D438}"/>
    <cellStyle name="Normal 5 2 3 2 2 5 3" xfId="6039" xr:uid="{00000000-0005-0000-0000-000055180000}"/>
    <cellStyle name="Normal 5 2 3 2 2 5 3 2" xfId="14481" xr:uid="{448E8749-D44F-4727-A24C-CB58AEB43C64}"/>
    <cellStyle name="Normal 5 2 3 2 2 5 4" xfId="10263" xr:uid="{383B5ACB-73F0-4487-AB84-8DAF8473A7F4}"/>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2 2 2" xfId="17039" xr:uid="{BC5A1653-C00B-47CD-8E8B-555270D7EF70}"/>
    <cellStyle name="Normal 5 2 3 2 2 6 2 3" xfId="12821" xr:uid="{0D886B1C-5CB8-41DB-AFA0-07F45668945A}"/>
    <cellStyle name="Normal 5 2 3 2 2 6 3" xfId="6452" xr:uid="{00000000-0005-0000-0000-000059180000}"/>
    <cellStyle name="Normal 5 2 3 2 2 6 3 2" xfId="14894" xr:uid="{25870189-1D9D-4041-B785-CF374711170A}"/>
    <cellStyle name="Normal 5 2 3 2 2 6 4" xfId="10676" xr:uid="{B5EDEC38-0E47-4807-A8A3-BBB06B05D5D8}"/>
    <cellStyle name="Normal 5 2 3 2 2 7" xfId="2581" xr:uid="{00000000-0005-0000-0000-00005A180000}"/>
    <cellStyle name="Normal 5 2 3 2 2 7 2" xfId="6865" xr:uid="{00000000-0005-0000-0000-00005B180000}"/>
    <cellStyle name="Normal 5 2 3 2 2 7 2 2" xfId="15307" xr:uid="{EC79F348-57D4-4378-914C-1F18F7ABC9F6}"/>
    <cellStyle name="Normal 5 2 3 2 2 7 3" xfId="11089" xr:uid="{97340C9F-9C32-4484-8B8B-4F9533EAA418}"/>
    <cellStyle name="Normal 5 2 3 2 2 8" xfId="4800" xr:uid="{00000000-0005-0000-0000-00005C180000}"/>
    <cellStyle name="Normal 5 2 3 2 2 8 2" xfId="13242" xr:uid="{6A95F9A4-4D63-49EC-A87E-BE002EAFD8D5}"/>
    <cellStyle name="Normal 5 2 3 2 2 9" xfId="9024" xr:uid="{C2ED6772-C0BB-4443-AE88-6CF4DD6DDEBF}"/>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2 2 2" xfId="15802" xr:uid="{82BDA485-9EF6-4201-AEBC-2B838870C2F3}"/>
    <cellStyle name="Normal 5 2 3 2 3 2 2 3" xfId="11584" xr:uid="{53A23E97-0ABF-45C6-9757-34A14F71A2E0}"/>
    <cellStyle name="Normal 5 2 3 2 3 2 3" xfId="5215" xr:uid="{00000000-0005-0000-0000-000061180000}"/>
    <cellStyle name="Normal 5 2 3 2 3 2 3 2" xfId="13657" xr:uid="{9E3EBBA0-8B5D-4571-AA4D-2BD1A36EB843}"/>
    <cellStyle name="Normal 5 2 3 2 3 2 4" xfId="9439" xr:uid="{1E45B36D-FC9F-4CCC-A685-8FDB7614ED47}"/>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2 2 2" xfId="16215" xr:uid="{2869F830-B743-4B3C-A469-DDE5060EF781}"/>
    <cellStyle name="Normal 5 2 3 2 3 3 2 3" xfId="11997" xr:uid="{28C09A26-BE9F-4A6A-8CB4-5BF896D4E1A7}"/>
    <cellStyle name="Normal 5 2 3 2 3 3 3" xfId="5628" xr:uid="{00000000-0005-0000-0000-000065180000}"/>
    <cellStyle name="Normal 5 2 3 2 3 3 3 2" xfId="14070" xr:uid="{9B03B4EF-8D59-461C-9628-C2358B0FBA85}"/>
    <cellStyle name="Normal 5 2 3 2 3 3 4" xfId="9852" xr:uid="{86A4D47D-DADC-4D02-BD7A-24E931A90F96}"/>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2 2 2" xfId="16628" xr:uid="{4C9D9DDE-E6BB-4544-8D23-8CE994D8755E}"/>
    <cellStyle name="Normal 5 2 3 2 3 4 2 3" xfId="12410" xr:uid="{E47B2EB7-0CB5-4512-84BC-75E7A890846F}"/>
    <cellStyle name="Normal 5 2 3 2 3 4 3" xfId="6041" xr:uid="{00000000-0005-0000-0000-000069180000}"/>
    <cellStyle name="Normal 5 2 3 2 3 4 3 2" xfId="14483" xr:uid="{96A8BCA6-9B95-4F6D-82BE-6815D6FA1BB7}"/>
    <cellStyle name="Normal 5 2 3 2 3 4 4" xfId="10265" xr:uid="{EC4A774C-9CFB-4CC8-958C-3E5A2D051FF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2 2 2" xfId="17041" xr:uid="{BAE07B68-AEBC-4ADA-95D4-7A64458EC890}"/>
    <cellStyle name="Normal 5 2 3 2 3 5 2 3" xfId="12823" xr:uid="{FB674CDC-082D-4060-917F-7D41F8010221}"/>
    <cellStyle name="Normal 5 2 3 2 3 5 3" xfId="6454" xr:uid="{00000000-0005-0000-0000-00006D180000}"/>
    <cellStyle name="Normal 5 2 3 2 3 5 3 2" xfId="14896" xr:uid="{C09AE7BE-430F-4AD5-868F-B16F9EF5560D}"/>
    <cellStyle name="Normal 5 2 3 2 3 5 4" xfId="10678" xr:uid="{E02B1C2B-E846-45CD-94B6-B645109DAF55}"/>
    <cellStyle name="Normal 5 2 3 2 3 6" xfId="2583" xr:uid="{00000000-0005-0000-0000-00006E180000}"/>
    <cellStyle name="Normal 5 2 3 2 3 6 2" xfId="6867" xr:uid="{00000000-0005-0000-0000-00006F180000}"/>
    <cellStyle name="Normal 5 2 3 2 3 6 2 2" xfId="15309" xr:uid="{308E0315-EF57-46E6-9F9C-40FB9DBF2B93}"/>
    <cellStyle name="Normal 5 2 3 2 3 6 3" xfId="11091" xr:uid="{E66F1782-07CF-4794-B621-5DC2BBB8CF68}"/>
    <cellStyle name="Normal 5 2 3 2 3 7" xfId="4802" xr:uid="{00000000-0005-0000-0000-000070180000}"/>
    <cellStyle name="Normal 5 2 3 2 3 7 2" xfId="13244" xr:uid="{97738212-B01D-4673-BAF1-42E64BD64743}"/>
    <cellStyle name="Normal 5 2 3 2 3 8" xfId="9026" xr:uid="{3D258824-86B7-453A-BAB1-2C8D1EB1A0C3}"/>
    <cellStyle name="Normal 5 2 3 2 4" xfId="899" xr:uid="{00000000-0005-0000-0000-000071180000}"/>
    <cellStyle name="Normal 5 2 3 2 4 2" xfId="3134" xr:uid="{00000000-0005-0000-0000-000072180000}"/>
    <cellStyle name="Normal 5 2 3 2 4 2 2" xfId="7357" xr:uid="{00000000-0005-0000-0000-000073180000}"/>
    <cellStyle name="Normal 5 2 3 2 4 2 2 2" xfId="15799" xr:uid="{C99D2685-112A-4F94-A78B-D3B77EFA8ABC}"/>
    <cellStyle name="Normal 5 2 3 2 4 2 3" xfId="11581" xr:uid="{BEF79D4A-6B55-4B45-AE4E-E71A31CBFA70}"/>
    <cellStyle name="Normal 5 2 3 2 4 3" xfId="5212" xr:uid="{00000000-0005-0000-0000-000074180000}"/>
    <cellStyle name="Normal 5 2 3 2 4 3 2" xfId="13654" xr:uid="{40926BA5-8B13-4B59-86E9-AD1628AA53AD}"/>
    <cellStyle name="Normal 5 2 3 2 4 4" xfId="9436" xr:uid="{4C3557A0-A6CE-4CE6-AE7C-E3ACE50CCB4A}"/>
    <cellStyle name="Normal 5 2 3 2 5" xfId="1317" xr:uid="{00000000-0005-0000-0000-000075180000}"/>
    <cellStyle name="Normal 5 2 3 2 5 2" xfId="3547" xr:uid="{00000000-0005-0000-0000-000076180000}"/>
    <cellStyle name="Normal 5 2 3 2 5 2 2" xfId="7770" xr:uid="{00000000-0005-0000-0000-000077180000}"/>
    <cellStyle name="Normal 5 2 3 2 5 2 2 2" xfId="16212" xr:uid="{FD10A123-3A8C-48AB-A474-7A9A0530A494}"/>
    <cellStyle name="Normal 5 2 3 2 5 2 3" xfId="11994" xr:uid="{1FB01DEE-261C-43BD-88AA-8C691957BD24}"/>
    <cellStyle name="Normal 5 2 3 2 5 3" xfId="5625" xr:uid="{00000000-0005-0000-0000-000078180000}"/>
    <cellStyle name="Normal 5 2 3 2 5 3 2" xfId="14067" xr:uid="{F99F8DA8-2A54-4A04-BE7E-DDE506FC7210}"/>
    <cellStyle name="Normal 5 2 3 2 5 4" xfId="9849" xr:uid="{0A87256D-080E-4A93-B55D-A1F71F67BDFA}"/>
    <cellStyle name="Normal 5 2 3 2 6" xfId="1730" xr:uid="{00000000-0005-0000-0000-000079180000}"/>
    <cellStyle name="Normal 5 2 3 2 6 2" xfId="3960" xr:uid="{00000000-0005-0000-0000-00007A180000}"/>
    <cellStyle name="Normal 5 2 3 2 6 2 2" xfId="8183" xr:uid="{00000000-0005-0000-0000-00007B180000}"/>
    <cellStyle name="Normal 5 2 3 2 6 2 2 2" xfId="16625" xr:uid="{D53B8AC1-D86F-432D-AF3F-1D8F519F4D42}"/>
    <cellStyle name="Normal 5 2 3 2 6 2 3" xfId="12407" xr:uid="{A4ECC8A4-8AEF-4986-B1AA-2FA95E805991}"/>
    <cellStyle name="Normal 5 2 3 2 6 3" xfId="6038" xr:uid="{00000000-0005-0000-0000-00007C180000}"/>
    <cellStyle name="Normal 5 2 3 2 6 3 2" xfId="14480" xr:uid="{777F5891-83D1-4EDF-B849-41A819C9E7C4}"/>
    <cellStyle name="Normal 5 2 3 2 6 4" xfId="10262" xr:uid="{2A28D2D8-A6EA-4886-B1E0-AC202EE5BCA6}"/>
    <cellStyle name="Normal 5 2 3 2 7" xfId="2144" xr:uid="{00000000-0005-0000-0000-00007D180000}"/>
    <cellStyle name="Normal 5 2 3 2 7 2" xfId="4373" xr:uid="{00000000-0005-0000-0000-00007E180000}"/>
    <cellStyle name="Normal 5 2 3 2 7 2 2" xfId="8596" xr:uid="{00000000-0005-0000-0000-00007F180000}"/>
    <cellStyle name="Normal 5 2 3 2 7 2 2 2" xfId="17038" xr:uid="{854C66D7-67F8-48A8-9C2D-7530DC525D69}"/>
    <cellStyle name="Normal 5 2 3 2 7 2 3" xfId="12820" xr:uid="{69361EE8-FE48-465C-85F7-4A27115A8205}"/>
    <cellStyle name="Normal 5 2 3 2 7 3" xfId="6451" xr:uid="{00000000-0005-0000-0000-000080180000}"/>
    <cellStyle name="Normal 5 2 3 2 7 3 2" xfId="14893" xr:uid="{DFD41683-363B-44DB-B33A-6AB49014050F}"/>
    <cellStyle name="Normal 5 2 3 2 7 4" xfId="10675" xr:uid="{AB94855E-F680-482C-859F-F33F944688B0}"/>
    <cellStyle name="Normal 5 2 3 2 8" xfId="2580" xr:uid="{00000000-0005-0000-0000-000081180000}"/>
    <cellStyle name="Normal 5 2 3 2 8 2" xfId="6864" xr:uid="{00000000-0005-0000-0000-000082180000}"/>
    <cellStyle name="Normal 5 2 3 2 8 2 2" xfId="15306" xr:uid="{1A1B021A-804B-4B1F-A23D-790746EB91D5}"/>
    <cellStyle name="Normal 5 2 3 2 8 3" xfId="11088" xr:uid="{3D34BEC4-5E9F-4035-B82E-3D26A86946F1}"/>
    <cellStyle name="Normal 5 2 3 2 9" xfId="4799" xr:uid="{00000000-0005-0000-0000-000083180000}"/>
    <cellStyle name="Normal 5 2 3 2 9 2" xfId="13241" xr:uid="{B3114924-B1D7-4B84-9143-34332AE06D49}"/>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2 2 2" xfId="15804" xr:uid="{08AE9348-F096-44DE-B879-F4A0A46808CA}"/>
    <cellStyle name="Normal 5 2 3 3 2 2 2 3" xfId="11586" xr:uid="{0F30CED7-67EE-4ECA-9144-8A1145C349A2}"/>
    <cellStyle name="Normal 5 2 3 3 2 2 3" xfId="5217" xr:uid="{00000000-0005-0000-0000-000089180000}"/>
    <cellStyle name="Normal 5 2 3 3 2 2 3 2" xfId="13659" xr:uid="{3508D2AA-6ED0-4BFC-B542-A98C6352C948}"/>
    <cellStyle name="Normal 5 2 3 3 2 2 4" xfId="9441" xr:uid="{A7959A5B-8ECA-4591-98AB-5ABFDC2BA795}"/>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2 2 2" xfId="16217" xr:uid="{25A3921A-3D13-4E12-AF19-572030641580}"/>
    <cellStyle name="Normal 5 2 3 3 2 3 2 3" xfId="11999" xr:uid="{576713C2-2D64-4CD1-A7BE-51A8CB20596A}"/>
    <cellStyle name="Normal 5 2 3 3 2 3 3" xfId="5630" xr:uid="{00000000-0005-0000-0000-00008D180000}"/>
    <cellStyle name="Normal 5 2 3 3 2 3 3 2" xfId="14072" xr:uid="{218DE141-B966-41B4-8173-CBE6B4DCB6FA}"/>
    <cellStyle name="Normal 5 2 3 3 2 3 4" xfId="9854" xr:uid="{29010B81-2BAB-4EF7-9758-033AC1596F49}"/>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2 2 2" xfId="16630" xr:uid="{8787E849-8130-4862-9964-202828597750}"/>
    <cellStyle name="Normal 5 2 3 3 2 4 2 3" xfId="12412" xr:uid="{829E645C-4C1E-422B-A101-C33E8128F813}"/>
    <cellStyle name="Normal 5 2 3 3 2 4 3" xfId="6043" xr:uid="{00000000-0005-0000-0000-000091180000}"/>
    <cellStyle name="Normal 5 2 3 3 2 4 3 2" xfId="14485" xr:uid="{B51EB579-BFE0-45CF-A167-AD22482B82DB}"/>
    <cellStyle name="Normal 5 2 3 3 2 4 4" xfId="10267" xr:uid="{FE7002FA-5270-4515-8810-FF088E521BE7}"/>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2 2 2" xfId="17043" xr:uid="{07F673E5-A196-40A7-ACE4-DBEC9E425CE8}"/>
    <cellStyle name="Normal 5 2 3 3 2 5 2 3" xfId="12825" xr:uid="{31886E7C-37C9-4B38-AFDA-3169EDC67050}"/>
    <cellStyle name="Normal 5 2 3 3 2 5 3" xfId="6456" xr:uid="{00000000-0005-0000-0000-000095180000}"/>
    <cellStyle name="Normal 5 2 3 3 2 5 3 2" xfId="14898" xr:uid="{F5654DC2-9066-4283-ABB6-92189DD545CA}"/>
    <cellStyle name="Normal 5 2 3 3 2 5 4" xfId="10680" xr:uid="{77B15ECE-90AC-4ABF-B891-2E5A06F76A9A}"/>
    <cellStyle name="Normal 5 2 3 3 2 6" xfId="2585" xr:uid="{00000000-0005-0000-0000-000096180000}"/>
    <cellStyle name="Normal 5 2 3 3 2 6 2" xfId="6869" xr:uid="{00000000-0005-0000-0000-000097180000}"/>
    <cellStyle name="Normal 5 2 3 3 2 6 2 2" xfId="15311" xr:uid="{1B5F173C-9AC1-460F-A9C1-C328F5D85553}"/>
    <cellStyle name="Normal 5 2 3 3 2 6 3" xfId="11093" xr:uid="{4023604B-EBC8-4E1B-A968-F07D3DD433F8}"/>
    <cellStyle name="Normal 5 2 3 3 2 7" xfId="4804" xr:uid="{00000000-0005-0000-0000-000098180000}"/>
    <cellStyle name="Normal 5 2 3 3 2 7 2" xfId="13246" xr:uid="{8E4E9684-4B58-4C6B-8021-C1C1EA9977EC}"/>
    <cellStyle name="Normal 5 2 3 3 2 8" xfId="9028" xr:uid="{D11F517C-1F29-4311-83A2-3772DED92DC7}"/>
    <cellStyle name="Normal 5 2 3 3 3" xfId="903" xr:uid="{00000000-0005-0000-0000-000099180000}"/>
    <cellStyle name="Normal 5 2 3 3 3 2" xfId="3138" xr:uid="{00000000-0005-0000-0000-00009A180000}"/>
    <cellStyle name="Normal 5 2 3 3 3 2 2" xfId="7361" xr:uid="{00000000-0005-0000-0000-00009B180000}"/>
    <cellStyle name="Normal 5 2 3 3 3 2 2 2" xfId="15803" xr:uid="{8A8CBE85-51D4-4B84-966D-71B83342327F}"/>
    <cellStyle name="Normal 5 2 3 3 3 2 3" xfId="11585" xr:uid="{AF080585-7F79-4746-8D7F-AF560A62EA5E}"/>
    <cellStyle name="Normal 5 2 3 3 3 3" xfId="5216" xr:uid="{00000000-0005-0000-0000-00009C180000}"/>
    <cellStyle name="Normal 5 2 3 3 3 3 2" xfId="13658" xr:uid="{3D9CED72-210B-4CF2-9556-B74A1FF867AE}"/>
    <cellStyle name="Normal 5 2 3 3 3 4" xfId="9440" xr:uid="{96DE7C68-9C52-4D22-AA17-EE86B019AC83}"/>
    <cellStyle name="Normal 5 2 3 3 4" xfId="1321" xr:uid="{00000000-0005-0000-0000-00009D180000}"/>
    <cellStyle name="Normal 5 2 3 3 4 2" xfId="3551" xr:uid="{00000000-0005-0000-0000-00009E180000}"/>
    <cellStyle name="Normal 5 2 3 3 4 2 2" xfId="7774" xr:uid="{00000000-0005-0000-0000-00009F180000}"/>
    <cellStyle name="Normal 5 2 3 3 4 2 2 2" xfId="16216" xr:uid="{DA3DCC8D-1173-4F53-B8C6-AA9D4A28A20B}"/>
    <cellStyle name="Normal 5 2 3 3 4 2 3" xfId="11998" xr:uid="{5C24D5CA-4086-426A-AAE4-F6A8081120D5}"/>
    <cellStyle name="Normal 5 2 3 3 4 3" xfId="5629" xr:uid="{00000000-0005-0000-0000-0000A0180000}"/>
    <cellStyle name="Normal 5 2 3 3 4 3 2" xfId="14071" xr:uid="{DB830F4F-DF69-4C55-A15C-6546FF032472}"/>
    <cellStyle name="Normal 5 2 3 3 4 4" xfId="9853" xr:uid="{2172655A-649E-4D3E-9F26-B73ADB46259F}"/>
    <cellStyle name="Normal 5 2 3 3 5" xfId="1734" xr:uid="{00000000-0005-0000-0000-0000A1180000}"/>
    <cellStyle name="Normal 5 2 3 3 5 2" xfId="3964" xr:uid="{00000000-0005-0000-0000-0000A2180000}"/>
    <cellStyle name="Normal 5 2 3 3 5 2 2" xfId="8187" xr:uid="{00000000-0005-0000-0000-0000A3180000}"/>
    <cellStyle name="Normal 5 2 3 3 5 2 2 2" xfId="16629" xr:uid="{04EDC2BB-3782-49BD-A371-0A69578D50AC}"/>
    <cellStyle name="Normal 5 2 3 3 5 2 3" xfId="12411" xr:uid="{0B7B7216-E404-447A-A01D-405376182127}"/>
    <cellStyle name="Normal 5 2 3 3 5 3" xfId="6042" xr:uid="{00000000-0005-0000-0000-0000A4180000}"/>
    <cellStyle name="Normal 5 2 3 3 5 3 2" xfId="14484" xr:uid="{67293301-E61F-4070-BDB9-5DDEA85B8369}"/>
    <cellStyle name="Normal 5 2 3 3 5 4" xfId="10266" xr:uid="{84F10BA2-3286-4F90-A624-CF4BCF76C7F8}"/>
    <cellStyle name="Normal 5 2 3 3 6" xfId="2148" xr:uid="{00000000-0005-0000-0000-0000A5180000}"/>
    <cellStyle name="Normal 5 2 3 3 6 2" xfId="4377" xr:uid="{00000000-0005-0000-0000-0000A6180000}"/>
    <cellStyle name="Normal 5 2 3 3 6 2 2" xfId="8600" xr:uid="{00000000-0005-0000-0000-0000A7180000}"/>
    <cellStyle name="Normal 5 2 3 3 6 2 2 2" xfId="17042" xr:uid="{CF30598F-54FB-4046-A18B-D3C6DC32BC88}"/>
    <cellStyle name="Normal 5 2 3 3 6 2 3" xfId="12824" xr:uid="{B5C9686C-4826-47A1-9B09-763F913F4B28}"/>
    <cellStyle name="Normal 5 2 3 3 6 3" xfId="6455" xr:uid="{00000000-0005-0000-0000-0000A8180000}"/>
    <cellStyle name="Normal 5 2 3 3 6 3 2" xfId="14897" xr:uid="{E1F2D743-DF18-4E2F-8153-F8095AC680DC}"/>
    <cellStyle name="Normal 5 2 3 3 6 4" xfId="10679" xr:uid="{30AAB970-CEC2-4827-8971-47B053096A84}"/>
    <cellStyle name="Normal 5 2 3 3 7" xfId="2584" xr:uid="{00000000-0005-0000-0000-0000A9180000}"/>
    <cellStyle name="Normal 5 2 3 3 7 2" xfId="6868" xr:uid="{00000000-0005-0000-0000-0000AA180000}"/>
    <cellStyle name="Normal 5 2 3 3 7 2 2" xfId="15310" xr:uid="{05032607-60BB-40EA-B319-101E5B74A458}"/>
    <cellStyle name="Normal 5 2 3 3 7 3" xfId="11092" xr:uid="{9C290456-9E67-40DB-A1F9-85C2D3980D7B}"/>
    <cellStyle name="Normal 5 2 3 3 8" xfId="4803" xr:uid="{00000000-0005-0000-0000-0000AB180000}"/>
    <cellStyle name="Normal 5 2 3 3 8 2" xfId="13245" xr:uid="{2376D7B0-6D1B-4035-927C-3F28EF780A33}"/>
    <cellStyle name="Normal 5 2 3 3 9" xfId="9027" xr:uid="{0829EB8C-3394-4925-B986-55E8F7BC5078}"/>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2 2 2" xfId="15805" xr:uid="{2F51D0EC-42EA-41A0-A872-F7787E7C737E}"/>
    <cellStyle name="Normal 5 2 3 4 2 2 3" xfId="11587" xr:uid="{4095EBB6-AC1A-4F3D-83EF-E6D9D969E69B}"/>
    <cellStyle name="Normal 5 2 3 4 2 3" xfId="5218" xr:uid="{00000000-0005-0000-0000-0000B0180000}"/>
    <cellStyle name="Normal 5 2 3 4 2 3 2" xfId="13660" xr:uid="{A3CDF72A-8829-48E1-9FE3-E4192152FFA1}"/>
    <cellStyle name="Normal 5 2 3 4 2 4" xfId="9442" xr:uid="{0F999077-48B0-4E17-8832-B7E7EFF63EE6}"/>
    <cellStyle name="Normal 5 2 3 4 3" xfId="1323" xr:uid="{00000000-0005-0000-0000-0000B1180000}"/>
    <cellStyle name="Normal 5 2 3 4 3 2" xfId="3553" xr:uid="{00000000-0005-0000-0000-0000B2180000}"/>
    <cellStyle name="Normal 5 2 3 4 3 2 2" xfId="7776" xr:uid="{00000000-0005-0000-0000-0000B3180000}"/>
    <cellStyle name="Normal 5 2 3 4 3 2 2 2" xfId="16218" xr:uid="{4A80D8C4-0A70-45E1-9174-7D24C8208F0D}"/>
    <cellStyle name="Normal 5 2 3 4 3 2 3" xfId="12000" xr:uid="{B841DB3A-78DE-45FA-BBCC-7736ADEA301C}"/>
    <cellStyle name="Normal 5 2 3 4 3 3" xfId="5631" xr:uid="{00000000-0005-0000-0000-0000B4180000}"/>
    <cellStyle name="Normal 5 2 3 4 3 3 2" xfId="14073" xr:uid="{AC8D15E3-7E68-4700-8C33-A46E14DA2649}"/>
    <cellStyle name="Normal 5 2 3 4 3 4" xfId="9855" xr:uid="{75445DCB-D599-44C7-B54D-DFBD28E18F0A}"/>
    <cellStyle name="Normal 5 2 3 4 4" xfId="1736" xr:uid="{00000000-0005-0000-0000-0000B5180000}"/>
    <cellStyle name="Normal 5 2 3 4 4 2" xfId="3966" xr:uid="{00000000-0005-0000-0000-0000B6180000}"/>
    <cellStyle name="Normal 5 2 3 4 4 2 2" xfId="8189" xr:uid="{00000000-0005-0000-0000-0000B7180000}"/>
    <cellStyle name="Normal 5 2 3 4 4 2 2 2" xfId="16631" xr:uid="{C41A9C29-E36F-4EEB-8568-5369D5051FAA}"/>
    <cellStyle name="Normal 5 2 3 4 4 2 3" xfId="12413" xr:uid="{11588ECF-BE61-4D73-9E8E-B47681FAEE58}"/>
    <cellStyle name="Normal 5 2 3 4 4 3" xfId="6044" xr:uid="{00000000-0005-0000-0000-0000B8180000}"/>
    <cellStyle name="Normal 5 2 3 4 4 3 2" xfId="14486" xr:uid="{8C3B1D15-97D4-4978-ADA5-26D5E961498B}"/>
    <cellStyle name="Normal 5 2 3 4 4 4" xfId="10268" xr:uid="{E4607A9A-7A00-4789-A3E5-4F72FE49E233}"/>
    <cellStyle name="Normal 5 2 3 4 5" xfId="2150" xr:uid="{00000000-0005-0000-0000-0000B9180000}"/>
    <cellStyle name="Normal 5 2 3 4 5 2" xfId="4379" xr:uid="{00000000-0005-0000-0000-0000BA180000}"/>
    <cellStyle name="Normal 5 2 3 4 5 2 2" xfId="8602" xr:uid="{00000000-0005-0000-0000-0000BB180000}"/>
    <cellStyle name="Normal 5 2 3 4 5 2 2 2" xfId="17044" xr:uid="{A662346D-BB3D-47E4-B94D-72E29B9C75FE}"/>
    <cellStyle name="Normal 5 2 3 4 5 2 3" xfId="12826" xr:uid="{39E616A1-F399-44C3-8512-48703926092C}"/>
    <cellStyle name="Normal 5 2 3 4 5 3" xfId="6457" xr:uid="{00000000-0005-0000-0000-0000BC180000}"/>
    <cellStyle name="Normal 5 2 3 4 5 3 2" xfId="14899" xr:uid="{E973EB05-7BEA-49C7-8D8C-FE12266542EB}"/>
    <cellStyle name="Normal 5 2 3 4 5 4" xfId="10681" xr:uid="{CC40F0F9-5188-431D-9DF2-32D4870A11EF}"/>
    <cellStyle name="Normal 5 2 3 4 6" xfId="2586" xr:uid="{00000000-0005-0000-0000-0000BD180000}"/>
    <cellStyle name="Normal 5 2 3 4 6 2" xfId="6870" xr:uid="{00000000-0005-0000-0000-0000BE180000}"/>
    <cellStyle name="Normal 5 2 3 4 6 2 2" xfId="15312" xr:uid="{D0045002-C4A1-4CF7-A43A-DD21B9AC1D12}"/>
    <cellStyle name="Normal 5 2 3 4 6 3" xfId="11094" xr:uid="{4476E8C8-ED27-4449-87F5-D4C76134F15F}"/>
    <cellStyle name="Normal 5 2 3 4 7" xfId="4805" xr:uid="{00000000-0005-0000-0000-0000BF180000}"/>
    <cellStyle name="Normal 5 2 3 4 7 2" xfId="13247" xr:uid="{78DDA535-84DC-427B-A1C2-9C1A069F92E8}"/>
    <cellStyle name="Normal 5 2 3 4 8" xfId="9029" xr:uid="{4175435F-8FA6-4677-AE5C-45F3BE0B41DD}"/>
    <cellStyle name="Normal 5 2 3 5" xfId="898" xr:uid="{00000000-0005-0000-0000-0000C0180000}"/>
    <cellStyle name="Normal 5 2 3 5 2" xfId="3133" xr:uid="{00000000-0005-0000-0000-0000C1180000}"/>
    <cellStyle name="Normal 5 2 3 5 2 2" xfId="7356" xr:uid="{00000000-0005-0000-0000-0000C2180000}"/>
    <cellStyle name="Normal 5 2 3 5 2 2 2" xfId="15798" xr:uid="{7082F72D-DA35-41A2-BA35-1D92A43D3064}"/>
    <cellStyle name="Normal 5 2 3 5 2 3" xfId="11580" xr:uid="{D95E2210-64D1-4B38-A20E-21BD6CA2D265}"/>
    <cellStyle name="Normal 5 2 3 5 3" xfId="5211" xr:uid="{00000000-0005-0000-0000-0000C3180000}"/>
    <cellStyle name="Normal 5 2 3 5 3 2" xfId="13653" xr:uid="{0ED5A128-BFEE-4A5A-8B3A-BB617B3C9FD5}"/>
    <cellStyle name="Normal 5 2 3 5 4" xfId="9435" xr:uid="{7227663A-335C-4FD3-84F6-3B020BAA5F84}"/>
    <cellStyle name="Normal 5 2 3 6" xfId="1316" xr:uid="{00000000-0005-0000-0000-0000C4180000}"/>
    <cellStyle name="Normal 5 2 3 6 2" xfId="3546" xr:uid="{00000000-0005-0000-0000-0000C5180000}"/>
    <cellStyle name="Normal 5 2 3 6 2 2" xfId="7769" xr:uid="{00000000-0005-0000-0000-0000C6180000}"/>
    <cellStyle name="Normal 5 2 3 6 2 2 2" xfId="16211" xr:uid="{BDCCDFA7-6292-4898-8B32-A3009CB0FD9E}"/>
    <cellStyle name="Normal 5 2 3 6 2 3" xfId="11993" xr:uid="{981B25D3-812E-4B9A-86A4-0D032504061F}"/>
    <cellStyle name="Normal 5 2 3 6 3" xfId="5624" xr:uid="{00000000-0005-0000-0000-0000C7180000}"/>
    <cellStyle name="Normal 5 2 3 6 3 2" xfId="14066" xr:uid="{738CE45F-28DD-45EC-A52A-65C91BC04216}"/>
    <cellStyle name="Normal 5 2 3 6 4" xfId="9848" xr:uid="{952B6F5B-801F-4B67-BE69-285645693E02}"/>
    <cellStyle name="Normal 5 2 3 7" xfId="1729" xr:uid="{00000000-0005-0000-0000-0000C8180000}"/>
    <cellStyle name="Normal 5 2 3 7 2" xfId="3959" xr:uid="{00000000-0005-0000-0000-0000C9180000}"/>
    <cellStyle name="Normal 5 2 3 7 2 2" xfId="8182" xr:uid="{00000000-0005-0000-0000-0000CA180000}"/>
    <cellStyle name="Normal 5 2 3 7 2 2 2" xfId="16624" xr:uid="{BB2A6546-C480-4951-956D-D7902A99EA11}"/>
    <cellStyle name="Normal 5 2 3 7 2 3" xfId="12406" xr:uid="{9AF8926C-ABAA-4E44-8F3F-8C4E010ED73C}"/>
    <cellStyle name="Normal 5 2 3 7 3" xfId="6037" xr:uid="{00000000-0005-0000-0000-0000CB180000}"/>
    <cellStyle name="Normal 5 2 3 7 3 2" xfId="14479" xr:uid="{CACD07A1-220B-450D-B9E8-535EBED4E95E}"/>
    <cellStyle name="Normal 5 2 3 7 4" xfId="10261" xr:uid="{B864E7C9-476B-4E22-ADC9-79116B2249D7}"/>
    <cellStyle name="Normal 5 2 3 8" xfId="2143" xr:uid="{00000000-0005-0000-0000-0000CC180000}"/>
    <cellStyle name="Normal 5 2 3 8 2" xfId="4372" xr:uid="{00000000-0005-0000-0000-0000CD180000}"/>
    <cellStyle name="Normal 5 2 3 8 2 2" xfId="8595" xr:uid="{00000000-0005-0000-0000-0000CE180000}"/>
    <cellStyle name="Normal 5 2 3 8 2 2 2" xfId="17037" xr:uid="{4B9B11F5-8D6A-4356-81F1-436E88A993F6}"/>
    <cellStyle name="Normal 5 2 3 8 2 3" xfId="12819" xr:uid="{FA4490B2-DA9C-43E3-8182-208A78B80A74}"/>
    <cellStyle name="Normal 5 2 3 8 3" xfId="6450" xr:uid="{00000000-0005-0000-0000-0000CF180000}"/>
    <cellStyle name="Normal 5 2 3 8 3 2" xfId="14892" xr:uid="{48FD59B2-EC02-4953-B3F5-E4AF58AD9B85}"/>
    <cellStyle name="Normal 5 2 3 8 4" xfId="10674" xr:uid="{181993D0-D1C9-41A3-ACE2-AF9600D267FA}"/>
    <cellStyle name="Normal 5 2 3 9" xfId="2579" xr:uid="{00000000-0005-0000-0000-0000D0180000}"/>
    <cellStyle name="Normal 5 2 3 9 2" xfId="6863" xr:uid="{00000000-0005-0000-0000-0000D1180000}"/>
    <cellStyle name="Normal 5 2 3 9 2 2" xfId="15305" xr:uid="{5DC442EF-DE10-4AC7-8E32-9264B1B55145}"/>
    <cellStyle name="Normal 5 2 3 9 3" xfId="11087" xr:uid="{828A991C-2322-48C5-8665-1B5B38EECBA3}"/>
    <cellStyle name="Normal 5 2 4" xfId="432" xr:uid="{00000000-0005-0000-0000-0000D2180000}"/>
    <cellStyle name="Normal 5 2 4 10" xfId="9030" xr:uid="{924FA615-A59C-4BF3-9CB8-A6252EB964C4}"/>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2 2 2" xfId="15808" xr:uid="{0584A1AB-9B47-4DFD-BDFD-6A5A7B559B34}"/>
    <cellStyle name="Normal 5 2 4 2 2 2 2 3" xfId="11590" xr:uid="{86210431-4803-4F62-9B01-38D96A43BC1F}"/>
    <cellStyle name="Normal 5 2 4 2 2 2 3" xfId="5221" xr:uid="{00000000-0005-0000-0000-0000D8180000}"/>
    <cellStyle name="Normal 5 2 4 2 2 2 3 2" xfId="13663" xr:uid="{8DB71390-84C2-4CC9-81DE-88D7431F7215}"/>
    <cellStyle name="Normal 5 2 4 2 2 2 4" xfId="9445" xr:uid="{D7798234-4B02-4B39-BEBB-39B503A8EF29}"/>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2 2 2" xfId="16221" xr:uid="{7FA02943-5E02-48E6-B4D6-485CD3DD4B15}"/>
    <cellStyle name="Normal 5 2 4 2 2 3 2 3" xfId="12003" xr:uid="{D0F058A1-9A96-42DE-9D5B-4167849F5D42}"/>
    <cellStyle name="Normal 5 2 4 2 2 3 3" xfId="5634" xr:uid="{00000000-0005-0000-0000-0000DC180000}"/>
    <cellStyle name="Normal 5 2 4 2 2 3 3 2" xfId="14076" xr:uid="{CC92F007-483F-4A2E-8401-1189BB98336C}"/>
    <cellStyle name="Normal 5 2 4 2 2 3 4" xfId="9858" xr:uid="{E6DDA482-9C42-442E-B723-22F57E5F70C1}"/>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2 2 2" xfId="16634" xr:uid="{04FF45C8-A49A-4E71-86D2-DFF6CEFDEDAA}"/>
    <cellStyle name="Normal 5 2 4 2 2 4 2 3" xfId="12416" xr:uid="{28B71F97-1382-4154-A0A4-DFA7C85520F9}"/>
    <cellStyle name="Normal 5 2 4 2 2 4 3" xfId="6047" xr:uid="{00000000-0005-0000-0000-0000E0180000}"/>
    <cellStyle name="Normal 5 2 4 2 2 4 3 2" xfId="14489" xr:uid="{62976CB8-515D-42C6-864C-8598F9B49952}"/>
    <cellStyle name="Normal 5 2 4 2 2 4 4" xfId="10271" xr:uid="{22D8E982-B2B9-408C-AFE2-8566616131E7}"/>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2 2 2" xfId="17047" xr:uid="{F355B8AD-F899-4E14-8674-5197AA05F121}"/>
    <cellStyle name="Normal 5 2 4 2 2 5 2 3" xfId="12829" xr:uid="{4D91D211-4B60-4172-90D4-3A57AEE9AB0F}"/>
    <cellStyle name="Normal 5 2 4 2 2 5 3" xfId="6460" xr:uid="{00000000-0005-0000-0000-0000E4180000}"/>
    <cellStyle name="Normal 5 2 4 2 2 5 3 2" xfId="14902" xr:uid="{D53743AC-CE1F-4A86-A29B-A180910B46D0}"/>
    <cellStyle name="Normal 5 2 4 2 2 5 4" xfId="10684" xr:uid="{8A8AC03A-F12D-4C22-A40E-371D3BF72F9B}"/>
    <cellStyle name="Normal 5 2 4 2 2 6" xfId="2589" xr:uid="{00000000-0005-0000-0000-0000E5180000}"/>
    <cellStyle name="Normal 5 2 4 2 2 6 2" xfId="6873" xr:uid="{00000000-0005-0000-0000-0000E6180000}"/>
    <cellStyle name="Normal 5 2 4 2 2 6 2 2" xfId="15315" xr:uid="{DF1B8E96-D3C4-4691-994A-55C24A8BFD7A}"/>
    <cellStyle name="Normal 5 2 4 2 2 6 3" xfId="11097" xr:uid="{C5D743A4-D618-4D0A-BB95-F82FA260CE48}"/>
    <cellStyle name="Normal 5 2 4 2 2 7" xfId="4808" xr:uid="{00000000-0005-0000-0000-0000E7180000}"/>
    <cellStyle name="Normal 5 2 4 2 2 7 2" xfId="13250" xr:uid="{0488F3E1-510B-4DBA-B2C8-21EEFE74825C}"/>
    <cellStyle name="Normal 5 2 4 2 2 8" xfId="9032" xr:uid="{2FE364F7-6CED-4C6B-AE67-3CC600C447F3}"/>
    <cellStyle name="Normal 5 2 4 2 3" xfId="907" xr:uid="{00000000-0005-0000-0000-0000E8180000}"/>
    <cellStyle name="Normal 5 2 4 2 3 2" xfId="3142" xr:uid="{00000000-0005-0000-0000-0000E9180000}"/>
    <cellStyle name="Normal 5 2 4 2 3 2 2" xfId="7365" xr:uid="{00000000-0005-0000-0000-0000EA180000}"/>
    <cellStyle name="Normal 5 2 4 2 3 2 2 2" xfId="15807" xr:uid="{76AEB69C-195F-4FEA-BC51-9F503882773F}"/>
    <cellStyle name="Normal 5 2 4 2 3 2 3" xfId="11589" xr:uid="{01951C7A-D259-446D-84EA-ADA19C43E03D}"/>
    <cellStyle name="Normal 5 2 4 2 3 3" xfId="5220" xr:uid="{00000000-0005-0000-0000-0000EB180000}"/>
    <cellStyle name="Normal 5 2 4 2 3 3 2" xfId="13662" xr:uid="{D5FFC703-69A2-409D-ACAD-6003996CF657}"/>
    <cellStyle name="Normal 5 2 4 2 3 4" xfId="9444" xr:uid="{2DF23BFC-5789-483C-8C3E-A695BABB6011}"/>
    <cellStyle name="Normal 5 2 4 2 4" xfId="1325" xr:uid="{00000000-0005-0000-0000-0000EC180000}"/>
    <cellStyle name="Normal 5 2 4 2 4 2" xfId="3555" xr:uid="{00000000-0005-0000-0000-0000ED180000}"/>
    <cellStyle name="Normal 5 2 4 2 4 2 2" xfId="7778" xr:uid="{00000000-0005-0000-0000-0000EE180000}"/>
    <cellStyle name="Normal 5 2 4 2 4 2 2 2" xfId="16220" xr:uid="{CD4D1CA5-32E0-443C-8B56-D1832EA22DBB}"/>
    <cellStyle name="Normal 5 2 4 2 4 2 3" xfId="12002" xr:uid="{5E0782B8-956C-4F2D-8281-2FDA35AFDF71}"/>
    <cellStyle name="Normal 5 2 4 2 4 3" xfId="5633" xr:uid="{00000000-0005-0000-0000-0000EF180000}"/>
    <cellStyle name="Normal 5 2 4 2 4 3 2" xfId="14075" xr:uid="{ABAFE734-0621-4D0C-80E1-EADA07453C82}"/>
    <cellStyle name="Normal 5 2 4 2 4 4" xfId="9857" xr:uid="{DE79707F-A747-40C6-90D0-7CB4632165CF}"/>
    <cellStyle name="Normal 5 2 4 2 5" xfId="1738" xr:uid="{00000000-0005-0000-0000-0000F0180000}"/>
    <cellStyle name="Normal 5 2 4 2 5 2" xfId="3968" xr:uid="{00000000-0005-0000-0000-0000F1180000}"/>
    <cellStyle name="Normal 5 2 4 2 5 2 2" xfId="8191" xr:uid="{00000000-0005-0000-0000-0000F2180000}"/>
    <cellStyle name="Normal 5 2 4 2 5 2 2 2" xfId="16633" xr:uid="{CBEC84D4-145F-49BA-BA85-A03811620DAC}"/>
    <cellStyle name="Normal 5 2 4 2 5 2 3" xfId="12415" xr:uid="{4D6BF5C3-06BE-4F6B-9820-62C28EF216C3}"/>
    <cellStyle name="Normal 5 2 4 2 5 3" xfId="6046" xr:uid="{00000000-0005-0000-0000-0000F3180000}"/>
    <cellStyle name="Normal 5 2 4 2 5 3 2" xfId="14488" xr:uid="{9FF9016C-1939-4F82-90B8-AA97FF0C1303}"/>
    <cellStyle name="Normal 5 2 4 2 5 4" xfId="10270" xr:uid="{38A51232-D8B8-4517-8EB3-A91D66573290}"/>
    <cellStyle name="Normal 5 2 4 2 6" xfId="2152" xr:uid="{00000000-0005-0000-0000-0000F4180000}"/>
    <cellStyle name="Normal 5 2 4 2 6 2" xfId="4381" xr:uid="{00000000-0005-0000-0000-0000F5180000}"/>
    <cellStyle name="Normal 5 2 4 2 6 2 2" xfId="8604" xr:uid="{00000000-0005-0000-0000-0000F6180000}"/>
    <cellStyle name="Normal 5 2 4 2 6 2 2 2" xfId="17046" xr:uid="{07A0D85F-7358-4C0E-9840-F818C6A1A22B}"/>
    <cellStyle name="Normal 5 2 4 2 6 2 3" xfId="12828" xr:uid="{6610AC3B-842D-44F4-B858-B0FBD1CB67E7}"/>
    <cellStyle name="Normal 5 2 4 2 6 3" xfId="6459" xr:uid="{00000000-0005-0000-0000-0000F7180000}"/>
    <cellStyle name="Normal 5 2 4 2 6 3 2" xfId="14901" xr:uid="{AE304587-D2B7-4D7C-9D45-8D2EBEB48F30}"/>
    <cellStyle name="Normal 5 2 4 2 6 4" xfId="10683" xr:uid="{C69CD371-1601-4427-9E14-4893681C6BD9}"/>
    <cellStyle name="Normal 5 2 4 2 7" xfId="2588" xr:uid="{00000000-0005-0000-0000-0000F8180000}"/>
    <cellStyle name="Normal 5 2 4 2 7 2" xfId="6872" xr:uid="{00000000-0005-0000-0000-0000F9180000}"/>
    <cellStyle name="Normal 5 2 4 2 7 2 2" xfId="15314" xr:uid="{075BE44F-01B2-4AB3-A5F5-8236198EE773}"/>
    <cellStyle name="Normal 5 2 4 2 7 3" xfId="11096" xr:uid="{F391B73D-117D-48E9-B3A5-7A37C2249EA3}"/>
    <cellStyle name="Normal 5 2 4 2 8" xfId="4807" xr:uid="{00000000-0005-0000-0000-0000FA180000}"/>
    <cellStyle name="Normal 5 2 4 2 8 2" xfId="13249" xr:uid="{012F9463-72A0-4318-8923-C9996B2FE3D2}"/>
    <cellStyle name="Normal 5 2 4 2 9" xfId="9031" xr:uid="{A557F3F0-99EB-4C1B-94DC-C90E5E41DC7B}"/>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2 2 2" xfId="15809" xr:uid="{973C1340-96AA-402D-B967-E40D06CE9E4D}"/>
    <cellStyle name="Normal 5 2 4 3 2 2 3" xfId="11591" xr:uid="{164CC168-B764-4B09-8F00-BC5187E97221}"/>
    <cellStyle name="Normal 5 2 4 3 2 3" xfId="5222" xr:uid="{00000000-0005-0000-0000-0000FF180000}"/>
    <cellStyle name="Normal 5 2 4 3 2 3 2" xfId="13664" xr:uid="{9217E246-7472-4804-8B2A-133706697CCA}"/>
    <cellStyle name="Normal 5 2 4 3 2 4" xfId="9446" xr:uid="{535444B8-9306-41C7-8A5B-F02E3C4D740D}"/>
    <cellStyle name="Normal 5 2 4 3 3" xfId="1327" xr:uid="{00000000-0005-0000-0000-000000190000}"/>
    <cellStyle name="Normal 5 2 4 3 3 2" xfId="3557" xr:uid="{00000000-0005-0000-0000-000001190000}"/>
    <cellStyle name="Normal 5 2 4 3 3 2 2" xfId="7780" xr:uid="{00000000-0005-0000-0000-000002190000}"/>
    <cellStyle name="Normal 5 2 4 3 3 2 2 2" xfId="16222" xr:uid="{A222BB56-5748-4006-93AE-09952BBA15AF}"/>
    <cellStyle name="Normal 5 2 4 3 3 2 3" xfId="12004" xr:uid="{3D5EBAEF-94D8-4A17-BF4E-0AF7A2110D88}"/>
    <cellStyle name="Normal 5 2 4 3 3 3" xfId="5635" xr:uid="{00000000-0005-0000-0000-000003190000}"/>
    <cellStyle name="Normal 5 2 4 3 3 3 2" xfId="14077" xr:uid="{F0F4CB0A-2D70-4826-A04B-4C1834E580F2}"/>
    <cellStyle name="Normal 5 2 4 3 3 4" xfId="9859" xr:uid="{BC7B9DCC-B737-4040-AF86-569F42CCA596}"/>
    <cellStyle name="Normal 5 2 4 3 4" xfId="1740" xr:uid="{00000000-0005-0000-0000-000004190000}"/>
    <cellStyle name="Normal 5 2 4 3 4 2" xfId="3970" xr:uid="{00000000-0005-0000-0000-000005190000}"/>
    <cellStyle name="Normal 5 2 4 3 4 2 2" xfId="8193" xr:uid="{00000000-0005-0000-0000-000006190000}"/>
    <cellStyle name="Normal 5 2 4 3 4 2 2 2" xfId="16635" xr:uid="{DD689AEE-6FC0-4616-844A-1022A9317BF8}"/>
    <cellStyle name="Normal 5 2 4 3 4 2 3" xfId="12417" xr:uid="{382BB404-634E-455D-8DAC-42794E0B82E7}"/>
    <cellStyle name="Normal 5 2 4 3 4 3" xfId="6048" xr:uid="{00000000-0005-0000-0000-000007190000}"/>
    <cellStyle name="Normal 5 2 4 3 4 3 2" xfId="14490" xr:uid="{C4F519B6-39DD-45D7-A69C-C5558BE57EA2}"/>
    <cellStyle name="Normal 5 2 4 3 4 4" xfId="10272" xr:uid="{341F2FBA-1869-48D6-BD73-12AE6F2C9286}"/>
    <cellStyle name="Normal 5 2 4 3 5" xfId="2154" xr:uid="{00000000-0005-0000-0000-000008190000}"/>
    <cellStyle name="Normal 5 2 4 3 5 2" xfId="4383" xr:uid="{00000000-0005-0000-0000-000009190000}"/>
    <cellStyle name="Normal 5 2 4 3 5 2 2" xfId="8606" xr:uid="{00000000-0005-0000-0000-00000A190000}"/>
    <cellStyle name="Normal 5 2 4 3 5 2 2 2" xfId="17048" xr:uid="{A282EFC2-0702-4E90-BBC7-1E9E1D2249A9}"/>
    <cellStyle name="Normal 5 2 4 3 5 2 3" xfId="12830" xr:uid="{5DDEF3DD-A77C-47E9-84F3-0B9847AC9690}"/>
    <cellStyle name="Normal 5 2 4 3 5 3" xfId="6461" xr:uid="{00000000-0005-0000-0000-00000B190000}"/>
    <cellStyle name="Normal 5 2 4 3 5 3 2" xfId="14903" xr:uid="{C9CAE846-9C05-4C9F-8BC2-B90F6259C94A}"/>
    <cellStyle name="Normal 5 2 4 3 5 4" xfId="10685" xr:uid="{B928BF12-763E-4A1E-BD5D-648A7C8B7207}"/>
    <cellStyle name="Normal 5 2 4 3 6" xfId="2590" xr:uid="{00000000-0005-0000-0000-00000C190000}"/>
    <cellStyle name="Normal 5 2 4 3 6 2" xfId="6874" xr:uid="{00000000-0005-0000-0000-00000D190000}"/>
    <cellStyle name="Normal 5 2 4 3 6 2 2" xfId="15316" xr:uid="{01A1F991-A4BB-463E-B3A4-C230B24CA3D3}"/>
    <cellStyle name="Normal 5 2 4 3 6 3" xfId="11098" xr:uid="{F8A60919-0126-444F-9A4F-80545FB8610B}"/>
    <cellStyle name="Normal 5 2 4 3 7" xfId="4809" xr:uid="{00000000-0005-0000-0000-00000E190000}"/>
    <cellStyle name="Normal 5 2 4 3 7 2" xfId="13251" xr:uid="{FAC5D240-C3FE-42EC-BFAC-7F830F7C96EA}"/>
    <cellStyle name="Normal 5 2 4 3 8" xfId="9033" xr:uid="{C2C9D218-4FED-4E7F-A657-0B530FB1A508}"/>
    <cellStyle name="Normal 5 2 4 4" xfId="906" xr:uid="{00000000-0005-0000-0000-00000F190000}"/>
    <cellStyle name="Normal 5 2 4 4 2" xfId="3141" xr:uid="{00000000-0005-0000-0000-000010190000}"/>
    <cellStyle name="Normal 5 2 4 4 2 2" xfId="7364" xr:uid="{00000000-0005-0000-0000-000011190000}"/>
    <cellStyle name="Normal 5 2 4 4 2 2 2" xfId="15806" xr:uid="{B56A4D5F-8FF9-493B-8FAF-5322AA8DEC68}"/>
    <cellStyle name="Normal 5 2 4 4 2 3" xfId="11588" xr:uid="{F4CA0ED2-4322-4B65-BAF7-9499C3D323FE}"/>
    <cellStyle name="Normal 5 2 4 4 3" xfId="5219" xr:uid="{00000000-0005-0000-0000-000012190000}"/>
    <cellStyle name="Normal 5 2 4 4 3 2" xfId="13661" xr:uid="{63EEE7A2-7A41-46B5-BCA3-36C79AB38BFA}"/>
    <cellStyle name="Normal 5 2 4 4 4" xfId="9443" xr:uid="{DB40E93C-E321-4A67-B8D3-A55581D7D762}"/>
    <cellStyle name="Normal 5 2 4 5" xfId="1324" xr:uid="{00000000-0005-0000-0000-000013190000}"/>
    <cellStyle name="Normal 5 2 4 5 2" xfId="3554" xr:uid="{00000000-0005-0000-0000-000014190000}"/>
    <cellStyle name="Normal 5 2 4 5 2 2" xfId="7777" xr:uid="{00000000-0005-0000-0000-000015190000}"/>
    <cellStyle name="Normal 5 2 4 5 2 2 2" xfId="16219" xr:uid="{671FD7D5-1FC9-4E3B-92E0-E64B7FF059B9}"/>
    <cellStyle name="Normal 5 2 4 5 2 3" xfId="12001" xr:uid="{FE3227FD-8FF5-4200-9C7E-4E4369445B8F}"/>
    <cellStyle name="Normal 5 2 4 5 3" xfId="5632" xr:uid="{00000000-0005-0000-0000-000016190000}"/>
    <cellStyle name="Normal 5 2 4 5 3 2" xfId="14074" xr:uid="{DDF60867-D4A9-4896-A461-8B3AF933BAB6}"/>
    <cellStyle name="Normal 5 2 4 5 4" xfId="9856" xr:uid="{EA0659D7-8A0D-4CFC-BB1A-E70CD90DC51C}"/>
    <cellStyle name="Normal 5 2 4 6" xfId="1737" xr:uid="{00000000-0005-0000-0000-000017190000}"/>
    <cellStyle name="Normal 5 2 4 6 2" xfId="3967" xr:uid="{00000000-0005-0000-0000-000018190000}"/>
    <cellStyle name="Normal 5 2 4 6 2 2" xfId="8190" xr:uid="{00000000-0005-0000-0000-000019190000}"/>
    <cellStyle name="Normal 5 2 4 6 2 2 2" xfId="16632" xr:uid="{7BF444D0-56EC-4396-99F5-0DA761743061}"/>
    <cellStyle name="Normal 5 2 4 6 2 3" xfId="12414" xr:uid="{FCD9824A-491C-4F7C-B0C2-4A247A7A628F}"/>
    <cellStyle name="Normal 5 2 4 6 3" xfId="6045" xr:uid="{00000000-0005-0000-0000-00001A190000}"/>
    <cellStyle name="Normal 5 2 4 6 3 2" xfId="14487" xr:uid="{3D875BED-8B67-426D-A9AC-72378E30656E}"/>
    <cellStyle name="Normal 5 2 4 6 4" xfId="10269" xr:uid="{4C1F7C83-F2DA-4440-995D-2CC32971AA03}"/>
    <cellStyle name="Normal 5 2 4 7" xfId="2151" xr:uid="{00000000-0005-0000-0000-00001B190000}"/>
    <cellStyle name="Normal 5 2 4 7 2" xfId="4380" xr:uid="{00000000-0005-0000-0000-00001C190000}"/>
    <cellStyle name="Normal 5 2 4 7 2 2" xfId="8603" xr:uid="{00000000-0005-0000-0000-00001D190000}"/>
    <cellStyle name="Normal 5 2 4 7 2 2 2" xfId="17045" xr:uid="{856D3D9D-8A32-4871-9277-A8B4567FE7C0}"/>
    <cellStyle name="Normal 5 2 4 7 2 3" xfId="12827" xr:uid="{34A6C5FF-CF2F-4238-A53C-020C941C9C9B}"/>
    <cellStyle name="Normal 5 2 4 7 3" xfId="6458" xr:uid="{00000000-0005-0000-0000-00001E190000}"/>
    <cellStyle name="Normal 5 2 4 7 3 2" xfId="14900" xr:uid="{9638B420-8019-4EB5-B1CC-42ACAC539CA4}"/>
    <cellStyle name="Normal 5 2 4 7 4" xfId="10682" xr:uid="{8CCAF6F9-AA0F-49D7-B902-116135AD628B}"/>
    <cellStyle name="Normal 5 2 4 8" xfId="2587" xr:uid="{00000000-0005-0000-0000-00001F190000}"/>
    <cellStyle name="Normal 5 2 4 8 2" xfId="6871" xr:uid="{00000000-0005-0000-0000-000020190000}"/>
    <cellStyle name="Normal 5 2 4 8 2 2" xfId="15313" xr:uid="{8C8670A0-BF11-45D2-A934-CD0BAE13FADB}"/>
    <cellStyle name="Normal 5 2 4 8 3" xfId="11095" xr:uid="{8BCA5CAE-1885-47A6-BC77-B186DD244876}"/>
    <cellStyle name="Normal 5 2 4 9" xfId="4806" xr:uid="{00000000-0005-0000-0000-000021190000}"/>
    <cellStyle name="Normal 5 2 4 9 2" xfId="13248" xr:uid="{95BC6F63-9A78-42A9-94A9-6D53B56232BB}"/>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2 2 2" xfId="15811" xr:uid="{0244EF41-F06B-4C43-B3C5-7E48E87149F8}"/>
    <cellStyle name="Normal 5 2 5 2 2 2 3" xfId="11593" xr:uid="{FDE2045D-FD86-4EF6-BB5F-266263ECBA35}"/>
    <cellStyle name="Normal 5 2 5 2 2 3" xfId="5224" xr:uid="{00000000-0005-0000-0000-000027190000}"/>
    <cellStyle name="Normal 5 2 5 2 2 3 2" xfId="13666" xr:uid="{6C2402AC-83FB-4E50-9C0B-C76D4FF34A27}"/>
    <cellStyle name="Normal 5 2 5 2 2 4" xfId="9448" xr:uid="{6547F7F2-04C0-40DE-97BC-1C9A12D42C07}"/>
    <cellStyle name="Normal 5 2 5 2 3" xfId="1329" xr:uid="{00000000-0005-0000-0000-000028190000}"/>
    <cellStyle name="Normal 5 2 5 2 3 2" xfId="3559" xr:uid="{00000000-0005-0000-0000-000029190000}"/>
    <cellStyle name="Normal 5 2 5 2 3 2 2" xfId="7782" xr:uid="{00000000-0005-0000-0000-00002A190000}"/>
    <cellStyle name="Normal 5 2 5 2 3 2 2 2" xfId="16224" xr:uid="{1DED150C-4B32-4806-B464-5585E1E23B74}"/>
    <cellStyle name="Normal 5 2 5 2 3 2 3" xfId="12006" xr:uid="{C9B157F8-DC4A-4B5A-9F33-45E535DD89B8}"/>
    <cellStyle name="Normal 5 2 5 2 3 3" xfId="5637" xr:uid="{00000000-0005-0000-0000-00002B190000}"/>
    <cellStyle name="Normal 5 2 5 2 3 3 2" xfId="14079" xr:uid="{33C22BE2-66DE-48F6-8587-A94A66695CA3}"/>
    <cellStyle name="Normal 5 2 5 2 3 4" xfId="9861" xr:uid="{AF760FE6-FB15-49EE-9689-3A964C56AFF0}"/>
    <cellStyle name="Normal 5 2 5 2 4" xfId="1742" xr:uid="{00000000-0005-0000-0000-00002C190000}"/>
    <cellStyle name="Normal 5 2 5 2 4 2" xfId="3972" xr:uid="{00000000-0005-0000-0000-00002D190000}"/>
    <cellStyle name="Normal 5 2 5 2 4 2 2" xfId="8195" xr:uid="{00000000-0005-0000-0000-00002E190000}"/>
    <cellStyle name="Normal 5 2 5 2 4 2 2 2" xfId="16637" xr:uid="{030A87B0-7585-42E4-8216-4333B1CA4DEE}"/>
    <cellStyle name="Normal 5 2 5 2 4 2 3" xfId="12419" xr:uid="{B794A9CB-D9E3-409D-88E8-50651E65AA99}"/>
    <cellStyle name="Normal 5 2 5 2 4 3" xfId="6050" xr:uid="{00000000-0005-0000-0000-00002F190000}"/>
    <cellStyle name="Normal 5 2 5 2 4 3 2" xfId="14492" xr:uid="{55D4D0D9-75DF-43BD-B506-D3C754D8AE8B}"/>
    <cellStyle name="Normal 5 2 5 2 4 4" xfId="10274" xr:uid="{8209936A-41F3-4B9C-A794-8117912C8B6D}"/>
    <cellStyle name="Normal 5 2 5 2 5" xfId="2156" xr:uid="{00000000-0005-0000-0000-000030190000}"/>
    <cellStyle name="Normal 5 2 5 2 5 2" xfId="4385" xr:uid="{00000000-0005-0000-0000-000031190000}"/>
    <cellStyle name="Normal 5 2 5 2 5 2 2" xfId="8608" xr:uid="{00000000-0005-0000-0000-000032190000}"/>
    <cellStyle name="Normal 5 2 5 2 5 2 2 2" xfId="17050" xr:uid="{8B8F6949-D285-4669-A81D-F55233F24373}"/>
    <cellStyle name="Normal 5 2 5 2 5 2 3" xfId="12832" xr:uid="{C26EC88E-705E-41EC-AF8C-F5CC65F724DF}"/>
    <cellStyle name="Normal 5 2 5 2 5 3" xfId="6463" xr:uid="{00000000-0005-0000-0000-000033190000}"/>
    <cellStyle name="Normal 5 2 5 2 5 3 2" xfId="14905" xr:uid="{C7645068-ECC7-41ED-BDD2-893FD5829299}"/>
    <cellStyle name="Normal 5 2 5 2 5 4" xfId="10687" xr:uid="{F9094300-687E-48E1-B691-DB1124B5E89E}"/>
    <cellStyle name="Normal 5 2 5 2 6" xfId="2592" xr:uid="{00000000-0005-0000-0000-000034190000}"/>
    <cellStyle name="Normal 5 2 5 2 6 2" xfId="6876" xr:uid="{00000000-0005-0000-0000-000035190000}"/>
    <cellStyle name="Normal 5 2 5 2 6 2 2" xfId="15318" xr:uid="{F53FD1C7-141B-487D-8D95-545B48F1CB69}"/>
    <cellStyle name="Normal 5 2 5 2 6 3" xfId="11100" xr:uid="{86CED3E7-7AEF-4A13-92B6-D703B565B18C}"/>
    <cellStyle name="Normal 5 2 5 2 7" xfId="4811" xr:uid="{00000000-0005-0000-0000-000036190000}"/>
    <cellStyle name="Normal 5 2 5 2 7 2" xfId="13253" xr:uid="{8994A5B1-2D13-4A06-970F-229BE30C6FBB}"/>
    <cellStyle name="Normal 5 2 5 2 8" xfId="9035" xr:uid="{03708A07-E23E-43D1-927F-4AFDFA779DC9}"/>
    <cellStyle name="Normal 5 2 5 3" xfId="910" xr:uid="{00000000-0005-0000-0000-000037190000}"/>
    <cellStyle name="Normal 5 2 5 3 2" xfId="3145" xr:uid="{00000000-0005-0000-0000-000038190000}"/>
    <cellStyle name="Normal 5 2 5 3 2 2" xfId="7368" xr:uid="{00000000-0005-0000-0000-000039190000}"/>
    <cellStyle name="Normal 5 2 5 3 2 2 2" xfId="15810" xr:uid="{A41287FE-7700-49B1-8A11-6CDE932972CC}"/>
    <cellStyle name="Normal 5 2 5 3 2 3" xfId="11592" xr:uid="{0359F569-482B-4133-823C-84B929359BEE}"/>
    <cellStyle name="Normal 5 2 5 3 3" xfId="5223" xr:uid="{00000000-0005-0000-0000-00003A190000}"/>
    <cellStyle name="Normal 5 2 5 3 3 2" xfId="13665" xr:uid="{EE95C980-8A6E-4D9B-A23A-A22EC4D89886}"/>
    <cellStyle name="Normal 5 2 5 3 4" xfId="9447" xr:uid="{933B02F5-3329-46A3-B3E5-AF6C01E409F4}"/>
    <cellStyle name="Normal 5 2 5 4" xfId="1328" xr:uid="{00000000-0005-0000-0000-00003B190000}"/>
    <cellStyle name="Normal 5 2 5 4 2" xfId="3558" xr:uid="{00000000-0005-0000-0000-00003C190000}"/>
    <cellStyle name="Normal 5 2 5 4 2 2" xfId="7781" xr:uid="{00000000-0005-0000-0000-00003D190000}"/>
    <cellStyle name="Normal 5 2 5 4 2 2 2" xfId="16223" xr:uid="{00133F35-2B15-4F6B-9692-07EB239E0AB6}"/>
    <cellStyle name="Normal 5 2 5 4 2 3" xfId="12005" xr:uid="{D09AE12F-4139-49C6-8189-71FBDA014267}"/>
    <cellStyle name="Normal 5 2 5 4 3" xfId="5636" xr:uid="{00000000-0005-0000-0000-00003E190000}"/>
    <cellStyle name="Normal 5 2 5 4 3 2" xfId="14078" xr:uid="{03D23485-3505-4C1A-AD23-3E2961ACE1DF}"/>
    <cellStyle name="Normal 5 2 5 4 4" xfId="9860" xr:uid="{10631FDE-0C4B-4654-BC0C-54E84212E279}"/>
    <cellStyle name="Normal 5 2 5 5" xfId="1741" xr:uid="{00000000-0005-0000-0000-00003F190000}"/>
    <cellStyle name="Normal 5 2 5 5 2" xfId="3971" xr:uid="{00000000-0005-0000-0000-000040190000}"/>
    <cellStyle name="Normal 5 2 5 5 2 2" xfId="8194" xr:uid="{00000000-0005-0000-0000-000041190000}"/>
    <cellStyle name="Normal 5 2 5 5 2 2 2" xfId="16636" xr:uid="{8163916F-D603-4F3B-B046-2202FBF2E5D8}"/>
    <cellStyle name="Normal 5 2 5 5 2 3" xfId="12418" xr:uid="{424906B9-9ADD-4D77-8100-2195D7390D8B}"/>
    <cellStyle name="Normal 5 2 5 5 3" xfId="6049" xr:uid="{00000000-0005-0000-0000-000042190000}"/>
    <cellStyle name="Normal 5 2 5 5 3 2" xfId="14491" xr:uid="{12957EEB-85DF-44FB-BAE0-32935A732839}"/>
    <cellStyle name="Normal 5 2 5 5 4" xfId="10273" xr:uid="{DFAD49F7-DFDD-4556-AE10-35197CDE7528}"/>
    <cellStyle name="Normal 5 2 5 6" xfId="2155" xr:uid="{00000000-0005-0000-0000-000043190000}"/>
    <cellStyle name="Normal 5 2 5 6 2" xfId="4384" xr:uid="{00000000-0005-0000-0000-000044190000}"/>
    <cellStyle name="Normal 5 2 5 6 2 2" xfId="8607" xr:uid="{00000000-0005-0000-0000-000045190000}"/>
    <cellStyle name="Normal 5 2 5 6 2 2 2" xfId="17049" xr:uid="{4DC24832-D1DB-4BC7-8BB3-ED960E36F429}"/>
    <cellStyle name="Normal 5 2 5 6 2 3" xfId="12831" xr:uid="{C4C58E23-0516-4583-A943-7C0A56F304A2}"/>
    <cellStyle name="Normal 5 2 5 6 3" xfId="6462" xr:uid="{00000000-0005-0000-0000-000046190000}"/>
    <cellStyle name="Normal 5 2 5 6 3 2" xfId="14904" xr:uid="{CA80EB94-7093-47D2-9AA8-CB4F3AC1D562}"/>
    <cellStyle name="Normal 5 2 5 6 4" xfId="10686" xr:uid="{E90E78FD-2961-4AE4-9998-9F944E0F5629}"/>
    <cellStyle name="Normal 5 2 5 7" xfId="2591" xr:uid="{00000000-0005-0000-0000-000047190000}"/>
    <cellStyle name="Normal 5 2 5 7 2" xfId="6875" xr:uid="{00000000-0005-0000-0000-000048190000}"/>
    <cellStyle name="Normal 5 2 5 7 2 2" xfId="15317" xr:uid="{AA100DCE-9E94-489E-8F6C-D06343D03ACB}"/>
    <cellStyle name="Normal 5 2 5 7 3" xfId="11099" xr:uid="{5A29CED3-6E84-4797-B950-81A5EC42984C}"/>
    <cellStyle name="Normal 5 2 5 8" xfId="4810" xr:uid="{00000000-0005-0000-0000-000049190000}"/>
    <cellStyle name="Normal 5 2 5 8 2" xfId="13252" xr:uid="{A7CBF470-CD30-41F6-B3E2-93A696E69EC6}"/>
    <cellStyle name="Normal 5 2 5 9" xfId="9034" xr:uid="{54C1E6C9-4FFF-476A-BFD1-A2B67839494C}"/>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2 2 2" xfId="15812" xr:uid="{A4A62E3C-EFC3-4989-98BD-8625E09AC7A8}"/>
    <cellStyle name="Normal 5 2 6 2 2 3" xfId="11594" xr:uid="{475A0D5A-0092-48EA-8C99-2DD82098252B}"/>
    <cellStyle name="Normal 5 2 6 2 3" xfId="5225" xr:uid="{00000000-0005-0000-0000-00004E190000}"/>
    <cellStyle name="Normal 5 2 6 2 3 2" xfId="13667" xr:uid="{05BACEC6-6089-423D-969D-603F58FC4ABE}"/>
    <cellStyle name="Normal 5 2 6 2 4" xfId="9449" xr:uid="{9E9E947A-FB35-4797-80DE-C637ACEDC062}"/>
    <cellStyle name="Normal 5 2 6 3" xfId="1330" xr:uid="{00000000-0005-0000-0000-00004F190000}"/>
    <cellStyle name="Normal 5 2 6 3 2" xfId="3560" xr:uid="{00000000-0005-0000-0000-000050190000}"/>
    <cellStyle name="Normal 5 2 6 3 2 2" xfId="7783" xr:uid="{00000000-0005-0000-0000-000051190000}"/>
    <cellStyle name="Normal 5 2 6 3 2 2 2" xfId="16225" xr:uid="{D98BCF7B-497B-4C75-8C8C-63C841A4753E}"/>
    <cellStyle name="Normal 5 2 6 3 2 3" xfId="12007" xr:uid="{7A37B8EE-382E-469A-96C8-4B499EE2608D}"/>
    <cellStyle name="Normal 5 2 6 3 3" xfId="5638" xr:uid="{00000000-0005-0000-0000-000052190000}"/>
    <cellStyle name="Normal 5 2 6 3 3 2" xfId="14080" xr:uid="{D21EC8EC-364D-4EE5-9D26-A3700335EFEA}"/>
    <cellStyle name="Normal 5 2 6 3 4" xfId="9862" xr:uid="{AA659C01-42AF-4C10-A7ED-D616FB97B371}"/>
    <cellStyle name="Normal 5 2 6 4" xfId="1743" xr:uid="{00000000-0005-0000-0000-000053190000}"/>
    <cellStyle name="Normal 5 2 6 4 2" xfId="3973" xr:uid="{00000000-0005-0000-0000-000054190000}"/>
    <cellStyle name="Normal 5 2 6 4 2 2" xfId="8196" xr:uid="{00000000-0005-0000-0000-000055190000}"/>
    <cellStyle name="Normal 5 2 6 4 2 2 2" xfId="16638" xr:uid="{A133A231-BE0A-4189-9DCD-857F04C24246}"/>
    <cellStyle name="Normal 5 2 6 4 2 3" xfId="12420" xr:uid="{63167086-1A95-4587-812D-E1CE607A4007}"/>
    <cellStyle name="Normal 5 2 6 4 3" xfId="6051" xr:uid="{00000000-0005-0000-0000-000056190000}"/>
    <cellStyle name="Normal 5 2 6 4 3 2" xfId="14493" xr:uid="{C6C2BBEA-3C77-444C-BD3C-E2F19E710B8D}"/>
    <cellStyle name="Normal 5 2 6 4 4" xfId="10275" xr:uid="{DF6E3218-DF93-456D-BC66-2438E19411F2}"/>
    <cellStyle name="Normal 5 2 6 5" xfId="2157" xr:uid="{00000000-0005-0000-0000-000057190000}"/>
    <cellStyle name="Normal 5 2 6 5 2" xfId="4386" xr:uid="{00000000-0005-0000-0000-000058190000}"/>
    <cellStyle name="Normal 5 2 6 5 2 2" xfId="8609" xr:uid="{00000000-0005-0000-0000-000059190000}"/>
    <cellStyle name="Normal 5 2 6 5 2 2 2" xfId="17051" xr:uid="{E3269F40-FF48-4B40-B9FE-682F875EA840}"/>
    <cellStyle name="Normal 5 2 6 5 2 3" xfId="12833" xr:uid="{E06A1659-5E8D-4F5E-A760-C40305F87C56}"/>
    <cellStyle name="Normal 5 2 6 5 3" xfId="6464" xr:uid="{00000000-0005-0000-0000-00005A190000}"/>
    <cellStyle name="Normal 5 2 6 5 3 2" xfId="14906" xr:uid="{E53E5BF1-99AD-4C82-BD9B-B4EBF02B69B6}"/>
    <cellStyle name="Normal 5 2 6 5 4" xfId="10688" xr:uid="{1C635F26-876E-4264-8BC3-E520B7CFC87F}"/>
    <cellStyle name="Normal 5 2 6 6" xfId="2593" xr:uid="{00000000-0005-0000-0000-00005B190000}"/>
    <cellStyle name="Normal 5 2 6 6 2" xfId="6877" xr:uid="{00000000-0005-0000-0000-00005C190000}"/>
    <cellStyle name="Normal 5 2 6 6 2 2" xfId="15319" xr:uid="{579935BC-B9BE-4581-B2CE-5A52657EE9AB}"/>
    <cellStyle name="Normal 5 2 6 6 3" xfId="11101" xr:uid="{63ACB740-C902-4FB0-9C04-298752DED92D}"/>
    <cellStyle name="Normal 5 2 6 7" xfId="4812" xr:uid="{00000000-0005-0000-0000-00005D190000}"/>
    <cellStyle name="Normal 5 2 6 7 2" xfId="13254" xr:uid="{9A7E5A10-EAE2-4294-8A16-7529DB01E91A}"/>
    <cellStyle name="Normal 5 2 6 8" xfId="9036" xr:uid="{017DAB78-2FB2-4F06-A583-01228094E4A3}"/>
    <cellStyle name="Normal 5 2 7" xfId="881" xr:uid="{00000000-0005-0000-0000-00005E190000}"/>
    <cellStyle name="Normal 5 2 7 2" xfId="3116" xr:uid="{00000000-0005-0000-0000-00005F190000}"/>
    <cellStyle name="Normal 5 2 7 2 2" xfId="7339" xr:uid="{00000000-0005-0000-0000-000060190000}"/>
    <cellStyle name="Normal 5 2 7 2 2 2" xfId="15781" xr:uid="{AC34D61F-A5B2-4386-A891-BD862A249393}"/>
    <cellStyle name="Normal 5 2 7 2 3" xfId="11563" xr:uid="{3A8EB14F-3486-47E9-A5A4-370E261D33B2}"/>
    <cellStyle name="Normal 5 2 7 3" xfId="5194" xr:uid="{00000000-0005-0000-0000-000061190000}"/>
    <cellStyle name="Normal 5 2 7 3 2" xfId="13636" xr:uid="{1D88BF1F-B03E-422B-B6D9-66E83DC6C635}"/>
    <cellStyle name="Normal 5 2 7 4" xfId="9418" xr:uid="{AE20FBC7-9511-4BD6-BF29-4D49CA3BD074}"/>
    <cellStyle name="Normal 5 2 8" xfId="1299" xr:uid="{00000000-0005-0000-0000-000062190000}"/>
    <cellStyle name="Normal 5 2 8 2" xfId="3529" xr:uid="{00000000-0005-0000-0000-000063190000}"/>
    <cellStyle name="Normal 5 2 8 2 2" xfId="7752" xr:uid="{00000000-0005-0000-0000-000064190000}"/>
    <cellStyle name="Normal 5 2 8 2 2 2" xfId="16194" xr:uid="{EFB1A1CB-7F09-42F0-A326-F9A4B7F1F62F}"/>
    <cellStyle name="Normal 5 2 8 2 3" xfId="11976" xr:uid="{C83F2E6B-8D86-4C14-AD5B-5E21BE1392AA}"/>
    <cellStyle name="Normal 5 2 8 3" xfId="5607" xr:uid="{00000000-0005-0000-0000-000065190000}"/>
    <cellStyle name="Normal 5 2 8 3 2" xfId="14049" xr:uid="{0A28CC8C-CE1F-4D7C-A5EF-45ACB88D58B6}"/>
    <cellStyle name="Normal 5 2 8 4" xfId="9831" xr:uid="{081EB8FA-3029-412C-BA24-07525A09E042}"/>
    <cellStyle name="Normal 5 2 9" xfId="1712" xr:uid="{00000000-0005-0000-0000-000066190000}"/>
    <cellStyle name="Normal 5 2 9 2" xfId="3942" xr:uid="{00000000-0005-0000-0000-000067190000}"/>
    <cellStyle name="Normal 5 2 9 2 2" xfId="8165" xr:uid="{00000000-0005-0000-0000-000068190000}"/>
    <cellStyle name="Normal 5 2 9 2 2 2" xfId="16607" xr:uid="{6580F04E-BE52-44AE-8817-ECFDA51A9DE2}"/>
    <cellStyle name="Normal 5 2 9 2 3" xfId="12389" xr:uid="{EEE13961-7753-4544-B86B-DB836110EBD9}"/>
    <cellStyle name="Normal 5 2 9 3" xfId="6020" xr:uid="{00000000-0005-0000-0000-000069190000}"/>
    <cellStyle name="Normal 5 2 9 3 2" xfId="14462" xr:uid="{429BB33E-D033-4798-ACD3-75A47EC460DE}"/>
    <cellStyle name="Normal 5 2 9 4" xfId="10244" xr:uid="{8E991934-E1D8-4804-93B9-6ECD9A5E681A}"/>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2 2 2" xfId="17052" xr:uid="{4F781675-F07C-47EE-A92E-1C3C4224D9BF}"/>
    <cellStyle name="Normal 5 3 10 2 3" xfId="12834" xr:uid="{37E91CC4-DB39-4C5E-A194-C329AD72659F}"/>
    <cellStyle name="Normal 5 3 10 3" xfId="6465" xr:uid="{00000000-0005-0000-0000-00006E190000}"/>
    <cellStyle name="Normal 5 3 10 3 2" xfId="14907" xr:uid="{A9EB5D23-48C2-4BD0-99F0-4E65A3D37253}"/>
    <cellStyle name="Normal 5 3 10 4" xfId="10689" xr:uid="{129A56B2-89EE-452C-AB04-19E0EC9AE6CF}"/>
    <cellStyle name="Normal 5 3 11" xfId="2594" xr:uid="{00000000-0005-0000-0000-00006F190000}"/>
    <cellStyle name="Normal 5 3 11 2" xfId="6878" xr:uid="{00000000-0005-0000-0000-000070190000}"/>
    <cellStyle name="Normal 5 3 11 2 2" xfId="15320" xr:uid="{586831A8-9952-41EA-8E7A-5A255823BDF1}"/>
    <cellStyle name="Normal 5 3 11 3" xfId="11102" xr:uid="{F8AB083F-9F53-4BA2-B2B2-F7910B09FFCB}"/>
    <cellStyle name="Normal 5 3 12" xfId="4813" xr:uid="{00000000-0005-0000-0000-000071190000}"/>
    <cellStyle name="Normal 5 3 12 2" xfId="13255" xr:uid="{E19F35C0-2AA0-41C9-A122-B6A6E5F1C54A}"/>
    <cellStyle name="Normal 5 3 13" xfId="9037" xr:uid="{7179A7C9-2197-4884-941E-6C1F1DE78811}"/>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10 2" xfId="13256" xr:uid="{603D16DC-A276-4B14-8685-3C182DAC4D02}"/>
    <cellStyle name="Normal 5 3 3 11" xfId="9038" xr:uid="{76363CF7-C955-4269-8CDE-FAE766547A9E}"/>
    <cellStyle name="Normal 5 3 3 2" xfId="442" xr:uid="{00000000-0005-0000-0000-000076190000}"/>
    <cellStyle name="Normal 5 3 3 2 10" xfId="9039" xr:uid="{4A98746F-A2D1-4906-AE29-99BE7B3B819F}"/>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2 2 2" xfId="15817" xr:uid="{2BD7D7D9-CC3B-45CF-8ACA-EF306B7776A3}"/>
    <cellStyle name="Normal 5 3 3 2 2 2 2 2 3" xfId="11599" xr:uid="{0265EBD8-FCF7-4813-ACDF-EA7DC99ECAD9}"/>
    <cellStyle name="Normal 5 3 3 2 2 2 2 3" xfId="5230" xr:uid="{00000000-0005-0000-0000-00007C190000}"/>
    <cellStyle name="Normal 5 3 3 2 2 2 2 3 2" xfId="13672" xr:uid="{32F24F5C-E6B2-42E4-ABB7-8716DCDF3604}"/>
    <cellStyle name="Normal 5 3 3 2 2 2 2 4" xfId="9454" xr:uid="{1EEA0B88-D40E-4E77-A729-31DD120E3E0C}"/>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2 2 2" xfId="16230" xr:uid="{6B405B0E-5107-48EB-BDB9-38C61416F8D5}"/>
    <cellStyle name="Normal 5 3 3 2 2 2 3 2 3" xfId="12012" xr:uid="{7C9A4A9B-DB6D-4338-83E0-E7303E8035AB}"/>
    <cellStyle name="Normal 5 3 3 2 2 2 3 3" xfId="5643" xr:uid="{00000000-0005-0000-0000-000080190000}"/>
    <cellStyle name="Normal 5 3 3 2 2 2 3 3 2" xfId="14085" xr:uid="{90E0F23E-372E-4DB9-9D34-BD10A161FB67}"/>
    <cellStyle name="Normal 5 3 3 2 2 2 3 4" xfId="9867" xr:uid="{7027932E-0407-4285-87EC-C8C3B1A94D62}"/>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2 2 2" xfId="16643" xr:uid="{61220486-1858-4C4B-99B5-654682F0D62E}"/>
    <cellStyle name="Normal 5 3 3 2 2 2 4 2 3" xfId="12425" xr:uid="{7CDA982D-BACA-496F-B016-9194DAD041B8}"/>
    <cellStyle name="Normal 5 3 3 2 2 2 4 3" xfId="6056" xr:uid="{00000000-0005-0000-0000-000084190000}"/>
    <cellStyle name="Normal 5 3 3 2 2 2 4 3 2" xfId="14498" xr:uid="{C6E4B763-1992-4770-A973-1D1FB80D8678}"/>
    <cellStyle name="Normal 5 3 3 2 2 2 4 4" xfId="10280" xr:uid="{E6CFE43E-EABE-4DAA-B459-99EB8105107B}"/>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2 2 2" xfId="17056" xr:uid="{1F3A94DF-DA61-43DF-AECA-FC2501740353}"/>
    <cellStyle name="Normal 5 3 3 2 2 2 5 2 3" xfId="12838" xr:uid="{DC9BD9E2-49B1-40EB-A574-EB93012C7003}"/>
    <cellStyle name="Normal 5 3 3 2 2 2 5 3" xfId="6469" xr:uid="{00000000-0005-0000-0000-000088190000}"/>
    <cellStyle name="Normal 5 3 3 2 2 2 5 3 2" xfId="14911" xr:uid="{11928D69-CE19-4232-AF1B-4466514B7A0F}"/>
    <cellStyle name="Normal 5 3 3 2 2 2 5 4" xfId="10693" xr:uid="{0C65D498-7E65-4813-8346-BF24D392C28E}"/>
    <cellStyle name="Normal 5 3 3 2 2 2 6" xfId="2598" xr:uid="{00000000-0005-0000-0000-000089190000}"/>
    <cellStyle name="Normal 5 3 3 2 2 2 6 2" xfId="6882" xr:uid="{00000000-0005-0000-0000-00008A190000}"/>
    <cellStyle name="Normal 5 3 3 2 2 2 6 2 2" xfId="15324" xr:uid="{4F61BE30-E79D-4C87-99CC-34BBD166F307}"/>
    <cellStyle name="Normal 5 3 3 2 2 2 6 3" xfId="11106" xr:uid="{A29D3FF5-D9E9-4542-A1B6-407DE2471130}"/>
    <cellStyle name="Normal 5 3 3 2 2 2 7" xfId="4817" xr:uid="{00000000-0005-0000-0000-00008B190000}"/>
    <cellStyle name="Normal 5 3 3 2 2 2 7 2" xfId="13259" xr:uid="{E1C08FEA-A30D-4C8A-B7BE-7DDA2F6F13D3}"/>
    <cellStyle name="Normal 5 3 3 2 2 2 8" xfId="9041" xr:uid="{6ED74EC2-84FE-4BE3-93AD-EBC9265B7089}"/>
    <cellStyle name="Normal 5 3 3 2 2 3" xfId="917" xr:uid="{00000000-0005-0000-0000-00008C190000}"/>
    <cellStyle name="Normal 5 3 3 2 2 3 2" xfId="3151" xr:uid="{00000000-0005-0000-0000-00008D190000}"/>
    <cellStyle name="Normal 5 3 3 2 2 3 2 2" xfId="7374" xr:uid="{00000000-0005-0000-0000-00008E190000}"/>
    <cellStyle name="Normal 5 3 3 2 2 3 2 2 2" xfId="15816" xr:uid="{4A4A0A49-90BB-4E2F-BA45-4D0C21476097}"/>
    <cellStyle name="Normal 5 3 3 2 2 3 2 3" xfId="11598" xr:uid="{8091DDE7-6072-42A5-80B2-CA51AD4AC947}"/>
    <cellStyle name="Normal 5 3 3 2 2 3 3" xfId="5229" xr:uid="{00000000-0005-0000-0000-00008F190000}"/>
    <cellStyle name="Normal 5 3 3 2 2 3 3 2" xfId="13671" xr:uid="{E0B0C9A7-782F-4417-9EC0-C019A4FA735C}"/>
    <cellStyle name="Normal 5 3 3 2 2 3 4" xfId="9453" xr:uid="{9F1BFC6A-583A-4272-96FF-DC427996D1E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2 2 2" xfId="16229" xr:uid="{0E61A642-FE23-4368-A608-25BF4E86558F}"/>
    <cellStyle name="Normal 5 3 3 2 2 4 2 3" xfId="12011" xr:uid="{C1172308-E14F-4D1A-9348-119BF2D4E327}"/>
    <cellStyle name="Normal 5 3 3 2 2 4 3" xfId="5642" xr:uid="{00000000-0005-0000-0000-000093190000}"/>
    <cellStyle name="Normal 5 3 3 2 2 4 3 2" xfId="14084" xr:uid="{E61E0005-BDF2-4112-A489-1701555C652B}"/>
    <cellStyle name="Normal 5 3 3 2 2 4 4" xfId="9866" xr:uid="{684DAFCC-08C2-40FE-ABE8-A5488CAAFC28}"/>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2 2 2" xfId="16642" xr:uid="{91DB0445-49AC-4658-8AC9-30BD0C38ED88}"/>
    <cellStyle name="Normal 5 3 3 2 2 5 2 3" xfId="12424" xr:uid="{2FC30B78-2099-41E0-BBAD-E9750FB1395E}"/>
    <cellStyle name="Normal 5 3 3 2 2 5 3" xfId="6055" xr:uid="{00000000-0005-0000-0000-000097190000}"/>
    <cellStyle name="Normal 5 3 3 2 2 5 3 2" xfId="14497" xr:uid="{30E93A73-9A64-46BE-B12F-A6446C9334BB}"/>
    <cellStyle name="Normal 5 3 3 2 2 5 4" xfId="10279" xr:uid="{5BD361B4-3CC7-4C14-AB19-FCB9A542055F}"/>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2 2 2" xfId="17055" xr:uid="{FA51B80C-9D56-4759-BA67-0266DBD6445A}"/>
    <cellStyle name="Normal 5 3 3 2 2 6 2 3" xfId="12837" xr:uid="{2CEF83BA-4B9B-4D61-93DB-D0280C91AFB9}"/>
    <cellStyle name="Normal 5 3 3 2 2 6 3" xfId="6468" xr:uid="{00000000-0005-0000-0000-00009B190000}"/>
    <cellStyle name="Normal 5 3 3 2 2 6 3 2" xfId="14910" xr:uid="{638EFAA7-E133-478A-A5EF-BAEC7B24411A}"/>
    <cellStyle name="Normal 5 3 3 2 2 6 4" xfId="10692" xr:uid="{59B70F9C-C625-4D4D-BB5B-6970ACBD17DF}"/>
    <cellStyle name="Normal 5 3 3 2 2 7" xfId="2597" xr:uid="{00000000-0005-0000-0000-00009C190000}"/>
    <cellStyle name="Normal 5 3 3 2 2 7 2" xfId="6881" xr:uid="{00000000-0005-0000-0000-00009D190000}"/>
    <cellStyle name="Normal 5 3 3 2 2 7 2 2" xfId="15323" xr:uid="{97A91008-0C3E-4572-A210-164394EEC9FC}"/>
    <cellStyle name="Normal 5 3 3 2 2 7 3" xfId="11105" xr:uid="{4A0873FC-040A-4E82-80D6-6CAD4C2C7410}"/>
    <cellStyle name="Normal 5 3 3 2 2 8" xfId="4816" xr:uid="{00000000-0005-0000-0000-00009E190000}"/>
    <cellStyle name="Normal 5 3 3 2 2 8 2" xfId="13258" xr:uid="{775E4E3D-2525-4D0B-98BB-73998EA38EA4}"/>
    <cellStyle name="Normal 5 3 3 2 2 9" xfId="9040" xr:uid="{EC711E99-EF2C-499F-B602-0FBCEC32B31A}"/>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2 2 2" xfId="15818" xr:uid="{B2FA64BF-AC74-4535-A5D8-8E3B4F54EC42}"/>
    <cellStyle name="Normal 5 3 3 2 3 2 2 3" xfId="11600" xr:uid="{8841206F-F68A-4C02-9544-9DA7F813E7BE}"/>
    <cellStyle name="Normal 5 3 3 2 3 2 3" xfId="5231" xr:uid="{00000000-0005-0000-0000-0000A3190000}"/>
    <cellStyle name="Normal 5 3 3 2 3 2 3 2" xfId="13673" xr:uid="{53E03CA5-7AE7-49BE-8C0B-37C7D331C8BA}"/>
    <cellStyle name="Normal 5 3 3 2 3 2 4" xfId="9455" xr:uid="{70145561-8FAB-4572-B006-B2DED261306D}"/>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2 2 2" xfId="16231" xr:uid="{5DCF6E54-48CF-435D-B550-9A93353EB86D}"/>
    <cellStyle name="Normal 5 3 3 2 3 3 2 3" xfId="12013" xr:uid="{0A8171B6-174D-46DE-A547-01EE539424CA}"/>
    <cellStyle name="Normal 5 3 3 2 3 3 3" xfId="5644" xr:uid="{00000000-0005-0000-0000-0000A7190000}"/>
    <cellStyle name="Normal 5 3 3 2 3 3 3 2" xfId="14086" xr:uid="{C60BE287-B8AA-46A8-860E-63129AB37674}"/>
    <cellStyle name="Normal 5 3 3 2 3 3 4" xfId="9868" xr:uid="{CC8C83E5-48FA-4E43-A3D5-666391F082A7}"/>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2 2 2" xfId="16644" xr:uid="{B83C5BF5-953A-46CA-BA53-CB53900B8E87}"/>
    <cellStyle name="Normal 5 3 3 2 3 4 2 3" xfId="12426" xr:uid="{1E199A07-F0A8-4D72-A8B5-F8891BB1E389}"/>
    <cellStyle name="Normal 5 3 3 2 3 4 3" xfId="6057" xr:uid="{00000000-0005-0000-0000-0000AB190000}"/>
    <cellStyle name="Normal 5 3 3 2 3 4 3 2" xfId="14499" xr:uid="{211FD01A-9838-4F35-AFAA-1F58FAEC0AEF}"/>
    <cellStyle name="Normal 5 3 3 2 3 4 4" xfId="10281" xr:uid="{3B2488ED-CB87-411E-ABAE-66A26C5EB0A7}"/>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2 2 2" xfId="17057" xr:uid="{B1871801-498D-46F4-8232-344FE7FC8643}"/>
    <cellStyle name="Normal 5 3 3 2 3 5 2 3" xfId="12839" xr:uid="{B4769B40-8B7E-4750-8915-82178BE66E9C}"/>
    <cellStyle name="Normal 5 3 3 2 3 5 3" xfId="6470" xr:uid="{00000000-0005-0000-0000-0000AF190000}"/>
    <cellStyle name="Normal 5 3 3 2 3 5 3 2" xfId="14912" xr:uid="{04ED6CDB-6CC9-4BF9-BC6F-2228785A727C}"/>
    <cellStyle name="Normal 5 3 3 2 3 5 4" xfId="10694" xr:uid="{936E253D-407A-499B-8F4D-D848D001551D}"/>
    <cellStyle name="Normal 5 3 3 2 3 6" xfId="2599" xr:uid="{00000000-0005-0000-0000-0000B0190000}"/>
    <cellStyle name="Normal 5 3 3 2 3 6 2" xfId="6883" xr:uid="{00000000-0005-0000-0000-0000B1190000}"/>
    <cellStyle name="Normal 5 3 3 2 3 6 2 2" xfId="15325" xr:uid="{C58C6E91-E896-46CA-A98B-E64212CB2055}"/>
    <cellStyle name="Normal 5 3 3 2 3 6 3" xfId="11107" xr:uid="{004499E3-652C-4F34-970B-A5F7CDDFD47B}"/>
    <cellStyle name="Normal 5 3 3 2 3 7" xfId="4818" xr:uid="{00000000-0005-0000-0000-0000B2190000}"/>
    <cellStyle name="Normal 5 3 3 2 3 7 2" xfId="13260" xr:uid="{C77BE639-F3E0-4F5D-840A-854C61CC3847}"/>
    <cellStyle name="Normal 5 3 3 2 3 8" xfId="9042" xr:uid="{23FCBF14-56BB-4AD4-A160-353050B0B2DA}"/>
    <cellStyle name="Normal 5 3 3 2 4" xfId="916" xr:uid="{00000000-0005-0000-0000-0000B3190000}"/>
    <cellStyle name="Normal 5 3 3 2 4 2" xfId="3150" xr:uid="{00000000-0005-0000-0000-0000B4190000}"/>
    <cellStyle name="Normal 5 3 3 2 4 2 2" xfId="7373" xr:uid="{00000000-0005-0000-0000-0000B5190000}"/>
    <cellStyle name="Normal 5 3 3 2 4 2 2 2" xfId="15815" xr:uid="{A066A6AD-C7D4-483E-9CE0-0457663E852B}"/>
    <cellStyle name="Normal 5 3 3 2 4 2 3" xfId="11597" xr:uid="{0DB09290-84CE-406F-9013-AA531F2685DD}"/>
    <cellStyle name="Normal 5 3 3 2 4 3" xfId="5228" xr:uid="{00000000-0005-0000-0000-0000B6190000}"/>
    <cellStyle name="Normal 5 3 3 2 4 3 2" xfId="13670" xr:uid="{C501C135-F775-4060-9B38-D45C737657D5}"/>
    <cellStyle name="Normal 5 3 3 2 4 4" xfId="9452" xr:uid="{D13CE422-CB3B-4B80-8AA8-967101CB6F58}"/>
    <cellStyle name="Normal 5 3 3 2 5" xfId="1333" xr:uid="{00000000-0005-0000-0000-0000B7190000}"/>
    <cellStyle name="Normal 5 3 3 2 5 2" xfId="3563" xr:uid="{00000000-0005-0000-0000-0000B8190000}"/>
    <cellStyle name="Normal 5 3 3 2 5 2 2" xfId="7786" xr:uid="{00000000-0005-0000-0000-0000B9190000}"/>
    <cellStyle name="Normal 5 3 3 2 5 2 2 2" xfId="16228" xr:uid="{E86F54F6-1F31-492D-A658-B812C064256B}"/>
    <cellStyle name="Normal 5 3 3 2 5 2 3" xfId="12010" xr:uid="{EA278ABD-4CE1-49AB-B328-B73EB5CAC103}"/>
    <cellStyle name="Normal 5 3 3 2 5 3" xfId="5641" xr:uid="{00000000-0005-0000-0000-0000BA190000}"/>
    <cellStyle name="Normal 5 3 3 2 5 3 2" xfId="14083" xr:uid="{EFEE1430-4C51-44B5-BFA4-750253118EC0}"/>
    <cellStyle name="Normal 5 3 3 2 5 4" xfId="9865" xr:uid="{825D418A-AE02-4816-9161-2554AABFA5FC}"/>
    <cellStyle name="Normal 5 3 3 2 6" xfId="1746" xr:uid="{00000000-0005-0000-0000-0000BB190000}"/>
    <cellStyle name="Normal 5 3 3 2 6 2" xfId="3976" xr:uid="{00000000-0005-0000-0000-0000BC190000}"/>
    <cellStyle name="Normal 5 3 3 2 6 2 2" xfId="8199" xr:uid="{00000000-0005-0000-0000-0000BD190000}"/>
    <cellStyle name="Normal 5 3 3 2 6 2 2 2" xfId="16641" xr:uid="{D92719AD-2FE5-4851-B3B5-C854526E97AD}"/>
    <cellStyle name="Normal 5 3 3 2 6 2 3" xfId="12423" xr:uid="{FB8C4429-28E5-4063-A380-5C9392E4E252}"/>
    <cellStyle name="Normal 5 3 3 2 6 3" xfId="6054" xr:uid="{00000000-0005-0000-0000-0000BE190000}"/>
    <cellStyle name="Normal 5 3 3 2 6 3 2" xfId="14496" xr:uid="{4F2F3CF7-01C2-4912-B500-DB4E41AABAAD}"/>
    <cellStyle name="Normal 5 3 3 2 6 4" xfId="10278" xr:uid="{8386A5C5-843E-4C26-B772-BDDDD354EF03}"/>
    <cellStyle name="Normal 5 3 3 2 7" xfId="2160" xr:uid="{00000000-0005-0000-0000-0000BF190000}"/>
    <cellStyle name="Normal 5 3 3 2 7 2" xfId="4389" xr:uid="{00000000-0005-0000-0000-0000C0190000}"/>
    <cellStyle name="Normal 5 3 3 2 7 2 2" xfId="8612" xr:uid="{00000000-0005-0000-0000-0000C1190000}"/>
    <cellStyle name="Normal 5 3 3 2 7 2 2 2" xfId="17054" xr:uid="{9600D865-BA25-4639-9390-264FCD00A3ED}"/>
    <cellStyle name="Normal 5 3 3 2 7 2 3" xfId="12836" xr:uid="{2D79F541-C997-4EAB-9FF0-D2391F4FCB02}"/>
    <cellStyle name="Normal 5 3 3 2 7 3" xfId="6467" xr:uid="{00000000-0005-0000-0000-0000C2190000}"/>
    <cellStyle name="Normal 5 3 3 2 7 3 2" xfId="14909" xr:uid="{4990D054-1068-4A0B-B20B-8DB17A634809}"/>
    <cellStyle name="Normal 5 3 3 2 7 4" xfId="10691" xr:uid="{CA915A4F-97D3-4B80-94D7-B23BD821A69E}"/>
    <cellStyle name="Normal 5 3 3 2 8" xfId="2596" xr:uid="{00000000-0005-0000-0000-0000C3190000}"/>
    <cellStyle name="Normal 5 3 3 2 8 2" xfId="6880" xr:uid="{00000000-0005-0000-0000-0000C4190000}"/>
    <cellStyle name="Normal 5 3 3 2 8 2 2" xfId="15322" xr:uid="{C71D31CE-56E0-4455-A7E6-B526AC92694C}"/>
    <cellStyle name="Normal 5 3 3 2 8 3" xfId="11104" xr:uid="{E9440E1D-A2AE-43F3-B258-911039926329}"/>
    <cellStyle name="Normal 5 3 3 2 9" xfId="4815" xr:uid="{00000000-0005-0000-0000-0000C5190000}"/>
    <cellStyle name="Normal 5 3 3 2 9 2" xfId="13257" xr:uid="{40420999-8589-4346-B693-BC85579464B5}"/>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2 2 2" xfId="15820" xr:uid="{20ED0A54-D62A-4444-80A6-DAC99F2AACAC}"/>
    <cellStyle name="Normal 5 3 3 3 2 2 2 3" xfId="11602" xr:uid="{65DD660F-E40F-4E1B-A6E0-248965113087}"/>
    <cellStyle name="Normal 5 3 3 3 2 2 3" xfId="5233" xr:uid="{00000000-0005-0000-0000-0000CB190000}"/>
    <cellStyle name="Normal 5 3 3 3 2 2 3 2" xfId="13675" xr:uid="{E256A21E-D167-4C52-9FDB-729E72104DD0}"/>
    <cellStyle name="Normal 5 3 3 3 2 2 4" xfId="9457" xr:uid="{0F3BAA1D-42E4-4DB6-97A6-083B7AD58AF9}"/>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2 2 2" xfId="16233" xr:uid="{0C2B0FD1-D03D-43E7-BEB1-BB12D4FBAA11}"/>
    <cellStyle name="Normal 5 3 3 3 2 3 2 3" xfId="12015" xr:uid="{961A608E-BD75-422E-B431-76183BD37130}"/>
    <cellStyle name="Normal 5 3 3 3 2 3 3" xfId="5646" xr:uid="{00000000-0005-0000-0000-0000CF190000}"/>
    <cellStyle name="Normal 5 3 3 3 2 3 3 2" xfId="14088" xr:uid="{08EC508A-1EED-4D66-80A5-1F4C7F69AB6F}"/>
    <cellStyle name="Normal 5 3 3 3 2 3 4" xfId="9870" xr:uid="{36FAF340-8168-4932-BABC-34D69C1E33E3}"/>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2 2 2" xfId="16646" xr:uid="{1E70443D-EAE0-422F-948B-B30FA594F77B}"/>
    <cellStyle name="Normal 5 3 3 3 2 4 2 3" xfId="12428" xr:uid="{E5926DA0-E546-42F2-B8A4-5962C5859F8A}"/>
    <cellStyle name="Normal 5 3 3 3 2 4 3" xfId="6059" xr:uid="{00000000-0005-0000-0000-0000D3190000}"/>
    <cellStyle name="Normal 5 3 3 3 2 4 3 2" xfId="14501" xr:uid="{DBC7F987-A3A4-4681-8D75-7DB0520FC525}"/>
    <cellStyle name="Normal 5 3 3 3 2 4 4" xfId="10283" xr:uid="{4EFCF460-8F07-4BBE-9082-E0921BE802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2 2 2" xfId="17059" xr:uid="{395CEEB5-0CA0-4B3E-B638-9A99AF419EB2}"/>
    <cellStyle name="Normal 5 3 3 3 2 5 2 3" xfId="12841" xr:uid="{CA81300F-A340-42FC-8BF2-948220EF1BDB}"/>
    <cellStyle name="Normal 5 3 3 3 2 5 3" xfId="6472" xr:uid="{00000000-0005-0000-0000-0000D7190000}"/>
    <cellStyle name="Normal 5 3 3 3 2 5 3 2" xfId="14914" xr:uid="{DD0917E3-684B-49B9-8C4B-503DBFB7064F}"/>
    <cellStyle name="Normal 5 3 3 3 2 5 4" xfId="10696" xr:uid="{FEDFA27F-0685-44DC-8AF9-ED25EACD5E17}"/>
    <cellStyle name="Normal 5 3 3 3 2 6" xfId="2601" xr:uid="{00000000-0005-0000-0000-0000D8190000}"/>
    <cellStyle name="Normal 5 3 3 3 2 6 2" xfId="6885" xr:uid="{00000000-0005-0000-0000-0000D9190000}"/>
    <cellStyle name="Normal 5 3 3 3 2 6 2 2" xfId="15327" xr:uid="{FA61CF00-B8BE-4E23-9700-952434381479}"/>
    <cellStyle name="Normal 5 3 3 3 2 6 3" xfId="11109" xr:uid="{043131A8-A3A1-4C2D-84DA-C8C54A12D92B}"/>
    <cellStyle name="Normal 5 3 3 3 2 7" xfId="4820" xr:uid="{00000000-0005-0000-0000-0000DA190000}"/>
    <cellStyle name="Normal 5 3 3 3 2 7 2" xfId="13262" xr:uid="{3790BA6D-4139-4ED5-9C40-3AE10FDBBFC0}"/>
    <cellStyle name="Normal 5 3 3 3 2 8" xfId="9044" xr:uid="{65D1EA15-3964-4933-AF92-F9CCA0AB9400}"/>
    <cellStyle name="Normal 5 3 3 3 3" xfId="920" xr:uid="{00000000-0005-0000-0000-0000DB190000}"/>
    <cellStyle name="Normal 5 3 3 3 3 2" xfId="3154" xr:uid="{00000000-0005-0000-0000-0000DC190000}"/>
    <cellStyle name="Normal 5 3 3 3 3 2 2" xfId="7377" xr:uid="{00000000-0005-0000-0000-0000DD190000}"/>
    <cellStyle name="Normal 5 3 3 3 3 2 2 2" xfId="15819" xr:uid="{AB974439-5ACC-4609-BF2D-7727D7943770}"/>
    <cellStyle name="Normal 5 3 3 3 3 2 3" xfId="11601" xr:uid="{481422FD-939E-4A5A-B8CE-75774E00C523}"/>
    <cellStyle name="Normal 5 3 3 3 3 3" xfId="5232" xr:uid="{00000000-0005-0000-0000-0000DE190000}"/>
    <cellStyle name="Normal 5 3 3 3 3 3 2" xfId="13674" xr:uid="{CD245699-A1DE-4BB7-8134-C8A465464E7C}"/>
    <cellStyle name="Normal 5 3 3 3 3 4" xfId="9456" xr:uid="{71F8F55C-A416-4EAB-9227-6E969B2B9F3A}"/>
    <cellStyle name="Normal 5 3 3 3 4" xfId="1337" xr:uid="{00000000-0005-0000-0000-0000DF190000}"/>
    <cellStyle name="Normal 5 3 3 3 4 2" xfId="3567" xr:uid="{00000000-0005-0000-0000-0000E0190000}"/>
    <cellStyle name="Normal 5 3 3 3 4 2 2" xfId="7790" xr:uid="{00000000-0005-0000-0000-0000E1190000}"/>
    <cellStyle name="Normal 5 3 3 3 4 2 2 2" xfId="16232" xr:uid="{826351F4-A640-478C-8293-ECA4CAEB8297}"/>
    <cellStyle name="Normal 5 3 3 3 4 2 3" xfId="12014" xr:uid="{57C61953-C850-4053-B44A-FB6B5DC8CABD}"/>
    <cellStyle name="Normal 5 3 3 3 4 3" xfId="5645" xr:uid="{00000000-0005-0000-0000-0000E2190000}"/>
    <cellStyle name="Normal 5 3 3 3 4 3 2" xfId="14087" xr:uid="{A46FA2E6-7A23-4124-923E-EA4EA8B50811}"/>
    <cellStyle name="Normal 5 3 3 3 4 4" xfId="9869" xr:uid="{58A0FA1D-847B-438E-B042-59C27CD02CFA}"/>
    <cellStyle name="Normal 5 3 3 3 5" xfId="1750" xr:uid="{00000000-0005-0000-0000-0000E3190000}"/>
    <cellStyle name="Normal 5 3 3 3 5 2" xfId="3980" xr:uid="{00000000-0005-0000-0000-0000E4190000}"/>
    <cellStyle name="Normal 5 3 3 3 5 2 2" xfId="8203" xr:uid="{00000000-0005-0000-0000-0000E5190000}"/>
    <cellStyle name="Normal 5 3 3 3 5 2 2 2" xfId="16645" xr:uid="{E082D8BA-F17A-4691-91AA-AA0A3E6C1B53}"/>
    <cellStyle name="Normal 5 3 3 3 5 2 3" xfId="12427" xr:uid="{539C8A45-A064-4A1A-8EB3-23E6666B08E9}"/>
    <cellStyle name="Normal 5 3 3 3 5 3" xfId="6058" xr:uid="{00000000-0005-0000-0000-0000E6190000}"/>
    <cellStyle name="Normal 5 3 3 3 5 3 2" xfId="14500" xr:uid="{3AEEF8C0-DC49-468A-A784-C6692816A861}"/>
    <cellStyle name="Normal 5 3 3 3 5 4" xfId="10282" xr:uid="{0A9B0F1C-E3DD-4C7F-A514-C7984CCE8B7C}"/>
    <cellStyle name="Normal 5 3 3 3 6" xfId="2164" xr:uid="{00000000-0005-0000-0000-0000E7190000}"/>
    <cellStyle name="Normal 5 3 3 3 6 2" xfId="4393" xr:uid="{00000000-0005-0000-0000-0000E8190000}"/>
    <cellStyle name="Normal 5 3 3 3 6 2 2" xfId="8616" xr:uid="{00000000-0005-0000-0000-0000E9190000}"/>
    <cellStyle name="Normal 5 3 3 3 6 2 2 2" xfId="17058" xr:uid="{AF6CC792-6858-4451-B094-CC2FF08496CC}"/>
    <cellStyle name="Normal 5 3 3 3 6 2 3" xfId="12840" xr:uid="{51A1ADC6-09EF-443F-B574-6372D2D0558F}"/>
    <cellStyle name="Normal 5 3 3 3 6 3" xfId="6471" xr:uid="{00000000-0005-0000-0000-0000EA190000}"/>
    <cellStyle name="Normal 5 3 3 3 6 3 2" xfId="14913" xr:uid="{AAD33964-733A-4BC0-9CD5-CCD06EECD898}"/>
    <cellStyle name="Normal 5 3 3 3 6 4" xfId="10695" xr:uid="{BE154DCD-BDC4-4648-BEEC-1283EC2E1079}"/>
    <cellStyle name="Normal 5 3 3 3 7" xfId="2600" xr:uid="{00000000-0005-0000-0000-0000EB190000}"/>
    <cellStyle name="Normal 5 3 3 3 7 2" xfId="6884" xr:uid="{00000000-0005-0000-0000-0000EC190000}"/>
    <cellStyle name="Normal 5 3 3 3 7 2 2" xfId="15326" xr:uid="{86D706A0-1713-42E2-99EC-B62C3D49C1D3}"/>
    <cellStyle name="Normal 5 3 3 3 7 3" xfId="11108" xr:uid="{B10866C7-1E83-4404-A164-45A739FCCF22}"/>
    <cellStyle name="Normal 5 3 3 3 8" xfId="4819" xr:uid="{00000000-0005-0000-0000-0000ED190000}"/>
    <cellStyle name="Normal 5 3 3 3 8 2" xfId="13261" xr:uid="{B808D418-9D66-48CC-9E2A-B250659C00B5}"/>
    <cellStyle name="Normal 5 3 3 3 9" xfId="9043" xr:uid="{485D8728-5E99-4631-A01E-B1C1BD26FA25}"/>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2 2 2" xfId="15821" xr:uid="{C2930555-BAF3-46BA-9EB3-D0A4E616D847}"/>
    <cellStyle name="Normal 5 3 3 4 2 2 3" xfId="11603" xr:uid="{677A238C-AF30-49CC-AE94-886E1D8E4812}"/>
    <cellStyle name="Normal 5 3 3 4 2 3" xfId="5234" xr:uid="{00000000-0005-0000-0000-0000F2190000}"/>
    <cellStyle name="Normal 5 3 3 4 2 3 2" xfId="13676" xr:uid="{8B24785C-60A2-4445-9CE2-0085883A36B3}"/>
    <cellStyle name="Normal 5 3 3 4 2 4" xfId="9458" xr:uid="{67D189B3-1161-4D4F-9567-10FF6689F7DB}"/>
    <cellStyle name="Normal 5 3 3 4 3" xfId="1339" xr:uid="{00000000-0005-0000-0000-0000F3190000}"/>
    <cellStyle name="Normal 5 3 3 4 3 2" xfId="3569" xr:uid="{00000000-0005-0000-0000-0000F4190000}"/>
    <cellStyle name="Normal 5 3 3 4 3 2 2" xfId="7792" xr:uid="{00000000-0005-0000-0000-0000F5190000}"/>
    <cellStyle name="Normal 5 3 3 4 3 2 2 2" xfId="16234" xr:uid="{6070313A-F0EE-4FF2-9FFF-9B01AC3DDC1F}"/>
    <cellStyle name="Normal 5 3 3 4 3 2 3" xfId="12016" xr:uid="{AD2BFC9B-C769-44EB-8AAF-B3A694B4C760}"/>
    <cellStyle name="Normal 5 3 3 4 3 3" xfId="5647" xr:uid="{00000000-0005-0000-0000-0000F6190000}"/>
    <cellStyle name="Normal 5 3 3 4 3 3 2" xfId="14089" xr:uid="{C978EDC4-5BE7-49E9-94FB-89FFB662C654}"/>
    <cellStyle name="Normal 5 3 3 4 3 4" xfId="9871" xr:uid="{66B6D7A1-69DF-412B-8887-A9079FFFADE2}"/>
    <cellStyle name="Normal 5 3 3 4 4" xfId="1752" xr:uid="{00000000-0005-0000-0000-0000F7190000}"/>
    <cellStyle name="Normal 5 3 3 4 4 2" xfId="3982" xr:uid="{00000000-0005-0000-0000-0000F8190000}"/>
    <cellStyle name="Normal 5 3 3 4 4 2 2" xfId="8205" xr:uid="{00000000-0005-0000-0000-0000F9190000}"/>
    <cellStyle name="Normal 5 3 3 4 4 2 2 2" xfId="16647" xr:uid="{7441E5F9-B703-4ADA-92A6-2A69730BE18F}"/>
    <cellStyle name="Normal 5 3 3 4 4 2 3" xfId="12429" xr:uid="{3829E27F-E057-4F5A-9112-9EF9F9E79238}"/>
    <cellStyle name="Normal 5 3 3 4 4 3" xfId="6060" xr:uid="{00000000-0005-0000-0000-0000FA190000}"/>
    <cellStyle name="Normal 5 3 3 4 4 3 2" xfId="14502" xr:uid="{15FF5274-801E-43F7-BDF2-59D2A20A07EE}"/>
    <cellStyle name="Normal 5 3 3 4 4 4" xfId="10284" xr:uid="{142DB867-2EB5-4FCC-A0EC-3DAABE14D3CF}"/>
    <cellStyle name="Normal 5 3 3 4 5" xfId="2166" xr:uid="{00000000-0005-0000-0000-0000FB190000}"/>
    <cellStyle name="Normal 5 3 3 4 5 2" xfId="4395" xr:uid="{00000000-0005-0000-0000-0000FC190000}"/>
    <cellStyle name="Normal 5 3 3 4 5 2 2" xfId="8618" xr:uid="{00000000-0005-0000-0000-0000FD190000}"/>
    <cellStyle name="Normal 5 3 3 4 5 2 2 2" xfId="17060" xr:uid="{7921FCDF-06D3-41DE-8492-096448664508}"/>
    <cellStyle name="Normal 5 3 3 4 5 2 3" xfId="12842" xr:uid="{DE9C8E03-BAE5-4886-B28F-4C14A8AE1F5D}"/>
    <cellStyle name="Normal 5 3 3 4 5 3" xfId="6473" xr:uid="{00000000-0005-0000-0000-0000FE190000}"/>
    <cellStyle name="Normal 5 3 3 4 5 3 2" xfId="14915" xr:uid="{CC3587F4-7F96-4644-9029-9C3DF96EAD35}"/>
    <cellStyle name="Normal 5 3 3 4 5 4" xfId="10697" xr:uid="{A7410DE5-CDBC-4F79-82B2-2F1DDC72B91E}"/>
    <cellStyle name="Normal 5 3 3 4 6" xfId="2602" xr:uid="{00000000-0005-0000-0000-0000FF190000}"/>
    <cellStyle name="Normal 5 3 3 4 6 2" xfId="6886" xr:uid="{00000000-0005-0000-0000-0000001A0000}"/>
    <cellStyle name="Normal 5 3 3 4 6 2 2" xfId="15328" xr:uid="{A3A8702D-47A2-4948-A192-24F5E8239602}"/>
    <cellStyle name="Normal 5 3 3 4 6 3" xfId="11110" xr:uid="{779E296F-DCDB-451C-B4B1-5A30241EF2C1}"/>
    <cellStyle name="Normal 5 3 3 4 7" xfId="4821" xr:uid="{00000000-0005-0000-0000-0000011A0000}"/>
    <cellStyle name="Normal 5 3 3 4 7 2" xfId="13263" xr:uid="{386EB1F3-7CDF-4F3C-9C66-C3FA307BD908}"/>
    <cellStyle name="Normal 5 3 3 4 8" xfId="9045" xr:uid="{73DCEF4B-35E3-4A51-86C8-49BD20CB00EC}"/>
    <cellStyle name="Normal 5 3 3 5" xfId="915" xr:uid="{00000000-0005-0000-0000-0000021A0000}"/>
    <cellStyle name="Normal 5 3 3 5 2" xfId="3149" xr:uid="{00000000-0005-0000-0000-0000031A0000}"/>
    <cellStyle name="Normal 5 3 3 5 2 2" xfId="7372" xr:uid="{00000000-0005-0000-0000-0000041A0000}"/>
    <cellStyle name="Normal 5 3 3 5 2 2 2" xfId="15814" xr:uid="{F9D6975C-2BB3-49CB-8B71-FB71456BD9ED}"/>
    <cellStyle name="Normal 5 3 3 5 2 3" xfId="11596" xr:uid="{D3F1BAD2-3847-4388-8049-3490E972411A}"/>
    <cellStyle name="Normal 5 3 3 5 3" xfId="5227" xr:uid="{00000000-0005-0000-0000-0000051A0000}"/>
    <cellStyle name="Normal 5 3 3 5 3 2" xfId="13669" xr:uid="{6304139B-D878-4351-A201-BF754161B49D}"/>
    <cellStyle name="Normal 5 3 3 5 4" xfId="9451" xr:uid="{62874A5A-957F-4899-8CCC-C8664FA79F5B}"/>
    <cellStyle name="Normal 5 3 3 6" xfId="1332" xr:uid="{00000000-0005-0000-0000-0000061A0000}"/>
    <cellStyle name="Normal 5 3 3 6 2" xfId="3562" xr:uid="{00000000-0005-0000-0000-0000071A0000}"/>
    <cellStyle name="Normal 5 3 3 6 2 2" xfId="7785" xr:uid="{00000000-0005-0000-0000-0000081A0000}"/>
    <cellStyle name="Normal 5 3 3 6 2 2 2" xfId="16227" xr:uid="{68969F7C-BF47-4BB9-A654-064187A38D63}"/>
    <cellStyle name="Normal 5 3 3 6 2 3" xfId="12009" xr:uid="{AA957D64-B92C-4435-A16B-A499E145AC12}"/>
    <cellStyle name="Normal 5 3 3 6 3" xfId="5640" xr:uid="{00000000-0005-0000-0000-0000091A0000}"/>
    <cellStyle name="Normal 5 3 3 6 3 2" xfId="14082" xr:uid="{F66851E3-4B2E-4341-92F1-F2F75923E124}"/>
    <cellStyle name="Normal 5 3 3 6 4" xfId="9864" xr:uid="{5A699A0D-9258-4525-AF1E-431BC8E979C6}"/>
    <cellStyle name="Normal 5 3 3 7" xfId="1745" xr:uid="{00000000-0005-0000-0000-00000A1A0000}"/>
    <cellStyle name="Normal 5 3 3 7 2" xfId="3975" xr:uid="{00000000-0005-0000-0000-00000B1A0000}"/>
    <cellStyle name="Normal 5 3 3 7 2 2" xfId="8198" xr:uid="{00000000-0005-0000-0000-00000C1A0000}"/>
    <cellStyle name="Normal 5 3 3 7 2 2 2" xfId="16640" xr:uid="{8F689D88-77F0-4BFE-BF93-38B9D9DA5CAF}"/>
    <cellStyle name="Normal 5 3 3 7 2 3" xfId="12422" xr:uid="{EA6E9819-05DA-4D54-8AB6-DF6FDE7A433A}"/>
    <cellStyle name="Normal 5 3 3 7 3" xfId="6053" xr:uid="{00000000-0005-0000-0000-00000D1A0000}"/>
    <cellStyle name="Normal 5 3 3 7 3 2" xfId="14495" xr:uid="{D03BD23C-0CF9-4346-B730-81963E025BA3}"/>
    <cellStyle name="Normal 5 3 3 7 4" xfId="10277" xr:uid="{04E79779-47C5-44B1-835D-F942686C8D34}"/>
    <cellStyle name="Normal 5 3 3 8" xfId="2159" xr:uid="{00000000-0005-0000-0000-00000E1A0000}"/>
    <cellStyle name="Normal 5 3 3 8 2" xfId="4388" xr:uid="{00000000-0005-0000-0000-00000F1A0000}"/>
    <cellStyle name="Normal 5 3 3 8 2 2" xfId="8611" xr:uid="{00000000-0005-0000-0000-0000101A0000}"/>
    <cellStyle name="Normal 5 3 3 8 2 2 2" xfId="17053" xr:uid="{E3EE28C6-BE44-490C-9371-EBCE7050CE6F}"/>
    <cellStyle name="Normal 5 3 3 8 2 3" xfId="12835" xr:uid="{8D70244A-0B56-4498-832F-BD2F0E0BFCF3}"/>
    <cellStyle name="Normal 5 3 3 8 3" xfId="6466" xr:uid="{00000000-0005-0000-0000-0000111A0000}"/>
    <cellStyle name="Normal 5 3 3 8 3 2" xfId="14908" xr:uid="{128A25CC-DE25-4A2D-B56C-09639FBB8609}"/>
    <cellStyle name="Normal 5 3 3 8 4" xfId="10690" xr:uid="{67A4AC01-6533-4DDA-AEDF-C3ADDAAE799F}"/>
    <cellStyle name="Normal 5 3 3 9" xfId="2595" xr:uid="{00000000-0005-0000-0000-0000121A0000}"/>
    <cellStyle name="Normal 5 3 3 9 2" xfId="6879" xr:uid="{00000000-0005-0000-0000-0000131A0000}"/>
    <cellStyle name="Normal 5 3 3 9 2 2" xfId="15321" xr:uid="{9DAD6C68-FEF3-4A86-9893-0B2EACB3DC44}"/>
    <cellStyle name="Normal 5 3 3 9 3" xfId="11103" xr:uid="{76A7D3CD-53D4-4D0B-BB40-00E88A2CA955}"/>
    <cellStyle name="Normal 5 3 4" xfId="449" xr:uid="{00000000-0005-0000-0000-0000141A0000}"/>
    <cellStyle name="Normal 5 3 4 10" xfId="9046" xr:uid="{EFD9BE42-5216-4F03-8CA0-B8F42C330B49}"/>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2 2 2" xfId="15824" xr:uid="{34EF1C4D-C0D3-45A6-B820-525989D64D30}"/>
    <cellStyle name="Normal 5 3 4 2 2 2 2 3" xfId="11606" xr:uid="{F5CC26BA-B57C-48B8-BABA-C3CC42AE9691}"/>
    <cellStyle name="Normal 5 3 4 2 2 2 3" xfId="5237" xr:uid="{00000000-0005-0000-0000-00001A1A0000}"/>
    <cellStyle name="Normal 5 3 4 2 2 2 3 2" xfId="13679" xr:uid="{74D14967-7FF0-47F5-BCE4-2B9537542AAC}"/>
    <cellStyle name="Normal 5 3 4 2 2 2 4" xfId="9461" xr:uid="{6086E6A6-8506-49ED-8B9E-BCE73E078474}"/>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2 2 2" xfId="16237" xr:uid="{CB09A134-B907-4398-8CC3-3A050986741B}"/>
    <cellStyle name="Normal 5 3 4 2 2 3 2 3" xfId="12019" xr:uid="{68D88EA7-5936-463F-A493-F22426757224}"/>
    <cellStyle name="Normal 5 3 4 2 2 3 3" xfId="5650" xr:uid="{00000000-0005-0000-0000-00001E1A0000}"/>
    <cellStyle name="Normal 5 3 4 2 2 3 3 2" xfId="14092" xr:uid="{8FE7192B-0382-4256-A8AD-0677283ECA72}"/>
    <cellStyle name="Normal 5 3 4 2 2 3 4" xfId="9874" xr:uid="{1A1C5FAE-B462-4202-B749-E57F2148239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2 2 2" xfId="16650" xr:uid="{A09C37B9-4BAC-4F56-9EA7-58C154B995B4}"/>
    <cellStyle name="Normal 5 3 4 2 2 4 2 3" xfId="12432" xr:uid="{5D6EC9E2-1BE9-463E-A747-90FC91A41CFA}"/>
    <cellStyle name="Normal 5 3 4 2 2 4 3" xfId="6063" xr:uid="{00000000-0005-0000-0000-0000221A0000}"/>
    <cellStyle name="Normal 5 3 4 2 2 4 3 2" xfId="14505" xr:uid="{224CD1D4-7981-4427-85F4-6527816D1CE6}"/>
    <cellStyle name="Normal 5 3 4 2 2 4 4" xfId="10287" xr:uid="{E2645933-B6AE-4884-8E55-A917F7833C19}"/>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2 2 2" xfId="17063" xr:uid="{56FCB54E-E212-46DA-B01E-748403390504}"/>
    <cellStyle name="Normal 5 3 4 2 2 5 2 3" xfId="12845" xr:uid="{9840D015-3172-4223-9FBE-934C624EAFD4}"/>
    <cellStyle name="Normal 5 3 4 2 2 5 3" xfId="6476" xr:uid="{00000000-0005-0000-0000-0000261A0000}"/>
    <cellStyle name="Normal 5 3 4 2 2 5 3 2" xfId="14918" xr:uid="{30EA78EC-9875-4F37-8C45-E458F4044157}"/>
    <cellStyle name="Normal 5 3 4 2 2 5 4" xfId="10700" xr:uid="{46DAA1B7-6B52-4F53-9EB7-4EDA9DC6F831}"/>
    <cellStyle name="Normal 5 3 4 2 2 6" xfId="2605" xr:uid="{00000000-0005-0000-0000-0000271A0000}"/>
    <cellStyle name="Normal 5 3 4 2 2 6 2" xfId="6889" xr:uid="{00000000-0005-0000-0000-0000281A0000}"/>
    <cellStyle name="Normal 5 3 4 2 2 6 2 2" xfId="15331" xr:uid="{BB655AB4-A1BE-4D76-B985-E2302BC18AAD}"/>
    <cellStyle name="Normal 5 3 4 2 2 6 3" xfId="11113" xr:uid="{F8C41470-0789-4BCB-844C-EE91D2AF99E5}"/>
    <cellStyle name="Normal 5 3 4 2 2 7" xfId="4824" xr:uid="{00000000-0005-0000-0000-0000291A0000}"/>
    <cellStyle name="Normal 5 3 4 2 2 7 2" xfId="13266" xr:uid="{33DE1827-3297-482F-A384-38B0601663BE}"/>
    <cellStyle name="Normal 5 3 4 2 2 8" xfId="9048" xr:uid="{B23E5D3B-ACCB-4F43-82D4-CFA23524ADA2}"/>
    <cellStyle name="Normal 5 3 4 2 3" xfId="924" xr:uid="{00000000-0005-0000-0000-00002A1A0000}"/>
    <cellStyle name="Normal 5 3 4 2 3 2" xfId="3158" xr:uid="{00000000-0005-0000-0000-00002B1A0000}"/>
    <cellStyle name="Normal 5 3 4 2 3 2 2" xfId="7381" xr:uid="{00000000-0005-0000-0000-00002C1A0000}"/>
    <cellStyle name="Normal 5 3 4 2 3 2 2 2" xfId="15823" xr:uid="{3B051BE7-8D92-48CE-94DA-E7A20DD32AAD}"/>
    <cellStyle name="Normal 5 3 4 2 3 2 3" xfId="11605" xr:uid="{97F92AC1-5EE3-44A0-B74E-8E177E3F495C}"/>
    <cellStyle name="Normal 5 3 4 2 3 3" xfId="5236" xr:uid="{00000000-0005-0000-0000-00002D1A0000}"/>
    <cellStyle name="Normal 5 3 4 2 3 3 2" xfId="13678" xr:uid="{387356A2-1B28-4FDE-AC2B-E06719834B32}"/>
    <cellStyle name="Normal 5 3 4 2 3 4" xfId="9460" xr:uid="{77941CB4-CB25-4331-A94C-F02E508EB760}"/>
    <cellStyle name="Normal 5 3 4 2 4" xfId="1341" xr:uid="{00000000-0005-0000-0000-00002E1A0000}"/>
    <cellStyle name="Normal 5 3 4 2 4 2" xfId="3571" xr:uid="{00000000-0005-0000-0000-00002F1A0000}"/>
    <cellStyle name="Normal 5 3 4 2 4 2 2" xfId="7794" xr:uid="{00000000-0005-0000-0000-0000301A0000}"/>
    <cellStyle name="Normal 5 3 4 2 4 2 2 2" xfId="16236" xr:uid="{04660102-E339-49A4-A796-E586A1ABB808}"/>
    <cellStyle name="Normal 5 3 4 2 4 2 3" xfId="12018" xr:uid="{E05AADF0-33C3-4699-83DE-7D08A4529C56}"/>
    <cellStyle name="Normal 5 3 4 2 4 3" xfId="5649" xr:uid="{00000000-0005-0000-0000-0000311A0000}"/>
    <cellStyle name="Normal 5 3 4 2 4 3 2" xfId="14091" xr:uid="{226E08BA-C025-431A-B041-E5D28ECB68D2}"/>
    <cellStyle name="Normal 5 3 4 2 4 4" xfId="9873" xr:uid="{EBD6514A-4053-4418-B1A6-58A99E9409E3}"/>
    <cellStyle name="Normal 5 3 4 2 5" xfId="1754" xr:uid="{00000000-0005-0000-0000-0000321A0000}"/>
    <cellStyle name="Normal 5 3 4 2 5 2" xfId="3984" xr:uid="{00000000-0005-0000-0000-0000331A0000}"/>
    <cellStyle name="Normal 5 3 4 2 5 2 2" xfId="8207" xr:uid="{00000000-0005-0000-0000-0000341A0000}"/>
    <cellStyle name="Normal 5 3 4 2 5 2 2 2" xfId="16649" xr:uid="{1E3FFEDE-D619-46CE-923B-46F5011B61C5}"/>
    <cellStyle name="Normal 5 3 4 2 5 2 3" xfId="12431" xr:uid="{363B1924-5DA8-4BAB-84C8-764E8E6B5BCA}"/>
    <cellStyle name="Normal 5 3 4 2 5 3" xfId="6062" xr:uid="{00000000-0005-0000-0000-0000351A0000}"/>
    <cellStyle name="Normal 5 3 4 2 5 3 2" xfId="14504" xr:uid="{B44B061B-E5C0-4CA3-AB80-816EE42D8D1C}"/>
    <cellStyle name="Normal 5 3 4 2 5 4" xfId="10286" xr:uid="{D570A729-B8E8-483B-917A-D481E174AA13}"/>
    <cellStyle name="Normal 5 3 4 2 6" xfId="2168" xr:uid="{00000000-0005-0000-0000-0000361A0000}"/>
    <cellStyle name="Normal 5 3 4 2 6 2" xfId="4397" xr:uid="{00000000-0005-0000-0000-0000371A0000}"/>
    <cellStyle name="Normal 5 3 4 2 6 2 2" xfId="8620" xr:uid="{00000000-0005-0000-0000-0000381A0000}"/>
    <cellStyle name="Normal 5 3 4 2 6 2 2 2" xfId="17062" xr:uid="{2A273EC6-3B8E-413B-B526-AC06F0087D70}"/>
    <cellStyle name="Normal 5 3 4 2 6 2 3" xfId="12844" xr:uid="{BF661194-82AB-4E59-94F6-7093FAD5B919}"/>
    <cellStyle name="Normal 5 3 4 2 6 3" xfId="6475" xr:uid="{00000000-0005-0000-0000-0000391A0000}"/>
    <cellStyle name="Normal 5 3 4 2 6 3 2" xfId="14917" xr:uid="{E0F7EA2C-E126-4EC0-8368-EE6EA724CF1C}"/>
    <cellStyle name="Normal 5 3 4 2 6 4" xfId="10699" xr:uid="{29EA07F8-28EA-4102-8BB5-60AF8DBC1850}"/>
    <cellStyle name="Normal 5 3 4 2 7" xfId="2604" xr:uid="{00000000-0005-0000-0000-00003A1A0000}"/>
    <cellStyle name="Normal 5 3 4 2 7 2" xfId="6888" xr:uid="{00000000-0005-0000-0000-00003B1A0000}"/>
    <cellStyle name="Normal 5 3 4 2 7 2 2" xfId="15330" xr:uid="{A9596B8D-049B-4555-87B3-7DC022235750}"/>
    <cellStyle name="Normal 5 3 4 2 7 3" xfId="11112" xr:uid="{935C968B-140F-484D-AD14-ED473EE5B9CF}"/>
    <cellStyle name="Normal 5 3 4 2 8" xfId="4823" xr:uid="{00000000-0005-0000-0000-00003C1A0000}"/>
    <cellStyle name="Normal 5 3 4 2 8 2" xfId="13265" xr:uid="{ACA0A2D7-6D52-43E0-9E5F-3E2EBA79285F}"/>
    <cellStyle name="Normal 5 3 4 2 9" xfId="9047" xr:uid="{AAF4CE80-4174-43AA-B457-7053DCABA989}"/>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2 2 2" xfId="15825" xr:uid="{58075F6C-6F9C-4996-A3F2-48EFD55B27ED}"/>
    <cellStyle name="Normal 5 3 4 3 2 2 3" xfId="11607" xr:uid="{031AC2F7-F58E-4DE4-8E25-C39A6E8E7F52}"/>
    <cellStyle name="Normal 5 3 4 3 2 3" xfId="5238" xr:uid="{00000000-0005-0000-0000-0000411A0000}"/>
    <cellStyle name="Normal 5 3 4 3 2 3 2" xfId="13680" xr:uid="{D0D845E7-1CD5-46A6-9652-5BC0E66EEC22}"/>
    <cellStyle name="Normal 5 3 4 3 2 4" xfId="9462" xr:uid="{307DF11C-1C47-45C7-86A5-CA2D8B85DD0D}"/>
    <cellStyle name="Normal 5 3 4 3 3" xfId="1343" xr:uid="{00000000-0005-0000-0000-0000421A0000}"/>
    <cellStyle name="Normal 5 3 4 3 3 2" xfId="3573" xr:uid="{00000000-0005-0000-0000-0000431A0000}"/>
    <cellStyle name="Normal 5 3 4 3 3 2 2" xfId="7796" xr:uid="{00000000-0005-0000-0000-0000441A0000}"/>
    <cellStyle name="Normal 5 3 4 3 3 2 2 2" xfId="16238" xr:uid="{CE1DB9BA-60F6-4F6A-8F93-3751DFC67076}"/>
    <cellStyle name="Normal 5 3 4 3 3 2 3" xfId="12020" xr:uid="{9408D1FA-EDCE-4AB3-90BD-869526804AA0}"/>
    <cellStyle name="Normal 5 3 4 3 3 3" xfId="5651" xr:uid="{00000000-0005-0000-0000-0000451A0000}"/>
    <cellStyle name="Normal 5 3 4 3 3 3 2" xfId="14093" xr:uid="{843C41C8-B7D6-4E86-8F2E-2111F52CB8FE}"/>
    <cellStyle name="Normal 5 3 4 3 3 4" xfId="9875" xr:uid="{AFBAB2AE-BEEC-481D-84AC-E46A81C744CE}"/>
    <cellStyle name="Normal 5 3 4 3 4" xfId="1756" xr:uid="{00000000-0005-0000-0000-0000461A0000}"/>
    <cellStyle name="Normal 5 3 4 3 4 2" xfId="3986" xr:uid="{00000000-0005-0000-0000-0000471A0000}"/>
    <cellStyle name="Normal 5 3 4 3 4 2 2" xfId="8209" xr:uid="{00000000-0005-0000-0000-0000481A0000}"/>
    <cellStyle name="Normal 5 3 4 3 4 2 2 2" xfId="16651" xr:uid="{31CE8DF6-EF1E-4530-9E87-07A792315E8A}"/>
    <cellStyle name="Normal 5 3 4 3 4 2 3" xfId="12433" xr:uid="{3C264291-1F45-4EC4-A94A-9F6788E594C4}"/>
    <cellStyle name="Normal 5 3 4 3 4 3" xfId="6064" xr:uid="{00000000-0005-0000-0000-0000491A0000}"/>
    <cellStyle name="Normal 5 3 4 3 4 3 2" xfId="14506" xr:uid="{DB232D59-4BC7-4AEE-94C0-A3B24DCCCE57}"/>
    <cellStyle name="Normal 5 3 4 3 4 4" xfId="10288" xr:uid="{9B5C3BB7-B3C4-4685-A7D3-426C0966AF29}"/>
    <cellStyle name="Normal 5 3 4 3 5" xfId="2170" xr:uid="{00000000-0005-0000-0000-00004A1A0000}"/>
    <cellStyle name="Normal 5 3 4 3 5 2" xfId="4399" xr:uid="{00000000-0005-0000-0000-00004B1A0000}"/>
    <cellStyle name="Normal 5 3 4 3 5 2 2" xfId="8622" xr:uid="{00000000-0005-0000-0000-00004C1A0000}"/>
    <cellStyle name="Normal 5 3 4 3 5 2 2 2" xfId="17064" xr:uid="{07300AE7-2384-4D5E-8A19-85269764E343}"/>
    <cellStyle name="Normal 5 3 4 3 5 2 3" xfId="12846" xr:uid="{2F3F3500-D8E2-4D11-BE14-897968BBA18D}"/>
    <cellStyle name="Normal 5 3 4 3 5 3" xfId="6477" xr:uid="{00000000-0005-0000-0000-00004D1A0000}"/>
    <cellStyle name="Normal 5 3 4 3 5 3 2" xfId="14919" xr:uid="{FD0ACA89-7B35-44E9-8A00-A5A2F537C9C1}"/>
    <cellStyle name="Normal 5 3 4 3 5 4" xfId="10701" xr:uid="{A8D081AD-C669-44DC-9BBA-42BE4B258974}"/>
    <cellStyle name="Normal 5 3 4 3 6" xfId="2606" xr:uid="{00000000-0005-0000-0000-00004E1A0000}"/>
    <cellStyle name="Normal 5 3 4 3 6 2" xfId="6890" xr:uid="{00000000-0005-0000-0000-00004F1A0000}"/>
    <cellStyle name="Normal 5 3 4 3 6 2 2" xfId="15332" xr:uid="{263D0885-34F4-4952-BAD1-ED5F1312858E}"/>
    <cellStyle name="Normal 5 3 4 3 6 3" xfId="11114" xr:uid="{CED32CA2-CFC5-41EB-BD74-B48EED08F22B}"/>
    <cellStyle name="Normal 5 3 4 3 7" xfId="4825" xr:uid="{00000000-0005-0000-0000-0000501A0000}"/>
    <cellStyle name="Normal 5 3 4 3 7 2" xfId="13267" xr:uid="{59212F4E-1C59-420B-B327-F19C58989553}"/>
    <cellStyle name="Normal 5 3 4 3 8" xfId="9049" xr:uid="{BA9E672E-FB03-491C-B99D-F64121B12D15}"/>
    <cellStyle name="Normal 5 3 4 4" xfId="923" xr:uid="{00000000-0005-0000-0000-0000511A0000}"/>
    <cellStyle name="Normal 5 3 4 4 2" xfId="3157" xr:uid="{00000000-0005-0000-0000-0000521A0000}"/>
    <cellStyle name="Normal 5 3 4 4 2 2" xfId="7380" xr:uid="{00000000-0005-0000-0000-0000531A0000}"/>
    <cellStyle name="Normal 5 3 4 4 2 2 2" xfId="15822" xr:uid="{E33D689F-9F16-47D0-995A-939DA79D05C4}"/>
    <cellStyle name="Normal 5 3 4 4 2 3" xfId="11604" xr:uid="{2DA8A87B-E821-4457-BC1B-F4FAE4B23812}"/>
    <cellStyle name="Normal 5 3 4 4 3" xfId="5235" xr:uid="{00000000-0005-0000-0000-0000541A0000}"/>
    <cellStyle name="Normal 5 3 4 4 3 2" xfId="13677" xr:uid="{E71A8C65-2501-433B-9512-0C70A557CB4E}"/>
    <cellStyle name="Normal 5 3 4 4 4" xfId="9459" xr:uid="{C35803C6-7600-43F2-BE48-A74C5E7ACC49}"/>
    <cellStyle name="Normal 5 3 4 5" xfId="1340" xr:uid="{00000000-0005-0000-0000-0000551A0000}"/>
    <cellStyle name="Normal 5 3 4 5 2" xfId="3570" xr:uid="{00000000-0005-0000-0000-0000561A0000}"/>
    <cellStyle name="Normal 5 3 4 5 2 2" xfId="7793" xr:uid="{00000000-0005-0000-0000-0000571A0000}"/>
    <cellStyle name="Normal 5 3 4 5 2 2 2" xfId="16235" xr:uid="{BCC403BC-874E-4F6F-8EE8-C8F4EC0000A9}"/>
    <cellStyle name="Normal 5 3 4 5 2 3" xfId="12017" xr:uid="{06823B76-FA5D-49E2-99F6-5C4454BC0005}"/>
    <cellStyle name="Normal 5 3 4 5 3" xfId="5648" xr:uid="{00000000-0005-0000-0000-0000581A0000}"/>
    <cellStyle name="Normal 5 3 4 5 3 2" xfId="14090" xr:uid="{13D2D9DD-85A9-425F-AAD0-42DED94C2183}"/>
    <cellStyle name="Normal 5 3 4 5 4" xfId="9872" xr:uid="{BAAF4256-D284-40D3-AFF8-5C192B25C435}"/>
    <cellStyle name="Normal 5 3 4 6" xfId="1753" xr:uid="{00000000-0005-0000-0000-0000591A0000}"/>
    <cellStyle name="Normal 5 3 4 6 2" xfId="3983" xr:uid="{00000000-0005-0000-0000-00005A1A0000}"/>
    <cellStyle name="Normal 5 3 4 6 2 2" xfId="8206" xr:uid="{00000000-0005-0000-0000-00005B1A0000}"/>
    <cellStyle name="Normal 5 3 4 6 2 2 2" xfId="16648" xr:uid="{563E7908-AF4A-4857-952D-E02CBD4D04C7}"/>
    <cellStyle name="Normal 5 3 4 6 2 3" xfId="12430" xr:uid="{AF9206B0-3134-4A0E-A26A-30D3C0C0E37B}"/>
    <cellStyle name="Normal 5 3 4 6 3" xfId="6061" xr:uid="{00000000-0005-0000-0000-00005C1A0000}"/>
    <cellStyle name="Normal 5 3 4 6 3 2" xfId="14503" xr:uid="{FAD89B71-4CD5-4399-9DDB-401E729533E7}"/>
    <cellStyle name="Normal 5 3 4 6 4" xfId="10285" xr:uid="{80F8188A-E5C2-4955-B469-77E080DC66EE}"/>
    <cellStyle name="Normal 5 3 4 7" xfId="2167" xr:uid="{00000000-0005-0000-0000-00005D1A0000}"/>
    <cellStyle name="Normal 5 3 4 7 2" xfId="4396" xr:uid="{00000000-0005-0000-0000-00005E1A0000}"/>
    <cellStyle name="Normal 5 3 4 7 2 2" xfId="8619" xr:uid="{00000000-0005-0000-0000-00005F1A0000}"/>
    <cellStyle name="Normal 5 3 4 7 2 2 2" xfId="17061" xr:uid="{E9F8E54A-4E57-4811-9398-802D42DB8E24}"/>
    <cellStyle name="Normal 5 3 4 7 2 3" xfId="12843" xr:uid="{502FCA71-748B-4D72-99B9-99532AA511F7}"/>
    <cellStyle name="Normal 5 3 4 7 3" xfId="6474" xr:uid="{00000000-0005-0000-0000-0000601A0000}"/>
    <cellStyle name="Normal 5 3 4 7 3 2" xfId="14916" xr:uid="{0C702D17-821E-45BA-A40D-1CFC7CF253B0}"/>
    <cellStyle name="Normal 5 3 4 7 4" xfId="10698" xr:uid="{AEC3B244-96A0-4666-848B-77D77AAB2398}"/>
    <cellStyle name="Normal 5 3 4 8" xfId="2603" xr:uid="{00000000-0005-0000-0000-0000611A0000}"/>
    <cellStyle name="Normal 5 3 4 8 2" xfId="6887" xr:uid="{00000000-0005-0000-0000-0000621A0000}"/>
    <cellStyle name="Normal 5 3 4 8 2 2" xfId="15329" xr:uid="{522343BB-2EB0-4180-A438-BB15DE01FCCD}"/>
    <cellStyle name="Normal 5 3 4 8 3" xfId="11111" xr:uid="{EF2F9E89-67AF-40C3-84FD-D004462A87E0}"/>
    <cellStyle name="Normal 5 3 4 9" xfId="4822" xr:uid="{00000000-0005-0000-0000-0000631A0000}"/>
    <cellStyle name="Normal 5 3 4 9 2" xfId="13264" xr:uid="{99D63F1C-B168-4587-8C1D-6F4AF03AF476}"/>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2 2 2" xfId="15827" xr:uid="{E3FED7FB-9B5E-4561-B46E-FC5C180BFEBB}"/>
    <cellStyle name="Normal 5 3 5 2 2 2 3" xfId="11609" xr:uid="{793A4F10-5990-4B1B-9AE8-86F8C98555C2}"/>
    <cellStyle name="Normal 5 3 5 2 2 3" xfId="5240" xr:uid="{00000000-0005-0000-0000-0000691A0000}"/>
    <cellStyle name="Normal 5 3 5 2 2 3 2" xfId="13682" xr:uid="{10171C7E-8F8F-4BD3-BDAE-840FF87EE455}"/>
    <cellStyle name="Normal 5 3 5 2 2 4" xfId="9464" xr:uid="{48A76939-2D66-4FCF-93C8-8EA935D038DD}"/>
    <cellStyle name="Normal 5 3 5 2 3" xfId="1345" xr:uid="{00000000-0005-0000-0000-00006A1A0000}"/>
    <cellStyle name="Normal 5 3 5 2 3 2" xfId="3575" xr:uid="{00000000-0005-0000-0000-00006B1A0000}"/>
    <cellStyle name="Normal 5 3 5 2 3 2 2" xfId="7798" xr:uid="{00000000-0005-0000-0000-00006C1A0000}"/>
    <cellStyle name="Normal 5 3 5 2 3 2 2 2" xfId="16240" xr:uid="{5D71B57E-D8CF-4AD7-AFDC-E0E5FFCBC1E9}"/>
    <cellStyle name="Normal 5 3 5 2 3 2 3" xfId="12022" xr:uid="{FCAA38C4-4918-46C9-BA57-220EE68A5D5E}"/>
    <cellStyle name="Normal 5 3 5 2 3 3" xfId="5653" xr:uid="{00000000-0005-0000-0000-00006D1A0000}"/>
    <cellStyle name="Normal 5 3 5 2 3 3 2" xfId="14095" xr:uid="{CE2A63ED-941C-43A2-A3A9-626CD9815592}"/>
    <cellStyle name="Normal 5 3 5 2 3 4" xfId="9877" xr:uid="{F1A4EF2E-08E2-4809-9A1A-31D46E3B924F}"/>
    <cellStyle name="Normal 5 3 5 2 4" xfId="1758" xr:uid="{00000000-0005-0000-0000-00006E1A0000}"/>
    <cellStyle name="Normal 5 3 5 2 4 2" xfId="3988" xr:uid="{00000000-0005-0000-0000-00006F1A0000}"/>
    <cellStyle name="Normal 5 3 5 2 4 2 2" xfId="8211" xr:uid="{00000000-0005-0000-0000-0000701A0000}"/>
    <cellStyle name="Normal 5 3 5 2 4 2 2 2" xfId="16653" xr:uid="{811178FF-328A-489A-BA7C-9F2149B363A8}"/>
    <cellStyle name="Normal 5 3 5 2 4 2 3" xfId="12435" xr:uid="{DCD689E1-AB86-4BCA-915A-A298DAD218F1}"/>
    <cellStyle name="Normal 5 3 5 2 4 3" xfId="6066" xr:uid="{00000000-0005-0000-0000-0000711A0000}"/>
    <cellStyle name="Normal 5 3 5 2 4 3 2" xfId="14508" xr:uid="{3FB6533E-D213-43A6-AAC5-D3D1D7B3B9D0}"/>
    <cellStyle name="Normal 5 3 5 2 4 4" xfId="10290" xr:uid="{6CAFFB99-5D17-41E0-A1AA-1CBA45AEF400}"/>
    <cellStyle name="Normal 5 3 5 2 5" xfId="2172" xr:uid="{00000000-0005-0000-0000-0000721A0000}"/>
    <cellStyle name="Normal 5 3 5 2 5 2" xfId="4401" xr:uid="{00000000-0005-0000-0000-0000731A0000}"/>
    <cellStyle name="Normal 5 3 5 2 5 2 2" xfId="8624" xr:uid="{00000000-0005-0000-0000-0000741A0000}"/>
    <cellStyle name="Normal 5 3 5 2 5 2 2 2" xfId="17066" xr:uid="{515A8B79-3B87-469B-A7B8-E1213B83D70A}"/>
    <cellStyle name="Normal 5 3 5 2 5 2 3" xfId="12848" xr:uid="{C5EF3E09-BCA0-4C67-AD8E-9137782255CC}"/>
    <cellStyle name="Normal 5 3 5 2 5 3" xfId="6479" xr:uid="{00000000-0005-0000-0000-0000751A0000}"/>
    <cellStyle name="Normal 5 3 5 2 5 3 2" xfId="14921" xr:uid="{20F78450-A722-4A88-B4E4-DD5B27CD5D08}"/>
    <cellStyle name="Normal 5 3 5 2 5 4" xfId="10703" xr:uid="{104BB0C5-B8E4-47D0-A981-B022BC57C5B5}"/>
    <cellStyle name="Normal 5 3 5 2 6" xfId="2608" xr:uid="{00000000-0005-0000-0000-0000761A0000}"/>
    <cellStyle name="Normal 5 3 5 2 6 2" xfId="6892" xr:uid="{00000000-0005-0000-0000-0000771A0000}"/>
    <cellStyle name="Normal 5 3 5 2 6 2 2" xfId="15334" xr:uid="{A4306156-2D60-4294-9B1C-AE5BD7AC8C62}"/>
    <cellStyle name="Normal 5 3 5 2 6 3" xfId="11116" xr:uid="{04DC503E-B045-478B-806A-310F41D62CFF}"/>
    <cellStyle name="Normal 5 3 5 2 7" xfId="4827" xr:uid="{00000000-0005-0000-0000-0000781A0000}"/>
    <cellStyle name="Normal 5 3 5 2 7 2" xfId="13269" xr:uid="{59D247A3-DDA7-41FA-BC7C-4FCA615B300E}"/>
    <cellStyle name="Normal 5 3 5 2 8" xfId="9051" xr:uid="{1A43E0CF-33BA-4DD2-BC9A-7CD4F53C3E24}"/>
    <cellStyle name="Normal 5 3 5 3" xfId="927" xr:uid="{00000000-0005-0000-0000-0000791A0000}"/>
    <cellStyle name="Normal 5 3 5 3 2" xfId="3161" xr:uid="{00000000-0005-0000-0000-00007A1A0000}"/>
    <cellStyle name="Normal 5 3 5 3 2 2" xfId="7384" xr:uid="{00000000-0005-0000-0000-00007B1A0000}"/>
    <cellStyle name="Normal 5 3 5 3 2 2 2" xfId="15826" xr:uid="{239825C6-84D7-494B-8556-035170DC53A1}"/>
    <cellStyle name="Normal 5 3 5 3 2 3" xfId="11608" xr:uid="{9A629110-FDAB-4F37-83A2-45DB22CED8EF}"/>
    <cellStyle name="Normal 5 3 5 3 3" xfId="5239" xr:uid="{00000000-0005-0000-0000-00007C1A0000}"/>
    <cellStyle name="Normal 5 3 5 3 3 2" xfId="13681" xr:uid="{1A1BC857-4708-4B55-A15F-148F3F7F43F0}"/>
    <cellStyle name="Normal 5 3 5 3 4" xfId="9463" xr:uid="{6EB976E7-30E8-4868-9314-FCAFE617C73E}"/>
    <cellStyle name="Normal 5 3 5 4" xfId="1344" xr:uid="{00000000-0005-0000-0000-00007D1A0000}"/>
    <cellStyle name="Normal 5 3 5 4 2" xfId="3574" xr:uid="{00000000-0005-0000-0000-00007E1A0000}"/>
    <cellStyle name="Normal 5 3 5 4 2 2" xfId="7797" xr:uid="{00000000-0005-0000-0000-00007F1A0000}"/>
    <cellStyle name="Normal 5 3 5 4 2 2 2" xfId="16239" xr:uid="{C0454FDA-1CAB-48E0-B1D6-FF1D15B1FA76}"/>
    <cellStyle name="Normal 5 3 5 4 2 3" xfId="12021" xr:uid="{70BF435C-73EA-4F8F-BACD-168AF2590617}"/>
    <cellStyle name="Normal 5 3 5 4 3" xfId="5652" xr:uid="{00000000-0005-0000-0000-0000801A0000}"/>
    <cellStyle name="Normal 5 3 5 4 3 2" xfId="14094" xr:uid="{1C6F23F6-0732-4DB8-9E53-E70112573AE1}"/>
    <cellStyle name="Normal 5 3 5 4 4" xfId="9876" xr:uid="{ABAC9574-9729-4418-BF6D-2591C7CBF6EC}"/>
    <cellStyle name="Normal 5 3 5 5" xfId="1757" xr:uid="{00000000-0005-0000-0000-0000811A0000}"/>
    <cellStyle name="Normal 5 3 5 5 2" xfId="3987" xr:uid="{00000000-0005-0000-0000-0000821A0000}"/>
    <cellStyle name="Normal 5 3 5 5 2 2" xfId="8210" xr:uid="{00000000-0005-0000-0000-0000831A0000}"/>
    <cellStyle name="Normal 5 3 5 5 2 2 2" xfId="16652" xr:uid="{ED5B330B-95D9-46D3-AEA8-A8F1915ECB24}"/>
    <cellStyle name="Normal 5 3 5 5 2 3" xfId="12434" xr:uid="{7E325CE2-9C55-47D9-8B44-D3B3B87F8358}"/>
    <cellStyle name="Normal 5 3 5 5 3" xfId="6065" xr:uid="{00000000-0005-0000-0000-0000841A0000}"/>
    <cellStyle name="Normal 5 3 5 5 3 2" xfId="14507" xr:uid="{3B208DC8-9570-4C6B-B292-0E0E8E909A49}"/>
    <cellStyle name="Normal 5 3 5 5 4" xfId="10289" xr:uid="{17E3F08B-F69B-4C2A-B572-E101D30401AF}"/>
    <cellStyle name="Normal 5 3 5 6" xfId="2171" xr:uid="{00000000-0005-0000-0000-0000851A0000}"/>
    <cellStyle name="Normal 5 3 5 6 2" xfId="4400" xr:uid="{00000000-0005-0000-0000-0000861A0000}"/>
    <cellStyle name="Normal 5 3 5 6 2 2" xfId="8623" xr:uid="{00000000-0005-0000-0000-0000871A0000}"/>
    <cellStyle name="Normal 5 3 5 6 2 2 2" xfId="17065" xr:uid="{C99B78C1-1A3B-41A7-8443-AD6DE50C6BAE}"/>
    <cellStyle name="Normal 5 3 5 6 2 3" xfId="12847" xr:uid="{81CB99CE-5006-40B8-8792-195B67BE7369}"/>
    <cellStyle name="Normal 5 3 5 6 3" xfId="6478" xr:uid="{00000000-0005-0000-0000-0000881A0000}"/>
    <cellStyle name="Normal 5 3 5 6 3 2" xfId="14920" xr:uid="{77A8A5D2-073B-4EAF-AC32-72F84C045B63}"/>
    <cellStyle name="Normal 5 3 5 6 4" xfId="10702" xr:uid="{81816F2C-5499-404C-AFAA-026A591D4D00}"/>
    <cellStyle name="Normal 5 3 5 7" xfId="2607" xr:uid="{00000000-0005-0000-0000-0000891A0000}"/>
    <cellStyle name="Normal 5 3 5 7 2" xfId="6891" xr:uid="{00000000-0005-0000-0000-00008A1A0000}"/>
    <cellStyle name="Normal 5 3 5 7 2 2" xfId="15333" xr:uid="{39C1AFF5-BB6E-4AB2-B565-CB1529931FAE}"/>
    <cellStyle name="Normal 5 3 5 7 3" xfId="11115" xr:uid="{31F8E6A2-CFD0-4B23-BB38-B7CE9D2F6D98}"/>
    <cellStyle name="Normal 5 3 5 8" xfId="4826" xr:uid="{00000000-0005-0000-0000-00008B1A0000}"/>
    <cellStyle name="Normal 5 3 5 8 2" xfId="13268" xr:uid="{572240DF-4308-4DB0-9A94-6F0C37EB54F4}"/>
    <cellStyle name="Normal 5 3 5 9" xfId="9050" xr:uid="{7C7AD5E7-04BE-4382-8A7E-FF8E0580D231}"/>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2 2 2" xfId="15828" xr:uid="{05285310-35C7-4BB9-92A6-5E7AE2D1CFEC}"/>
    <cellStyle name="Normal 5 3 6 2 2 3" xfId="11610" xr:uid="{1D709741-92B0-4F80-9E62-DEECDAD7357F}"/>
    <cellStyle name="Normal 5 3 6 2 3" xfId="5241" xr:uid="{00000000-0005-0000-0000-0000901A0000}"/>
    <cellStyle name="Normal 5 3 6 2 3 2" xfId="13683" xr:uid="{F955F902-C6BC-4E17-A13A-F94AD31222F9}"/>
    <cellStyle name="Normal 5 3 6 2 4" xfId="9465" xr:uid="{F30712EE-9A17-4680-9568-CB875FA6A37B}"/>
    <cellStyle name="Normal 5 3 6 3" xfId="1346" xr:uid="{00000000-0005-0000-0000-0000911A0000}"/>
    <cellStyle name="Normal 5 3 6 3 2" xfId="3576" xr:uid="{00000000-0005-0000-0000-0000921A0000}"/>
    <cellStyle name="Normal 5 3 6 3 2 2" xfId="7799" xr:uid="{00000000-0005-0000-0000-0000931A0000}"/>
    <cellStyle name="Normal 5 3 6 3 2 2 2" xfId="16241" xr:uid="{287AC51A-1179-4E5E-9B26-3FB0C2DDB849}"/>
    <cellStyle name="Normal 5 3 6 3 2 3" xfId="12023" xr:uid="{A607A3E6-CECF-40AB-96EE-378682E40D82}"/>
    <cellStyle name="Normal 5 3 6 3 3" xfId="5654" xr:uid="{00000000-0005-0000-0000-0000941A0000}"/>
    <cellStyle name="Normal 5 3 6 3 3 2" xfId="14096" xr:uid="{70397C21-A291-480D-9AC7-F7692D0F35B4}"/>
    <cellStyle name="Normal 5 3 6 3 4" xfId="9878" xr:uid="{78A69E03-BE9F-4F39-A364-0DAF9C30AC05}"/>
    <cellStyle name="Normal 5 3 6 4" xfId="1759" xr:uid="{00000000-0005-0000-0000-0000951A0000}"/>
    <cellStyle name="Normal 5 3 6 4 2" xfId="3989" xr:uid="{00000000-0005-0000-0000-0000961A0000}"/>
    <cellStyle name="Normal 5 3 6 4 2 2" xfId="8212" xr:uid="{00000000-0005-0000-0000-0000971A0000}"/>
    <cellStyle name="Normal 5 3 6 4 2 2 2" xfId="16654" xr:uid="{411657AC-2329-45F8-8045-91713D76303A}"/>
    <cellStyle name="Normal 5 3 6 4 2 3" xfId="12436" xr:uid="{61204CAE-A765-4213-82FA-6909F486657C}"/>
    <cellStyle name="Normal 5 3 6 4 3" xfId="6067" xr:uid="{00000000-0005-0000-0000-0000981A0000}"/>
    <cellStyle name="Normal 5 3 6 4 3 2" xfId="14509" xr:uid="{CCB66CC9-1432-4BA2-B70A-9E2F4005DA18}"/>
    <cellStyle name="Normal 5 3 6 4 4" xfId="10291" xr:uid="{C4A425EC-39C2-426A-A06C-15FA890C7489}"/>
    <cellStyle name="Normal 5 3 6 5" xfId="2173" xr:uid="{00000000-0005-0000-0000-0000991A0000}"/>
    <cellStyle name="Normal 5 3 6 5 2" xfId="4402" xr:uid="{00000000-0005-0000-0000-00009A1A0000}"/>
    <cellStyle name="Normal 5 3 6 5 2 2" xfId="8625" xr:uid="{00000000-0005-0000-0000-00009B1A0000}"/>
    <cellStyle name="Normal 5 3 6 5 2 2 2" xfId="17067" xr:uid="{D4748252-B74B-4770-936B-1392B813D83E}"/>
    <cellStyle name="Normal 5 3 6 5 2 3" xfId="12849" xr:uid="{A6AB43BA-6246-4586-AB2B-138BEE75A245}"/>
    <cellStyle name="Normal 5 3 6 5 3" xfId="6480" xr:uid="{00000000-0005-0000-0000-00009C1A0000}"/>
    <cellStyle name="Normal 5 3 6 5 3 2" xfId="14922" xr:uid="{8E2C46F3-CFB0-4822-841D-2751DC09EB05}"/>
    <cellStyle name="Normal 5 3 6 5 4" xfId="10704" xr:uid="{DB28F8C4-8499-40CE-B296-A0DBF60B5698}"/>
    <cellStyle name="Normal 5 3 6 6" xfId="2609" xr:uid="{00000000-0005-0000-0000-00009D1A0000}"/>
    <cellStyle name="Normal 5 3 6 6 2" xfId="6893" xr:uid="{00000000-0005-0000-0000-00009E1A0000}"/>
    <cellStyle name="Normal 5 3 6 6 2 2" xfId="15335" xr:uid="{2E7EFCD3-EBDB-4D08-BE80-919650BF9F01}"/>
    <cellStyle name="Normal 5 3 6 6 3" xfId="11117" xr:uid="{07FCA8B9-BE0D-4E73-AFA2-C333D83F52BC}"/>
    <cellStyle name="Normal 5 3 6 7" xfId="4828" xr:uid="{00000000-0005-0000-0000-00009F1A0000}"/>
    <cellStyle name="Normal 5 3 6 7 2" xfId="13270" xr:uid="{BD4CF3B4-41D9-4C58-9814-6DE65799CE29}"/>
    <cellStyle name="Normal 5 3 6 8" xfId="9052" xr:uid="{C99B19E1-84E7-4A9C-B67B-8AB539C423AE}"/>
    <cellStyle name="Normal 5 3 7" xfId="913" xr:uid="{00000000-0005-0000-0000-0000A01A0000}"/>
    <cellStyle name="Normal 5 3 7 2" xfId="3148" xr:uid="{00000000-0005-0000-0000-0000A11A0000}"/>
    <cellStyle name="Normal 5 3 7 2 2" xfId="7371" xr:uid="{00000000-0005-0000-0000-0000A21A0000}"/>
    <cellStyle name="Normal 5 3 7 2 2 2" xfId="15813" xr:uid="{5EAE426A-4849-4C18-819C-2EC6DE1E63FE}"/>
    <cellStyle name="Normal 5 3 7 2 3" xfId="11595" xr:uid="{01627389-0FEB-4C9E-9E00-84739A7A76E0}"/>
    <cellStyle name="Normal 5 3 7 3" xfId="5226" xr:uid="{00000000-0005-0000-0000-0000A31A0000}"/>
    <cellStyle name="Normal 5 3 7 3 2" xfId="13668" xr:uid="{D1ECAC5A-34E7-46D0-A8B4-E6B6A4DB6FBD}"/>
    <cellStyle name="Normal 5 3 7 4" xfId="9450" xr:uid="{109BB0A6-7F51-4DAF-8194-889D924C11A2}"/>
    <cellStyle name="Normal 5 3 8" xfId="1331" xr:uid="{00000000-0005-0000-0000-0000A41A0000}"/>
    <cellStyle name="Normal 5 3 8 2" xfId="3561" xr:uid="{00000000-0005-0000-0000-0000A51A0000}"/>
    <cellStyle name="Normal 5 3 8 2 2" xfId="7784" xr:uid="{00000000-0005-0000-0000-0000A61A0000}"/>
    <cellStyle name="Normal 5 3 8 2 2 2" xfId="16226" xr:uid="{A3102024-8F20-4123-9541-4619DA72577B}"/>
    <cellStyle name="Normal 5 3 8 2 3" xfId="12008" xr:uid="{D75F4E53-012E-465E-900F-0DCDEB37D9D4}"/>
    <cellStyle name="Normal 5 3 8 3" xfId="5639" xr:uid="{00000000-0005-0000-0000-0000A71A0000}"/>
    <cellStyle name="Normal 5 3 8 3 2" xfId="14081" xr:uid="{10C103F3-C925-48C2-9D4F-47977D3AC7D9}"/>
    <cellStyle name="Normal 5 3 8 4" xfId="9863" xr:uid="{60BBA0C2-686B-460D-BFB0-B5043D20C00F}"/>
    <cellStyle name="Normal 5 3 9" xfId="1744" xr:uid="{00000000-0005-0000-0000-0000A81A0000}"/>
    <cellStyle name="Normal 5 3 9 2" xfId="3974" xr:uid="{00000000-0005-0000-0000-0000A91A0000}"/>
    <cellStyle name="Normal 5 3 9 2 2" xfId="8197" xr:uid="{00000000-0005-0000-0000-0000AA1A0000}"/>
    <cellStyle name="Normal 5 3 9 2 2 2" xfId="16639" xr:uid="{78E3F62B-24EA-4B01-9F0A-8F783A652C03}"/>
    <cellStyle name="Normal 5 3 9 2 3" xfId="12421" xr:uid="{C3A76A5A-AEDD-4DD8-97FC-FEC4E913578C}"/>
    <cellStyle name="Normal 5 3 9 3" xfId="6052" xr:uid="{00000000-0005-0000-0000-0000AB1A0000}"/>
    <cellStyle name="Normal 5 3 9 3 2" xfId="14494" xr:uid="{7B340B26-5A03-45BC-9017-FFEBDBD5A4F2}"/>
    <cellStyle name="Normal 5 3 9 4" xfId="10276" xr:uid="{FB878995-193A-47F8-8C59-E5E7192F4727}"/>
    <cellStyle name="Normal 5 4" xfId="456" xr:uid="{00000000-0005-0000-0000-0000AC1A0000}"/>
    <cellStyle name="Normal 5 4 10" xfId="4829" xr:uid="{00000000-0005-0000-0000-0000AD1A0000}"/>
    <cellStyle name="Normal 5 4 10 2" xfId="13271" xr:uid="{D9EC4326-7FA5-46CA-A4F9-2A06FE575B65}"/>
    <cellStyle name="Normal 5 4 11" xfId="9053" xr:uid="{E61B06EC-E797-47BE-A2CE-64FCADFFE027}"/>
    <cellStyle name="Normal 5 4 2" xfId="457" xr:uid="{00000000-0005-0000-0000-0000AE1A0000}"/>
    <cellStyle name="Normal 5 4 2 10" xfId="9054" xr:uid="{E4BAB5E6-D14C-41F3-B680-9E7A70FED72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2 2 2" xfId="15832" xr:uid="{37773450-4BD0-4D83-A661-5E414771E2B9}"/>
    <cellStyle name="Normal 5 4 2 2 2 2 2 3" xfId="11614" xr:uid="{5FAE38A5-B699-4AE8-AB37-AF806B4D7DD9}"/>
    <cellStyle name="Normal 5 4 2 2 2 2 3" xfId="5245" xr:uid="{00000000-0005-0000-0000-0000B41A0000}"/>
    <cellStyle name="Normal 5 4 2 2 2 2 3 2" xfId="13687" xr:uid="{8456EB85-7DA4-45B0-AB80-1E1A2B1883BF}"/>
    <cellStyle name="Normal 5 4 2 2 2 2 4" xfId="9469" xr:uid="{81B7ED96-A1D4-4BFD-BDEC-2989285418E6}"/>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2 2 2" xfId="16245" xr:uid="{0A4B5688-564A-436B-8C02-41EA494AE13A}"/>
    <cellStyle name="Normal 5 4 2 2 2 3 2 3" xfId="12027" xr:uid="{DB74383E-9538-4BB1-80FB-FAB869B6E1C2}"/>
    <cellStyle name="Normal 5 4 2 2 2 3 3" xfId="5658" xr:uid="{00000000-0005-0000-0000-0000B81A0000}"/>
    <cellStyle name="Normal 5 4 2 2 2 3 3 2" xfId="14100" xr:uid="{EE07D8DC-E179-4B96-86AC-57B92CA06D1C}"/>
    <cellStyle name="Normal 5 4 2 2 2 3 4" xfId="9882" xr:uid="{4780E114-9EFB-4BC8-8297-F6CC1131A592}"/>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2 2 2" xfId="16658" xr:uid="{1BAB69B5-92D6-48F3-8DCF-A164666BBF33}"/>
    <cellStyle name="Normal 5 4 2 2 2 4 2 3" xfId="12440" xr:uid="{ACCDD43A-750A-4CA5-AA71-C4712B05088D}"/>
    <cellStyle name="Normal 5 4 2 2 2 4 3" xfId="6071" xr:uid="{00000000-0005-0000-0000-0000BC1A0000}"/>
    <cellStyle name="Normal 5 4 2 2 2 4 3 2" xfId="14513" xr:uid="{94C389DA-D96F-4720-8BEE-CFA0E86F847E}"/>
    <cellStyle name="Normal 5 4 2 2 2 4 4" xfId="10295" xr:uid="{F4318E6F-5706-47CC-A329-C8EF2F53ED09}"/>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2 2 2" xfId="17071" xr:uid="{64EBF224-334C-48A7-A373-E460026B8C87}"/>
    <cellStyle name="Normal 5 4 2 2 2 5 2 3" xfId="12853" xr:uid="{A31D108E-8C7E-4123-B813-1819D504DE08}"/>
    <cellStyle name="Normal 5 4 2 2 2 5 3" xfId="6484" xr:uid="{00000000-0005-0000-0000-0000C01A0000}"/>
    <cellStyle name="Normal 5 4 2 2 2 5 3 2" xfId="14926" xr:uid="{F50D407D-6F34-4012-9AE6-FAA17268AE44}"/>
    <cellStyle name="Normal 5 4 2 2 2 5 4" xfId="10708" xr:uid="{87A6CA30-B774-490B-9E65-2E2B74AC3D14}"/>
    <cellStyle name="Normal 5 4 2 2 2 6" xfId="2613" xr:uid="{00000000-0005-0000-0000-0000C11A0000}"/>
    <cellStyle name="Normal 5 4 2 2 2 6 2" xfId="6897" xr:uid="{00000000-0005-0000-0000-0000C21A0000}"/>
    <cellStyle name="Normal 5 4 2 2 2 6 2 2" xfId="15339" xr:uid="{81684975-C4AE-4F0D-947E-21AFCE2DF4EF}"/>
    <cellStyle name="Normal 5 4 2 2 2 6 3" xfId="11121" xr:uid="{04F82FF7-EF5F-4FC0-BFA4-75E756B0A7C3}"/>
    <cellStyle name="Normal 5 4 2 2 2 7" xfId="4832" xr:uid="{00000000-0005-0000-0000-0000C31A0000}"/>
    <cellStyle name="Normal 5 4 2 2 2 7 2" xfId="13274" xr:uid="{182A8146-FA6D-4994-B984-D7CE1B3E554B}"/>
    <cellStyle name="Normal 5 4 2 2 2 8" xfId="9056" xr:uid="{CC73C4D0-5F4F-4622-A06A-EEF65F437089}"/>
    <cellStyle name="Normal 5 4 2 2 3" xfId="932" xr:uid="{00000000-0005-0000-0000-0000C41A0000}"/>
    <cellStyle name="Normal 5 4 2 2 3 2" xfId="3166" xr:uid="{00000000-0005-0000-0000-0000C51A0000}"/>
    <cellStyle name="Normal 5 4 2 2 3 2 2" xfId="7389" xr:uid="{00000000-0005-0000-0000-0000C61A0000}"/>
    <cellStyle name="Normal 5 4 2 2 3 2 2 2" xfId="15831" xr:uid="{688E5EA1-8FB6-46BC-B5F3-C6783384514A}"/>
    <cellStyle name="Normal 5 4 2 2 3 2 3" xfId="11613" xr:uid="{295323B7-DA8D-4352-91A6-19510AA3B8B2}"/>
    <cellStyle name="Normal 5 4 2 2 3 3" xfId="5244" xr:uid="{00000000-0005-0000-0000-0000C71A0000}"/>
    <cellStyle name="Normal 5 4 2 2 3 3 2" xfId="13686" xr:uid="{9E181C8B-536F-473A-B63E-F0623BE8FAAB}"/>
    <cellStyle name="Normal 5 4 2 2 3 4" xfId="9468" xr:uid="{D6BBD3B0-6FD3-4E8A-AB6D-E444CC4AF4AF}"/>
    <cellStyle name="Normal 5 4 2 2 4" xfId="1349" xr:uid="{00000000-0005-0000-0000-0000C81A0000}"/>
    <cellStyle name="Normal 5 4 2 2 4 2" xfId="3579" xr:uid="{00000000-0005-0000-0000-0000C91A0000}"/>
    <cellStyle name="Normal 5 4 2 2 4 2 2" xfId="7802" xr:uid="{00000000-0005-0000-0000-0000CA1A0000}"/>
    <cellStyle name="Normal 5 4 2 2 4 2 2 2" xfId="16244" xr:uid="{20326230-8A29-4D8F-B725-F079895E25EF}"/>
    <cellStyle name="Normal 5 4 2 2 4 2 3" xfId="12026" xr:uid="{5848CBDC-9640-4072-A4E0-897C6BB5DAB2}"/>
    <cellStyle name="Normal 5 4 2 2 4 3" xfId="5657" xr:uid="{00000000-0005-0000-0000-0000CB1A0000}"/>
    <cellStyle name="Normal 5 4 2 2 4 3 2" xfId="14099" xr:uid="{3EFE10A2-5120-4891-85F6-0D16209BD40A}"/>
    <cellStyle name="Normal 5 4 2 2 4 4" xfId="9881" xr:uid="{452982D5-13DF-4A5A-9885-1ECA491271E6}"/>
    <cellStyle name="Normal 5 4 2 2 5" xfId="1762" xr:uid="{00000000-0005-0000-0000-0000CC1A0000}"/>
    <cellStyle name="Normal 5 4 2 2 5 2" xfId="3992" xr:uid="{00000000-0005-0000-0000-0000CD1A0000}"/>
    <cellStyle name="Normal 5 4 2 2 5 2 2" xfId="8215" xr:uid="{00000000-0005-0000-0000-0000CE1A0000}"/>
    <cellStyle name="Normal 5 4 2 2 5 2 2 2" xfId="16657" xr:uid="{57AC3E70-40F6-47E5-A113-BBB69D345056}"/>
    <cellStyle name="Normal 5 4 2 2 5 2 3" xfId="12439" xr:uid="{59D1BF01-9D64-4F40-8302-D20B65C8620A}"/>
    <cellStyle name="Normal 5 4 2 2 5 3" xfId="6070" xr:uid="{00000000-0005-0000-0000-0000CF1A0000}"/>
    <cellStyle name="Normal 5 4 2 2 5 3 2" xfId="14512" xr:uid="{2FC66193-B970-4561-9AF1-27A06B811B3A}"/>
    <cellStyle name="Normal 5 4 2 2 5 4" xfId="10294" xr:uid="{4170F1FB-850F-4B9A-8A7F-26E515E2374A}"/>
    <cellStyle name="Normal 5 4 2 2 6" xfId="2176" xr:uid="{00000000-0005-0000-0000-0000D01A0000}"/>
    <cellStyle name="Normal 5 4 2 2 6 2" xfId="4405" xr:uid="{00000000-0005-0000-0000-0000D11A0000}"/>
    <cellStyle name="Normal 5 4 2 2 6 2 2" xfId="8628" xr:uid="{00000000-0005-0000-0000-0000D21A0000}"/>
    <cellStyle name="Normal 5 4 2 2 6 2 2 2" xfId="17070" xr:uid="{14B87489-D3BB-4CC4-B957-441EC42263CB}"/>
    <cellStyle name="Normal 5 4 2 2 6 2 3" xfId="12852" xr:uid="{0DEBDF73-F64C-40FC-A2EE-188829222F0A}"/>
    <cellStyle name="Normal 5 4 2 2 6 3" xfId="6483" xr:uid="{00000000-0005-0000-0000-0000D31A0000}"/>
    <cellStyle name="Normal 5 4 2 2 6 3 2" xfId="14925" xr:uid="{B52754BE-8094-426C-9B3B-39EADFFE8099}"/>
    <cellStyle name="Normal 5 4 2 2 6 4" xfId="10707" xr:uid="{948A4211-B124-4688-9A2F-C58CFD86F0D9}"/>
    <cellStyle name="Normal 5 4 2 2 7" xfId="2612" xr:uid="{00000000-0005-0000-0000-0000D41A0000}"/>
    <cellStyle name="Normal 5 4 2 2 7 2" xfId="6896" xr:uid="{00000000-0005-0000-0000-0000D51A0000}"/>
    <cellStyle name="Normal 5 4 2 2 7 2 2" xfId="15338" xr:uid="{168AF1A8-88C9-4702-A114-2FB89ACBA51D}"/>
    <cellStyle name="Normal 5 4 2 2 7 3" xfId="11120" xr:uid="{8E506F67-17EB-4688-8C6C-32939701F4B2}"/>
    <cellStyle name="Normal 5 4 2 2 8" xfId="4831" xr:uid="{00000000-0005-0000-0000-0000D61A0000}"/>
    <cellStyle name="Normal 5 4 2 2 8 2" xfId="13273" xr:uid="{249B1195-7FF3-4D7A-AA16-958029B7C5B2}"/>
    <cellStyle name="Normal 5 4 2 2 9" xfId="9055" xr:uid="{021EC986-446A-42E8-8885-4ABC0FEC2CDF}"/>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2 2 2" xfId="15833" xr:uid="{F60F70F5-FC45-41B6-9AD0-57068859BB1A}"/>
    <cellStyle name="Normal 5 4 2 3 2 2 3" xfId="11615" xr:uid="{35E20FED-6519-4756-A613-B27AF9A6755D}"/>
    <cellStyle name="Normal 5 4 2 3 2 3" xfId="5246" xr:uid="{00000000-0005-0000-0000-0000DB1A0000}"/>
    <cellStyle name="Normal 5 4 2 3 2 3 2" xfId="13688" xr:uid="{C6D402EB-63B5-4581-BE37-31DA26058B3F}"/>
    <cellStyle name="Normal 5 4 2 3 2 4" xfId="9470" xr:uid="{36E199A4-802D-498C-8387-7F897149AFC2}"/>
    <cellStyle name="Normal 5 4 2 3 3" xfId="1351" xr:uid="{00000000-0005-0000-0000-0000DC1A0000}"/>
    <cellStyle name="Normal 5 4 2 3 3 2" xfId="3581" xr:uid="{00000000-0005-0000-0000-0000DD1A0000}"/>
    <cellStyle name="Normal 5 4 2 3 3 2 2" xfId="7804" xr:uid="{00000000-0005-0000-0000-0000DE1A0000}"/>
    <cellStyle name="Normal 5 4 2 3 3 2 2 2" xfId="16246" xr:uid="{C06BBEF9-7634-4D9F-82AE-E96F49DB51D6}"/>
    <cellStyle name="Normal 5 4 2 3 3 2 3" xfId="12028" xr:uid="{5266F873-E3AF-4963-B396-8F1F82223C5A}"/>
    <cellStyle name="Normal 5 4 2 3 3 3" xfId="5659" xr:uid="{00000000-0005-0000-0000-0000DF1A0000}"/>
    <cellStyle name="Normal 5 4 2 3 3 3 2" xfId="14101" xr:uid="{1369F9CB-944E-41E6-8742-E6135CC48EDD}"/>
    <cellStyle name="Normal 5 4 2 3 3 4" xfId="9883" xr:uid="{F02752B3-D8B6-4217-AC91-0B918F857A16}"/>
    <cellStyle name="Normal 5 4 2 3 4" xfId="1764" xr:uid="{00000000-0005-0000-0000-0000E01A0000}"/>
    <cellStyle name="Normal 5 4 2 3 4 2" xfId="3994" xr:uid="{00000000-0005-0000-0000-0000E11A0000}"/>
    <cellStyle name="Normal 5 4 2 3 4 2 2" xfId="8217" xr:uid="{00000000-0005-0000-0000-0000E21A0000}"/>
    <cellStyle name="Normal 5 4 2 3 4 2 2 2" xfId="16659" xr:uid="{22942516-4B8F-49DB-9F49-E84BB64C755A}"/>
    <cellStyle name="Normal 5 4 2 3 4 2 3" xfId="12441" xr:uid="{9EFE2CE9-3147-408C-9EC2-38CC38FBB881}"/>
    <cellStyle name="Normal 5 4 2 3 4 3" xfId="6072" xr:uid="{00000000-0005-0000-0000-0000E31A0000}"/>
    <cellStyle name="Normal 5 4 2 3 4 3 2" xfId="14514" xr:uid="{86FA8C8A-D7A1-43F5-94F4-24DA6A3BD8A5}"/>
    <cellStyle name="Normal 5 4 2 3 4 4" xfId="10296" xr:uid="{398688F3-B200-4E0E-9765-9A59F1014059}"/>
    <cellStyle name="Normal 5 4 2 3 5" xfId="2178" xr:uid="{00000000-0005-0000-0000-0000E41A0000}"/>
    <cellStyle name="Normal 5 4 2 3 5 2" xfId="4407" xr:uid="{00000000-0005-0000-0000-0000E51A0000}"/>
    <cellStyle name="Normal 5 4 2 3 5 2 2" xfId="8630" xr:uid="{00000000-0005-0000-0000-0000E61A0000}"/>
    <cellStyle name="Normal 5 4 2 3 5 2 2 2" xfId="17072" xr:uid="{B97F8004-62BE-4F0B-B58E-52CF7882B5E1}"/>
    <cellStyle name="Normal 5 4 2 3 5 2 3" xfId="12854" xr:uid="{3839730D-6292-49A0-ADE7-7E517859D73A}"/>
    <cellStyle name="Normal 5 4 2 3 5 3" xfId="6485" xr:uid="{00000000-0005-0000-0000-0000E71A0000}"/>
    <cellStyle name="Normal 5 4 2 3 5 3 2" xfId="14927" xr:uid="{6CFCE389-A1E9-4895-854E-D2B82DB43F8E}"/>
    <cellStyle name="Normal 5 4 2 3 5 4" xfId="10709" xr:uid="{A05C1F8E-0C59-4D38-B309-6FC96466D226}"/>
    <cellStyle name="Normal 5 4 2 3 6" xfId="2614" xr:uid="{00000000-0005-0000-0000-0000E81A0000}"/>
    <cellStyle name="Normal 5 4 2 3 6 2" xfId="6898" xr:uid="{00000000-0005-0000-0000-0000E91A0000}"/>
    <cellStyle name="Normal 5 4 2 3 6 2 2" xfId="15340" xr:uid="{870F8767-3182-41BB-ADF4-1C5DABE470EF}"/>
    <cellStyle name="Normal 5 4 2 3 6 3" xfId="11122" xr:uid="{113DC36D-E538-4B60-A500-CFB2B8DB053E}"/>
    <cellStyle name="Normal 5 4 2 3 7" xfId="4833" xr:uid="{00000000-0005-0000-0000-0000EA1A0000}"/>
    <cellStyle name="Normal 5 4 2 3 7 2" xfId="13275" xr:uid="{4ED0C18A-9ED0-4741-88BD-59BFD0290375}"/>
    <cellStyle name="Normal 5 4 2 3 8" xfId="9057" xr:uid="{72FC7BD3-58BC-41DD-A703-6F792F6A3F2D}"/>
    <cellStyle name="Normal 5 4 2 4" xfId="931" xr:uid="{00000000-0005-0000-0000-0000EB1A0000}"/>
    <cellStyle name="Normal 5 4 2 4 2" xfId="3165" xr:uid="{00000000-0005-0000-0000-0000EC1A0000}"/>
    <cellStyle name="Normal 5 4 2 4 2 2" xfId="7388" xr:uid="{00000000-0005-0000-0000-0000ED1A0000}"/>
    <cellStyle name="Normal 5 4 2 4 2 2 2" xfId="15830" xr:uid="{4EBDE310-4115-4230-9459-D560439A0376}"/>
    <cellStyle name="Normal 5 4 2 4 2 3" xfId="11612" xr:uid="{ABF39F21-C93E-44A1-BC92-090780C62912}"/>
    <cellStyle name="Normal 5 4 2 4 3" xfId="5243" xr:uid="{00000000-0005-0000-0000-0000EE1A0000}"/>
    <cellStyle name="Normal 5 4 2 4 3 2" xfId="13685" xr:uid="{A7CCDC8D-B7C7-4720-B915-DF7CA04F5B7E}"/>
    <cellStyle name="Normal 5 4 2 4 4" xfId="9467" xr:uid="{9847EB37-DFF0-4238-B62D-94C36718AAC3}"/>
    <cellStyle name="Normal 5 4 2 5" xfId="1348" xr:uid="{00000000-0005-0000-0000-0000EF1A0000}"/>
    <cellStyle name="Normal 5 4 2 5 2" xfId="3578" xr:uid="{00000000-0005-0000-0000-0000F01A0000}"/>
    <cellStyle name="Normal 5 4 2 5 2 2" xfId="7801" xr:uid="{00000000-0005-0000-0000-0000F11A0000}"/>
    <cellStyle name="Normal 5 4 2 5 2 2 2" xfId="16243" xr:uid="{C36DD27B-210C-4FCC-8024-CEB12FBD44A9}"/>
    <cellStyle name="Normal 5 4 2 5 2 3" xfId="12025" xr:uid="{D0AFCA81-C72A-499B-B929-FC3C4C59C8DD}"/>
    <cellStyle name="Normal 5 4 2 5 3" xfId="5656" xr:uid="{00000000-0005-0000-0000-0000F21A0000}"/>
    <cellStyle name="Normal 5 4 2 5 3 2" xfId="14098" xr:uid="{B26A261A-7494-4BBE-AC9D-890AC883ABF8}"/>
    <cellStyle name="Normal 5 4 2 5 4" xfId="9880" xr:uid="{9C926135-DA1C-4FA4-9E57-386C3BB9DC81}"/>
    <cellStyle name="Normal 5 4 2 6" xfId="1761" xr:uid="{00000000-0005-0000-0000-0000F31A0000}"/>
    <cellStyle name="Normal 5 4 2 6 2" xfId="3991" xr:uid="{00000000-0005-0000-0000-0000F41A0000}"/>
    <cellStyle name="Normal 5 4 2 6 2 2" xfId="8214" xr:uid="{00000000-0005-0000-0000-0000F51A0000}"/>
    <cellStyle name="Normal 5 4 2 6 2 2 2" xfId="16656" xr:uid="{4BA68EAF-4267-48E6-8CC2-23D0BD268A88}"/>
    <cellStyle name="Normal 5 4 2 6 2 3" xfId="12438" xr:uid="{D0ACD9DA-449D-4FCE-82E7-F5B1E45CD6C2}"/>
    <cellStyle name="Normal 5 4 2 6 3" xfId="6069" xr:uid="{00000000-0005-0000-0000-0000F61A0000}"/>
    <cellStyle name="Normal 5 4 2 6 3 2" xfId="14511" xr:uid="{33AAB47F-B566-44F9-849B-60A3D705253E}"/>
    <cellStyle name="Normal 5 4 2 6 4" xfId="10293" xr:uid="{BFED8C91-DACE-4702-9F00-A9025C25F574}"/>
    <cellStyle name="Normal 5 4 2 7" xfId="2175" xr:uid="{00000000-0005-0000-0000-0000F71A0000}"/>
    <cellStyle name="Normal 5 4 2 7 2" xfId="4404" xr:uid="{00000000-0005-0000-0000-0000F81A0000}"/>
    <cellStyle name="Normal 5 4 2 7 2 2" xfId="8627" xr:uid="{00000000-0005-0000-0000-0000F91A0000}"/>
    <cellStyle name="Normal 5 4 2 7 2 2 2" xfId="17069" xr:uid="{FA9F2D61-8636-4138-A742-EFCFB912B6CA}"/>
    <cellStyle name="Normal 5 4 2 7 2 3" xfId="12851" xr:uid="{2B24F8DE-6056-4511-9B60-1277E41B11A3}"/>
    <cellStyle name="Normal 5 4 2 7 3" xfId="6482" xr:uid="{00000000-0005-0000-0000-0000FA1A0000}"/>
    <cellStyle name="Normal 5 4 2 7 3 2" xfId="14924" xr:uid="{55F09034-2855-49AC-A19C-D15F759155B3}"/>
    <cellStyle name="Normal 5 4 2 7 4" xfId="10706" xr:uid="{12BF1E7B-C504-414E-9C91-83A40BA3B1E7}"/>
    <cellStyle name="Normal 5 4 2 8" xfId="2611" xr:uid="{00000000-0005-0000-0000-0000FB1A0000}"/>
    <cellStyle name="Normal 5 4 2 8 2" xfId="6895" xr:uid="{00000000-0005-0000-0000-0000FC1A0000}"/>
    <cellStyle name="Normal 5 4 2 8 2 2" xfId="15337" xr:uid="{1AEB21BA-1F2F-4BE0-ACA8-56ECF04C9A4C}"/>
    <cellStyle name="Normal 5 4 2 8 3" xfId="11119" xr:uid="{3384E0E8-BE08-40ED-8029-94C80A36BD07}"/>
    <cellStyle name="Normal 5 4 2 9" xfId="4830" xr:uid="{00000000-0005-0000-0000-0000FD1A0000}"/>
    <cellStyle name="Normal 5 4 2 9 2" xfId="13272" xr:uid="{E994F7D3-8B8A-4F9D-922C-6CC2845675A5}"/>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2 2 2" xfId="15835" xr:uid="{23F41BFF-4EDE-4DA8-93BF-BEE0420F629B}"/>
    <cellStyle name="Normal 5 4 3 2 2 2 3" xfId="11617" xr:uid="{99FDEC04-2A52-4580-A1E9-62C6A6BAEE33}"/>
    <cellStyle name="Normal 5 4 3 2 2 3" xfId="5248" xr:uid="{00000000-0005-0000-0000-0000031B0000}"/>
    <cellStyle name="Normal 5 4 3 2 2 3 2" xfId="13690" xr:uid="{36D38261-0284-4C13-BC11-D3437B2336AF}"/>
    <cellStyle name="Normal 5 4 3 2 2 4" xfId="9472" xr:uid="{B547E1C3-0C57-4E76-9782-645608D9853C}"/>
    <cellStyle name="Normal 5 4 3 2 3" xfId="1353" xr:uid="{00000000-0005-0000-0000-0000041B0000}"/>
    <cellStyle name="Normal 5 4 3 2 3 2" xfId="3583" xr:uid="{00000000-0005-0000-0000-0000051B0000}"/>
    <cellStyle name="Normal 5 4 3 2 3 2 2" xfId="7806" xr:uid="{00000000-0005-0000-0000-0000061B0000}"/>
    <cellStyle name="Normal 5 4 3 2 3 2 2 2" xfId="16248" xr:uid="{212CD8DE-C8D7-4414-BD6E-421E5690067A}"/>
    <cellStyle name="Normal 5 4 3 2 3 2 3" xfId="12030" xr:uid="{21E6B1D4-2E11-4E3F-A943-C8462D28A923}"/>
    <cellStyle name="Normal 5 4 3 2 3 3" xfId="5661" xr:uid="{00000000-0005-0000-0000-0000071B0000}"/>
    <cellStyle name="Normal 5 4 3 2 3 3 2" xfId="14103" xr:uid="{2B215E3F-DC9D-4EE6-9E0D-332DEB868182}"/>
    <cellStyle name="Normal 5 4 3 2 3 4" xfId="9885" xr:uid="{36A8202A-A312-4C5D-9358-D82707B7DF68}"/>
    <cellStyle name="Normal 5 4 3 2 4" xfId="1766" xr:uid="{00000000-0005-0000-0000-0000081B0000}"/>
    <cellStyle name="Normal 5 4 3 2 4 2" xfId="3996" xr:uid="{00000000-0005-0000-0000-0000091B0000}"/>
    <cellStyle name="Normal 5 4 3 2 4 2 2" xfId="8219" xr:uid="{00000000-0005-0000-0000-00000A1B0000}"/>
    <cellStyle name="Normal 5 4 3 2 4 2 2 2" xfId="16661" xr:uid="{9154AF72-DCBA-4500-9F76-589F4703CB9D}"/>
    <cellStyle name="Normal 5 4 3 2 4 2 3" xfId="12443" xr:uid="{32AAD3D3-521C-4E93-9E97-83E0EEEBEC8E}"/>
    <cellStyle name="Normal 5 4 3 2 4 3" xfId="6074" xr:uid="{00000000-0005-0000-0000-00000B1B0000}"/>
    <cellStyle name="Normal 5 4 3 2 4 3 2" xfId="14516" xr:uid="{77096B5A-2AF9-440A-A6CB-A8B9F93B0E58}"/>
    <cellStyle name="Normal 5 4 3 2 4 4" xfId="10298" xr:uid="{BFDBEB7F-51C0-493E-8337-814B83211AD9}"/>
    <cellStyle name="Normal 5 4 3 2 5" xfId="2180" xr:uid="{00000000-0005-0000-0000-00000C1B0000}"/>
    <cellStyle name="Normal 5 4 3 2 5 2" xfId="4409" xr:uid="{00000000-0005-0000-0000-00000D1B0000}"/>
    <cellStyle name="Normal 5 4 3 2 5 2 2" xfId="8632" xr:uid="{00000000-0005-0000-0000-00000E1B0000}"/>
    <cellStyle name="Normal 5 4 3 2 5 2 2 2" xfId="17074" xr:uid="{EDDACC79-0A58-413B-ABD0-F162C690BA47}"/>
    <cellStyle name="Normal 5 4 3 2 5 2 3" xfId="12856" xr:uid="{39A4347C-AB51-4151-AFC8-778B1C7D7F90}"/>
    <cellStyle name="Normal 5 4 3 2 5 3" xfId="6487" xr:uid="{00000000-0005-0000-0000-00000F1B0000}"/>
    <cellStyle name="Normal 5 4 3 2 5 3 2" xfId="14929" xr:uid="{24EA5F68-9EC7-4250-9651-B7603C354657}"/>
    <cellStyle name="Normal 5 4 3 2 5 4" xfId="10711" xr:uid="{24CBFF66-AA52-44D8-B360-97319C9753D4}"/>
    <cellStyle name="Normal 5 4 3 2 6" xfId="2616" xr:uid="{00000000-0005-0000-0000-0000101B0000}"/>
    <cellStyle name="Normal 5 4 3 2 6 2" xfId="6900" xr:uid="{00000000-0005-0000-0000-0000111B0000}"/>
    <cellStyle name="Normal 5 4 3 2 6 2 2" xfId="15342" xr:uid="{3EE9CDC7-5AE9-4EE8-A18F-5A57104E08B2}"/>
    <cellStyle name="Normal 5 4 3 2 6 3" xfId="11124" xr:uid="{19280DFE-95EE-491C-AA40-901E1807D856}"/>
    <cellStyle name="Normal 5 4 3 2 7" xfId="4835" xr:uid="{00000000-0005-0000-0000-0000121B0000}"/>
    <cellStyle name="Normal 5 4 3 2 7 2" xfId="13277" xr:uid="{F30A28CA-D348-413B-A3D2-0BA36A86A016}"/>
    <cellStyle name="Normal 5 4 3 2 8" xfId="9059" xr:uid="{949E3B87-7156-4DDB-AF28-A5B614F55115}"/>
    <cellStyle name="Normal 5 4 3 3" xfId="935" xr:uid="{00000000-0005-0000-0000-0000131B0000}"/>
    <cellStyle name="Normal 5 4 3 3 2" xfId="3169" xr:uid="{00000000-0005-0000-0000-0000141B0000}"/>
    <cellStyle name="Normal 5 4 3 3 2 2" xfId="7392" xr:uid="{00000000-0005-0000-0000-0000151B0000}"/>
    <cellStyle name="Normal 5 4 3 3 2 2 2" xfId="15834" xr:uid="{05F3432F-5293-448A-9310-3BBFBE622167}"/>
    <cellStyle name="Normal 5 4 3 3 2 3" xfId="11616" xr:uid="{19AF54F0-8DFB-46DA-9C56-4A0DFBB04D04}"/>
    <cellStyle name="Normal 5 4 3 3 3" xfId="5247" xr:uid="{00000000-0005-0000-0000-0000161B0000}"/>
    <cellStyle name="Normal 5 4 3 3 3 2" xfId="13689" xr:uid="{B91144DE-2CAA-4CC2-B8E5-18EEC74FC220}"/>
    <cellStyle name="Normal 5 4 3 3 4" xfId="9471" xr:uid="{3F7B238E-D6AD-4299-B250-3CDC63C4211E}"/>
    <cellStyle name="Normal 5 4 3 4" xfId="1352" xr:uid="{00000000-0005-0000-0000-0000171B0000}"/>
    <cellStyle name="Normal 5 4 3 4 2" xfId="3582" xr:uid="{00000000-0005-0000-0000-0000181B0000}"/>
    <cellStyle name="Normal 5 4 3 4 2 2" xfId="7805" xr:uid="{00000000-0005-0000-0000-0000191B0000}"/>
    <cellStyle name="Normal 5 4 3 4 2 2 2" xfId="16247" xr:uid="{55A7B8D5-DBF0-40C8-8C7C-81FC071BC044}"/>
    <cellStyle name="Normal 5 4 3 4 2 3" xfId="12029" xr:uid="{B033E8E8-CD8D-4929-9E37-AE7E2D2CDE49}"/>
    <cellStyle name="Normal 5 4 3 4 3" xfId="5660" xr:uid="{00000000-0005-0000-0000-00001A1B0000}"/>
    <cellStyle name="Normal 5 4 3 4 3 2" xfId="14102" xr:uid="{DFF96A88-C321-4F1E-A7D8-20D5B4A73B46}"/>
    <cellStyle name="Normal 5 4 3 4 4" xfId="9884" xr:uid="{308521C9-E019-447D-85B0-3DF9CB5EB524}"/>
    <cellStyle name="Normal 5 4 3 5" xfId="1765" xr:uid="{00000000-0005-0000-0000-00001B1B0000}"/>
    <cellStyle name="Normal 5 4 3 5 2" xfId="3995" xr:uid="{00000000-0005-0000-0000-00001C1B0000}"/>
    <cellStyle name="Normal 5 4 3 5 2 2" xfId="8218" xr:uid="{00000000-0005-0000-0000-00001D1B0000}"/>
    <cellStyle name="Normal 5 4 3 5 2 2 2" xfId="16660" xr:uid="{EE8FEB89-4F02-419F-84CD-430A3EE6EC87}"/>
    <cellStyle name="Normal 5 4 3 5 2 3" xfId="12442" xr:uid="{C01D4B46-7B73-4CA9-8A61-C616A9A89BAF}"/>
    <cellStyle name="Normal 5 4 3 5 3" xfId="6073" xr:uid="{00000000-0005-0000-0000-00001E1B0000}"/>
    <cellStyle name="Normal 5 4 3 5 3 2" xfId="14515" xr:uid="{D1486C74-853C-449D-9867-510CBB075182}"/>
    <cellStyle name="Normal 5 4 3 5 4" xfId="10297" xr:uid="{76862256-DB99-4B84-8633-9549668B1E5F}"/>
    <cellStyle name="Normal 5 4 3 6" xfId="2179" xr:uid="{00000000-0005-0000-0000-00001F1B0000}"/>
    <cellStyle name="Normal 5 4 3 6 2" xfId="4408" xr:uid="{00000000-0005-0000-0000-0000201B0000}"/>
    <cellStyle name="Normal 5 4 3 6 2 2" xfId="8631" xr:uid="{00000000-0005-0000-0000-0000211B0000}"/>
    <cellStyle name="Normal 5 4 3 6 2 2 2" xfId="17073" xr:uid="{47C14692-4C62-418B-8C79-7417EA626C28}"/>
    <cellStyle name="Normal 5 4 3 6 2 3" xfId="12855" xr:uid="{1B73F26F-2F66-4DCD-A128-115900F4E875}"/>
    <cellStyle name="Normal 5 4 3 6 3" xfId="6486" xr:uid="{00000000-0005-0000-0000-0000221B0000}"/>
    <cellStyle name="Normal 5 4 3 6 3 2" xfId="14928" xr:uid="{E1099925-5438-4674-B57B-D7C4084C27E3}"/>
    <cellStyle name="Normal 5 4 3 6 4" xfId="10710" xr:uid="{0E89EF20-D1ED-4FBE-9888-3561A96DAFFA}"/>
    <cellStyle name="Normal 5 4 3 7" xfId="2615" xr:uid="{00000000-0005-0000-0000-0000231B0000}"/>
    <cellStyle name="Normal 5 4 3 7 2" xfId="6899" xr:uid="{00000000-0005-0000-0000-0000241B0000}"/>
    <cellStyle name="Normal 5 4 3 7 2 2" xfId="15341" xr:uid="{A8C86C8F-8B88-4067-8A7E-533AF330B2C2}"/>
    <cellStyle name="Normal 5 4 3 7 3" xfId="11123" xr:uid="{40AF6834-DED8-4CB7-9A05-052BCA9C2F4B}"/>
    <cellStyle name="Normal 5 4 3 8" xfId="4834" xr:uid="{00000000-0005-0000-0000-0000251B0000}"/>
    <cellStyle name="Normal 5 4 3 8 2" xfId="13276" xr:uid="{18E89E97-3B5F-4CF1-826A-A5AE4A7DDB52}"/>
    <cellStyle name="Normal 5 4 3 9" xfId="9058" xr:uid="{4E0B6CA1-DA02-44CF-83EE-F65FB395DE3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2 2 2" xfId="15836" xr:uid="{1C5CD122-11AA-4A52-A326-662757EA42D5}"/>
    <cellStyle name="Normal 5 4 4 2 2 3" xfId="11618" xr:uid="{5FCA4614-EBF8-4D42-B1F0-236B137F972A}"/>
    <cellStyle name="Normal 5 4 4 2 3" xfId="5249" xr:uid="{00000000-0005-0000-0000-00002A1B0000}"/>
    <cellStyle name="Normal 5 4 4 2 3 2" xfId="13691" xr:uid="{5293202C-D961-40D8-808D-CC51CDE5D341}"/>
    <cellStyle name="Normal 5 4 4 2 4" xfId="9473" xr:uid="{66F5BC53-3A85-4F79-96A0-84F6F451997E}"/>
    <cellStyle name="Normal 5 4 4 3" xfId="1354" xr:uid="{00000000-0005-0000-0000-00002B1B0000}"/>
    <cellStyle name="Normal 5 4 4 3 2" xfId="3584" xr:uid="{00000000-0005-0000-0000-00002C1B0000}"/>
    <cellStyle name="Normal 5 4 4 3 2 2" xfId="7807" xr:uid="{00000000-0005-0000-0000-00002D1B0000}"/>
    <cellStyle name="Normal 5 4 4 3 2 2 2" xfId="16249" xr:uid="{ACCF54B3-26F6-41FD-A988-45247EAC93D7}"/>
    <cellStyle name="Normal 5 4 4 3 2 3" xfId="12031" xr:uid="{40E6F1F9-95B8-4A63-8F46-F03DCD8B38BB}"/>
    <cellStyle name="Normal 5 4 4 3 3" xfId="5662" xr:uid="{00000000-0005-0000-0000-00002E1B0000}"/>
    <cellStyle name="Normal 5 4 4 3 3 2" xfId="14104" xr:uid="{32926433-50B9-4902-83B9-F4E5A883BF14}"/>
    <cellStyle name="Normal 5 4 4 3 4" xfId="9886" xr:uid="{B36C4843-068E-4451-87CE-AD6EA51226C6}"/>
    <cellStyle name="Normal 5 4 4 4" xfId="1767" xr:uid="{00000000-0005-0000-0000-00002F1B0000}"/>
    <cellStyle name="Normal 5 4 4 4 2" xfId="3997" xr:uid="{00000000-0005-0000-0000-0000301B0000}"/>
    <cellStyle name="Normal 5 4 4 4 2 2" xfId="8220" xr:uid="{00000000-0005-0000-0000-0000311B0000}"/>
    <cellStyle name="Normal 5 4 4 4 2 2 2" xfId="16662" xr:uid="{ED4B596E-BFAB-4DC2-B0DE-954E49186794}"/>
    <cellStyle name="Normal 5 4 4 4 2 3" xfId="12444" xr:uid="{A4F37C05-CBFB-4F83-A9DC-6B00ABD35A04}"/>
    <cellStyle name="Normal 5 4 4 4 3" xfId="6075" xr:uid="{00000000-0005-0000-0000-0000321B0000}"/>
    <cellStyle name="Normal 5 4 4 4 3 2" xfId="14517" xr:uid="{2660CBE9-F245-4089-8DF8-3992A5E03B5C}"/>
    <cellStyle name="Normal 5 4 4 4 4" xfId="10299" xr:uid="{589E9D33-502F-4C35-8B3D-FFA7519FCF75}"/>
    <cellStyle name="Normal 5 4 4 5" xfId="2181" xr:uid="{00000000-0005-0000-0000-0000331B0000}"/>
    <cellStyle name="Normal 5 4 4 5 2" xfId="4410" xr:uid="{00000000-0005-0000-0000-0000341B0000}"/>
    <cellStyle name="Normal 5 4 4 5 2 2" xfId="8633" xr:uid="{00000000-0005-0000-0000-0000351B0000}"/>
    <cellStyle name="Normal 5 4 4 5 2 2 2" xfId="17075" xr:uid="{4B014DDC-5085-4E9B-BF01-80116918B8EC}"/>
    <cellStyle name="Normal 5 4 4 5 2 3" xfId="12857" xr:uid="{145DCEAF-1723-4E7C-A0FA-0CD6992C2286}"/>
    <cellStyle name="Normal 5 4 4 5 3" xfId="6488" xr:uid="{00000000-0005-0000-0000-0000361B0000}"/>
    <cellStyle name="Normal 5 4 4 5 3 2" xfId="14930" xr:uid="{BF7A0661-6AA8-4D17-B9D6-0ECF97B1DEC5}"/>
    <cellStyle name="Normal 5 4 4 5 4" xfId="10712" xr:uid="{3A491981-4613-4145-B2FC-A07B3B6CE3E9}"/>
    <cellStyle name="Normal 5 4 4 6" xfId="2617" xr:uid="{00000000-0005-0000-0000-0000371B0000}"/>
    <cellStyle name="Normal 5 4 4 6 2" xfId="6901" xr:uid="{00000000-0005-0000-0000-0000381B0000}"/>
    <cellStyle name="Normal 5 4 4 6 2 2" xfId="15343" xr:uid="{32F478BC-228B-416C-8390-8270ABD1F8D1}"/>
    <cellStyle name="Normal 5 4 4 6 3" xfId="11125" xr:uid="{4BDD9030-52B5-49CA-BDDA-86D8A66C9EEE}"/>
    <cellStyle name="Normal 5 4 4 7" xfId="4836" xr:uid="{00000000-0005-0000-0000-0000391B0000}"/>
    <cellStyle name="Normal 5 4 4 7 2" xfId="13278" xr:uid="{5FCCCB1B-7DFB-4FA9-8068-3F31C271512B}"/>
    <cellStyle name="Normal 5 4 4 8" xfId="9060" xr:uid="{29CAF7AD-EDE2-427D-8B1D-F680DCB0E682}"/>
    <cellStyle name="Normal 5 4 5" xfId="930" xr:uid="{00000000-0005-0000-0000-00003A1B0000}"/>
    <cellStyle name="Normal 5 4 5 2" xfId="3164" xr:uid="{00000000-0005-0000-0000-00003B1B0000}"/>
    <cellStyle name="Normal 5 4 5 2 2" xfId="7387" xr:uid="{00000000-0005-0000-0000-00003C1B0000}"/>
    <cellStyle name="Normal 5 4 5 2 2 2" xfId="15829" xr:uid="{C014B15F-3FF1-42B0-82C4-77E92976E80F}"/>
    <cellStyle name="Normal 5 4 5 2 3" xfId="11611" xr:uid="{7581B641-83D2-4BF7-BB23-4598490D414B}"/>
    <cellStyle name="Normal 5 4 5 3" xfId="5242" xr:uid="{00000000-0005-0000-0000-00003D1B0000}"/>
    <cellStyle name="Normal 5 4 5 3 2" xfId="13684" xr:uid="{F183F317-EF01-4EE6-A358-FAE979B44F68}"/>
    <cellStyle name="Normal 5 4 5 4" xfId="9466" xr:uid="{0B8928E0-838D-461D-83E2-0ED23D884D99}"/>
    <cellStyle name="Normal 5 4 6" xfId="1347" xr:uid="{00000000-0005-0000-0000-00003E1B0000}"/>
    <cellStyle name="Normal 5 4 6 2" xfId="3577" xr:uid="{00000000-0005-0000-0000-00003F1B0000}"/>
    <cellStyle name="Normal 5 4 6 2 2" xfId="7800" xr:uid="{00000000-0005-0000-0000-0000401B0000}"/>
    <cellStyle name="Normal 5 4 6 2 2 2" xfId="16242" xr:uid="{F3140201-8E44-4B56-8FBE-440C19E35D9F}"/>
    <cellStyle name="Normal 5 4 6 2 3" xfId="12024" xr:uid="{E4879389-D678-43AD-8396-B7B7A9D5DC0B}"/>
    <cellStyle name="Normal 5 4 6 3" xfId="5655" xr:uid="{00000000-0005-0000-0000-0000411B0000}"/>
    <cellStyle name="Normal 5 4 6 3 2" xfId="14097" xr:uid="{48FF9E55-4E38-4A45-BBD9-17C6DE69BCE1}"/>
    <cellStyle name="Normal 5 4 6 4" xfId="9879" xr:uid="{3FA1B6BC-5506-498F-8409-C3A862C9496B}"/>
    <cellStyle name="Normal 5 4 7" xfId="1760" xr:uid="{00000000-0005-0000-0000-0000421B0000}"/>
    <cellStyle name="Normal 5 4 7 2" xfId="3990" xr:uid="{00000000-0005-0000-0000-0000431B0000}"/>
    <cellStyle name="Normal 5 4 7 2 2" xfId="8213" xr:uid="{00000000-0005-0000-0000-0000441B0000}"/>
    <cellStyle name="Normal 5 4 7 2 2 2" xfId="16655" xr:uid="{68E2ACF9-2A3A-47CD-AE94-309C295B3CE4}"/>
    <cellStyle name="Normal 5 4 7 2 3" xfId="12437" xr:uid="{06B1BE08-00FF-4617-BD2F-FA4B0C89EF2E}"/>
    <cellStyle name="Normal 5 4 7 3" xfId="6068" xr:uid="{00000000-0005-0000-0000-0000451B0000}"/>
    <cellStyle name="Normal 5 4 7 3 2" xfId="14510" xr:uid="{548CED9C-30C3-486A-AE97-B92B7CCB58B9}"/>
    <cellStyle name="Normal 5 4 7 4" xfId="10292" xr:uid="{E65E4780-54F1-460F-9FBE-04F251E07266}"/>
    <cellStyle name="Normal 5 4 8" xfId="2174" xr:uid="{00000000-0005-0000-0000-0000461B0000}"/>
    <cellStyle name="Normal 5 4 8 2" xfId="4403" xr:uid="{00000000-0005-0000-0000-0000471B0000}"/>
    <cellStyle name="Normal 5 4 8 2 2" xfId="8626" xr:uid="{00000000-0005-0000-0000-0000481B0000}"/>
    <cellStyle name="Normal 5 4 8 2 2 2" xfId="17068" xr:uid="{91DC9154-FB52-441A-AA17-577D2EEA3D25}"/>
    <cellStyle name="Normal 5 4 8 2 3" xfId="12850" xr:uid="{AF6CF3CB-D3EC-48D3-A34B-07015C03ECEF}"/>
    <cellStyle name="Normal 5 4 8 3" xfId="6481" xr:uid="{00000000-0005-0000-0000-0000491B0000}"/>
    <cellStyle name="Normal 5 4 8 3 2" xfId="14923" xr:uid="{911EDFBB-28B9-4131-B472-BEED564245EB}"/>
    <cellStyle name="Normal 5 4 8 4" xfId="10705" xr:uid="{A21A46F7-72F3-4B1B-9E6A-0A0CA5EF7BD5}"/>
    <cellStyle name="Normal 5 4 9" xfId="2610" xr:uid="{00000000-0005-0000-0000-00004A1B0000}"/>
    <cellStyle name="Normal 5 4 9 2" xfId="6894" xr:uid="{00000000-0005-0000-0000-00004B1B0000}"/>
    <cellStyle name="Normal 5 4 9 2 2" xfId="15336" xr:uid="{B83C9376-2142-48C8-81BA-951F08096403}"/>
    <cellStyle name="Normal 5 4 9 3" xfId="11118" xr:uid="{B810F25E-686F-4DFA-A841-CE9EC0AF2D7C}"/>
    <cellStyle name="Normal 5 5" xfId="464" xr:uid="{00000000-0005-0000-0000-00004C1B0000}"/>
    <cellStyle name="Normal 5 5 10" xfId="9061" xr:uid="{75B901DC-306F-4665-B46C-2F7762B6540A}"/>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2 2 2" xfId="15839" xr:uid="{45B27695-98D2-4BF3-9E39-C05BE1DDBF0D}"/>
    <cellStyle name="Normal 5 5 2 2 2 2 3" xfId="11621" xr:uid="{D954B6E6-AA62-4FE9-A46E-C88F664F3701}"/>
    <cellStyle name="Normal 5 5 2 2 2 3" xfId="5252" xr:uid="{00000000-0005-0000-0000-0000521B0000}"/>
    <cellStyle name="Normal 5 5 2 2 2 3 2" xfId="13694" xr:uid="{D3437939-EE2A-4367-AB86-39248B449722}"/>
    <cellStyle name="Normal 5 5 2 2 2 4" xfId="9476" xr:uid="{5ECDB76B-2B72-462B-9512-5F82AA0C7C9A}"/>
    <cellStyle name="Normal 5 5 2 2 3" xfId="1357" xr:uid="{00000000-0005-0000-0000-0000531B0000}"/>
    <cellStyle name="Normal 5 5 2 2 3 2" xfId="3587" xr:uid="{00000000-0005-0000-0000-0000541B0000}"/>
    <cellStyle name="Normal 5 5 2 2 3 2 2" xfId="7810" xr:uid="{00000000-0005-0000-0000-0000551B0000}"/>
    <cellStyle name="Normal 5 5 2 2 3 2 2 2" xfId="16252" xr:uid="{F5533E5A-A2A7-4EC5-9386-3024FF369778}"/>
    <cellStyle name="Normal 5 5 2 2 3 2 3" xfId="12034" xr:uid="{9F098EDC-96E1-4CFC-ADAB-63F073380093}"/>
    <cellStyle name="Normal 5 5 2 2 3 3" xfId="5665" xr:uid="{00000000-0005-0000-0000-0000561B0000}"/>
    <cellStyle name="Normal 5 5 2 2 3 3 2" xfId="14107" xr:uid="{74603ED8-521C-4273-AE62-324AC1E9F18D}"/>
    <cellStyle name="Normal 5 5 2 2 3 4" xfId="9889" xr:uid="{24854715-99A2-4D8F-B8B0-69DF089B4AC0}"/>
    <cellStyle name="Normal 5 5 2 2 4" xfId="1770" xr:uid="{00000000-0005-0000-0000-0000571B0000}"/>
    <cellStyle name="Normal 5 5 2 2 4 2" xfId="4000" xr:uid="{00000000-0005-0000-0000-0000581B0000}"/>
    <cellStyle name="Normal 5 5 2 2 4 2 2" xfId="8223" xr:uid="{00000000-0005-0000-0000-0000591B0000}"/>
    <cellStyle name="Normal 5 5 2 2 4 2 2 2" xfId="16665" xr:uid="{BF65E417-05FF-48AA-9204-6B956FC560F9}"/>
    <cellStyle name="Normal 5 5 2 2 4 2 3" xfId="12447" xr:uid="{50D29A8E-1EB9-4BA3-B7CA-CB0D738215D0}"/>
    <cellStyle name="Normal 5 5 2 2 4 3" xfId="6078" xr:uid="{00000000-0005-0000-0000-00005A1B0000}"/>
    <cellStyle name="Normal 5 5 2 2 4 3 2" xfId="14520" xr:uid="{FF7F8F95-1638-4AAB-8F14-91D2A081945E}"/>
    <cellStyle name="Normal 5 5 2 2 4 4" xfId="10302" xr:uid="{83E199CA-FE68-437C-BF73-123C821FB486}"/>
    <cellStyle name="Normal 5 5 2 2 5" xfId="2184" xr:uid="{00000000-0005-0000-0000-00005B1B0000}"/>
    <cellStyle name="Normal 5 5 2 2 5 2" xfId="4413" xr:uid="{00000000-0005-0000-0000-00005C1B0000}"/>
    <cellStyle name="Normal 5 5 2 2 5 2 2" xfId="8636" xr:uid="{00000000-0005-0000-0000-00005D1B0000}"/>
    <cellStyle name="Normal 5 5 2 2 5 2 2 2" xfId="17078" xr:uid="{E0EBC377-AF37-452B-BDFF-93391C5A5EAA}"/>
    <cellStyle name="Normal 5 5 2 2 5 2 3" xfId="12860" xr:uid="{94B1BD01-8C77-423D-A5D4-E83B7FA4AB55}"/>
    <cellStyle name="Normal 5 5 2 2 5 3" xfId="6491" xr:uid="{00000000-0005-0000-0000-00005E1B0000}"/>
    <cellStyle name="Normal 5 5 2 2 5 3 2" xfId="14933" xr:uid="{9E8EC176-ED05-4539-A7CF-498D906BFDE3}"/>
    <cellStyle name="Normal 5 5 2 2 5 4" xfId="10715" xr:uid="{8E563924-CBB1-4AE1-B750-6C12E447332C}"/>
    <cellStyle name="Normal 5 5 2 2 6" xfId="2620" xr:uid="{00000000-0005-0000-0000-00005F1B0000}"/>
    <cellStyle name="Normal 5 5 2 2 6 2" xfId="6904" xr:uid="{00000000-0005-0000-0000-0000601B0000}"/>
    <cellStyle name="Normal 5 5 2 2 6 2 2" xfId="15346" xr:uid="{70BB766D-2544-4B1F-948A-DD84D25CEA20}"/>
    <cellStyle name="Normal 5 5 2 2 6 3" xfId="11128" xr:uid="{90A4EB4E-1BE5-4671-AE7B-20AAB4717A68}"/>
    <cellStyle name="Normal 5 5 2 2 7" xfId="4839" xr:uid="{00000000-0005-0000-0000-0000611B0000}"/>
    <cellStyle name="Normal 5 5 2 2 7 2" xfId="13281" xr:uid="{E74F0CF3-7384-49F5-9421-5676B79F4565}"/>
    <cellStyle name="Normal 5 5 2 2 8" xfId="9063" xr:uid="{FD480A4C-539E-423A-B0A3-0287DB98E08D}"/>
    <cellStyle name="Normal 5 5 2 3" xfId="939" xr:uid="{00000000-0005-0000-0000-0000621B0000}"/>
    <cellStyle name="Normal 5 5 2 3 2" xfId="3173" xr:uid="{00000000-0005-0000-0000-0000631B0000}"/>
    <cellStyle name="Normal 5 5 2 3 2 2" xfId="7396" xr:uid="{00000000-0005-0000-0000-0000641B0000}"/>
    <cellStyle name="Normal 5 5 2 3 2 2 2" xfId="15838" xr:uid="{3585D2CC-DC80-4B5B-8C3D-F1F6B8F02BC0}"/>
    <cellStyle name="Normal 5 5 2 3 2 3" xfId="11620" xr:uid="{9DDAD574-BAF5-4DE4-8063-F261C2A0BC02}"/>
    <cellStyle name="Normal 5 5 2 3 3" xfId="5251" xr:uid="{00000000-0005-0000-0000-0000651B0000}"/>
    <cellStyle name="Normal 5 5 2 3 3 2" xfId="13693" xr:uid="{066314B8-EACD-4BE0-AE42-9958D7C8E94A}"/>
    <cellStyle name="Normal 5 5 2 3 4" xfId="9475" xr:uid="{963688E6-9E79-449F-9F30-21A1810B37AB}"/>
    <cellStyle name="Normal 5 5 2 4" xfId="1356" xr:uid="{00000000-0005-0000-0000-0000661B0000}"/>
    <cellStyle name="Normal 5 5 2 4 2" xfId="3586" xr:uid="{00000000-0005-0000-0000-0000671B0000}"/>
    <cellStyle name="Normal 5 5 2 4 2 2" xfId="7809" xr:uid="{00000000-0005-0000-0000-0000681B0000}"/>
    <cellStyle name="Normal 5 5 2 4 2 2 2" xfId="16251" xr:uid="{CEAE526E-CA2F-436A-A8B2-1D2DC821F8B4}"/>
    <cellStyle name="Normal 5 5 2 4 2 3" xfId="12033" xr:uid="{B4C409CB-A69E-4029-98E7-45D40B0D6976}"/>
    <cellStyle name="Normal 5 5 2 4 3" xfId="5664" xr:uid="{00000000-0005-0000-0000-0000691B0000}"/>
    <cellStyle name="Normal 5 5 2 4 3 2" xfId="14106" xr:uid="{D583E699-EDE3-4102-A7AF-A8078CA5908A}"/>
    <cellStyle name="Normal 5 5 2 4 4" xfId="9888" xr:uid="{4AE1FE30-7950-48E1-AF1C-E0DF5CC51939}"/>
    <cellStyle name="Normal 5 5 2 5" xfId="1769" xr:uid="{00000000-0005-0000-0000-00006A1B0000}"/>
    <cellStyle name="Normal 5 5 2 5 2" xfId="3999" xr:uid="{00000000-0005-0000-0000-00006B1B0000}"/>
    <cellStyle name="Normal 5 5 2 5 2 2" xfId="8222" xr:uid="{00000000-0005-0000-0000-00006C1B0000}"/>
    <cellStyle name="Normal 5 5 2 5 2 2 2" xfId="16664" xr:uid="{14C70248-4445-4084-BB65-B4C3AE9717FF}"/>
    <cellStyle name="Normal 5 5 2 5 2 3" xfId="12446" xr:uid="{64080485-EE87-4743-BE80-5D7263908512}"/>
    <cellStyle name="Normal 5 5 2 5 3" xfId="6077" xr:uid="{00000000-0005-0000-0000-00006D1B0000}"/>
    <cellStyle name="Normal 5 5 2 5 3 2" xfId="14519" xr:uid="{23CCE142-26EC-4541-AC73-9DFDE9D4EDA4}"/>
    <cellStyle name="Normal 5 5 2 5 4" xfId="10301" xr:uid="{9F0CE276-E430-4A27-AA92-B2C29E432508}"/>
    <cellStyle name="Normal 5 5 2 6" xfId="2183" xr:uid="{00000000-0005-0000-0000-00006E1B0000}"/>
    <cellStyle name="Normal 5 5 2 6 2" xfId="4412" xr:uid="{00000000-0005-0000-0000-00006F1B0000}"/>
    <cellStyle name="Normal 5 5 2 6 2 2" xfId="8635" xr:uid="{00000000-0005-0000-0000-0000701B0000}"/>
    <cellStyle name="Normal 5 5 2 6 2 2 2" xfId="17077" xr:uid="{DD60F533-B432-4127-B543-DC4EFEB28F2B}"/>
    <cellStyle name="Normal 5 5 2 6 2 3" xfId="12859" xr:uid="{081B35EE-4CE3-4EBF-83F5-B71C1217146F}"/>
    <cellStyle name="Normal 5 5 2 6 3" xfId="6490" xr:uid="{00000000-0005-0000-0000-0000711B0000}"/>
    <cellStyle name="Normal 5 5 2 6 3 2" xfId="14932" xr:uid="{E95B794C-3C2F-4B62-AFE4-1F692D1B8C82}"/>
    <cellStyle name="Normal 5 5 2 6 4" xfId="10714" xr:uid="{E07E76AA-E7C5-4760-966E-11B0230FBB48}"/>
    <cellStyle name="Normal 5 5 2 7" xfId="2619" xr:uid="{00000000-0005-0000-0000-0000721B0000}"/>
    <cellStyle name="Normal 5 5 2 7 2" xfId="6903" xr:uid="{00000000-0005-0000-0000-0000731B0000}"/>
    <cellStyle name="Normal 5 5 2 7 2 2" xfId="15345" xr:uid="{C53560B4-9400-4FB9-957F-3DF05E1CFDF6}"/>
    <cellStyle name="Normal 5 5 2 7 3" xfId="11127" xr:uid="{A36BAA01-52DE-4167-BF12-AB666FF79D4C}"/>
    <cellStyle name="Normal 5 5 2 8" xfId="4838" xr:uid="{00000000-0005-0000-0000-0000741B0000}"/>
    <cellStyle name="Normal 5 5 2 8 2" xfId="13280" xr:uid="{1265E73E-C520-484D-9B5B-844ABE10C3CC}"/>
    <cellStyle name="Normal 5 5 2 9" xfId="9062" xr:uid="{062864C9-3F3E-41D8-8F85-B6BFDB140508}"/>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2 2 2" xfId="15840" xr:uid="{2ACC1CDB-C3E8-4165-A068-16F12808C510}"/>
    <cellStyle name="Normal 5 5 3 2 2 3" xfId="11622" xr:uid="{FB01EE6F-C7FA-4CE1-9A8A-814E3DF0A735}"/>
    <cellStyle name="Normal 5 5 3 2 3" xfId="5253" xr:uid="{00000000-0005-0000-0000-0000791B0000}"/>
    <cellStyle name="Normal 5 5 3 2 3 2" xfId="13695" xr:uid="{F0D215B4-A2A6-4CEA-BD57-185A0EEA3CD6}"/>
    <cellStyle name="Normal 5 5 3 2 4" xfId="9477" xr:uid="{4DAD8129-7BB2-41D0-BC01-F3FFCC978B50}"/>
    <cellStyle name="Normal 5 5 3 3" xfId="1358" xr:uid="{00000000-0005-0000-0000-00007A1B0000}"/>
    <cellStyle name="Normal 5 5 3 3 2" xfId="3588" xr:uid="{00000000-0005-0000-0000-00007B1B0000}"/>
    <cellStyle name="Normal 5 5 3 3 2 2" xfId="7811" xr:uid="{00000000-0005-0000-0000-00007C1B0000}"/>
    <cellStyle name="Normal 5 5 3 3 2 2 2" xfId="16253" xr:uid="{BD1F72E1-6504-4563-AD3A-C06AB7E67222}"/>
    <cellStyle name="Normal 5 5 3 3 2 3" xfId="12035" xr:uid="{28BF4365-028C-4892-AB8F-0DBAF1834C10}"/>
    <cellStyle name="Normal 5 5 3 3 3" xfId="5666" xr:uid="{00000000-0005-0000-0000-00007D1B0000}"/>
    <cellStyle name="Normal 5 5 3 3 3 2" xfId="14108" xr:uid="{0EBE5802-7F2E-44B4-90D4-700A0A8C32D8}"/>
    <cellStyle name="Normal 5 5 3 3 4" xfId="9890" xr:uid="{78865372-3232-476A-AE28-5845DAA70ACD}"/>
    <cellStyle name="Normal 5 5 3 4" xfId="1771" xr:uid="{00000000-0005-0000-0000-00007E1B0000}"/>
    <cellStyle name="Normal 5 5 3 4 2" xfId="4001" xr:uid="{00000000-0005-0000-0000-00007F1B0000}"/>
    <cellStyle name="Normal 5 5 3 4 2 2" xfId="8224" xr:uid="{00000000-0005-0000-0000-0000801B0000}"/>
    <cellStyle name="Normal 5 5 3 4 2 2 2" xfId="16666" xr:uid="{6D75DE72-9D63-4D8A-AE78-2F5CCCB50067}"/>
    <cellStyle name="Normal 5 5 3 4 2 3" xfId="12448" xr:uid="{26F8A1A0-8E20-445C-8CE7-CD2EF936060F}"/>
    <cellStyle name="Normal 5 5 3 4 3" xfId="6079" xr:uid="{00000000-0005-0000-0000-0000811B0000}"/>
    <cellStyle name="Normal 5 5 3 4 3 2" xfId="14521" xr:uid="{53F48724-A960-47BC-AFA5-85873E8660E1}"/>
    <cellStyle name="Normal 5 5 3 4 4" xfId="10303" xr:uid="{F12B46CA-279B-4866-8DBE-D10287F384C6}"/>
    <cellStyle name="Normal 5 5 3 5" xfId="2185" xr:uid="{00000000-0005-0000-0000-0000821B0000}"/>
    <cellStyle name="Normal 5 5 3 5 2" xfId="4414" xr:uid="{00000000-0005-0000-0000-0000831B0000}"/>
    <cellStyle name="Normal 5 5 3 5 2 2" xfId="8637" xr:uid="{00000000-0005-0000-0000-0000841B0000}"/>
    <cellStyle name="Normal 5 5 3 5 2 2 2" xfId="17079" xr:uid="{E0A8E623-EB5D-481B-8D0C-07CAF0E421B3}"/>
    <cellStyle name="Normal 5 5 3 5 2 3" xfId="12861" xr:uid="{227CC8E7-217D-4DA9-AC4C-7F9E085F430D}"/>
    <cellStyle name="Normal 5 5 3 5 3" xfId="6492" xr:uid="{00000000-0005-0000-0000-0000851B0000}"/>
    <cellStyle name="Normal 5 5 3 5 3 2" xfId="14934" xr:uid="{293F56F6-4A0B-484F-A566-7B68CBE0D791}"/>
    <cellStyle name="Normal 5 5 3 5 4" xfId="10716" xr:uid="{124FA84B-92B1-4FC5-9ABB-FD7C1E96B203}"/>
    <cellStyle name="Normal 5 5 3 6" xfId="2621" xr:uid="{00000000-0005-0000-0000-0000861B0000}"/>
    <cellStyle name="Normal 5 5 3 6 2" xfId="6905" xr:uid="{00000000-0005-0000-0000-0000871B0000}"/>
    <cellStyle name="Normal 5 5 3 6 2 2" xfId="15347" xr:uid="{780B4A0F-0812-4F96-A4BA-30B6D08C6178}"/>
    <cellStyle name="Normal 5 5 3 6 3" xfId="11129" xr:uid="{6ABA179D-8025-4169-9D5F-1D9262E63B1B}"/>
    <cellStyle name="Normal 5 5 3 7" xfId="4840" xr:uid="{00000000-0005-0000-0000-0000881B0000}"/>
    <cellStyle name="Normal 5 5 3 7 2" xfId="13282" xr:uid="{F1EF2394-18DD-4A22-823E-F3DF2F79FD3F}"/>
    <cellStyle name="Normal 5 5 3 8" xfId="9064" xr:uid="{D25896E1-B541-4F32-A21B-A729B8D0E8B8}"/>
    <cellStyle name="Normal 5 5 4" xfId="938" xr:uid="{00000000-0005-0000-0000-0000891B0000}"/>
    <cellStyle name="Normal 5 5 4 2" xfId="3172" xr:uid="{00000000-0005-0000-0000-00008A1B0000}"/>
    <cellStyle name="Normal 5 5 4 2 2" xfId="7395" xr:uid="{00000000-0005-0000-0000-00008B1B0000}"/>
    <cellStyle name="Normal 5 5 4 2 2 2" xfId="15837" xr:uid="{B21E651B-A553-44ED-8E44-6C15E850D755}"/>
    <cellStyle name="Normal 5 5 4 2 3" xfId="11619" xr:uid="{D017F511-236C-436C-BA41-654D7E183404}"/>
    <cellStyle name="Normal 5 5 4 3" xfId="5250" xr:uid="{00000000-0005-0000-0000-00008C1B0000}"/>
    <cellStyle name="Normal 5 5 4 3 2" xfId="13692" xr:uid="{3EC2337E-030B-4802-BD4A-B55730365E00}"/>
    <cellStyle name="Normal 5 5 4 4" xfId="9474" xr:uid="{4E6BE415-9E9A-4F8C-9C59-67AC321B6CE2}"/>
    <cellStyle name="Normal 5 5 5" xfId="1355" xr:uid="{00000000-0005-0000-0000-00008D1B0000}"/>
    <cellStyle name="Normal 5 5 5 2" xfId="3585" xr:uid="{00000000-0005-0000-0000-00008E1B0000}"/>
    <cellStyle name="Normal 5 5 5 2 2" xfId="7808" xr:uid="{00000000-0005-0000-0000-00008F1B0000}"/>
    <cellStyle name="Normal 5 5 5 2 2 2" xfId="16250" xr:uid="{FAAA4BE9-20E9-429A-A72D-5D9129FB57FF}"/>
    <cellStyle name="Normal 5 5 5 2 3" xfId="12032" xr:uid="{EECF3C16-3E7B-4F83-B461-154BA7765FD3}"/>
    <cellStyle name="Normal 5 5 5 3" xfId="5663" xr:uid="{00000000-0005-0000-0000-0000901B0000}"/>
    <cellStyle name="Normal 5 5 5 3 2" xfId="14105" xr:uid="{EB71BBDB-8395-47FA-8790-F334ADD47E74}"/>
    <cellStyle name="Normal 5 5 5 4" xfId="9887" xr:uid="{D2291DA5-A5A5-42B2-B484-491DDE4C208E}"/>
    <cellStyle name="Normal 5 5 6" xfId="1768" xr:uid="{00000000-0005-0000-0000-0000911B0000}"/>
    <cellStyle name="Normal 5 5 6 2" xfId="3998" xr:uid="{00000000-0005-0000-0000-0000921B0000}"/>
    <cellStyle name="Normal 5 5 6 2 2" xfId="8221" xr:uid="{00000000-0005-0000-0000-0000931B0000}"/>
    <cellStyle name="Normal 5 5 6 2 2 2" xfId="16663" xr:uid="{7C0C531E-8FBF-44D2-B6A8-D3BF8402E5B0}"/>
    <cellStyle name="Normal 5 5 6 2 3" xfId="12445" xr:uid="{CED42A9E-7981-4FC2-BDA5-45A306950FB8}"/>
    <cellStyle name="Normal 5 5 6 3" xfId="6076" xr:uid="{00000000-0005-0000-0000-0000941B0000}"/>
    <cellStyle name="Normal 5 5 6 3 2" xfId="14518" xr:uid="{14D80D70-94C6-4984-ADF3-D1E985544B8C}"/>
    <cellStyle name="Normal 5 5 6 4" xfId="10300" xr:uid="{19962292-AF27-498A-9DF9-73E728BB4C7B}"/>
    <cellStyle name="Normal 5 5 7" xfId="2182" xr:uid="{00000000-0005-0000-0000-0000951B0000}"/>
    <cellStyle name="Normal 5 5 7 2" xfId="4411" xr:uid="{00000000-0005-0000-0000-0000961B0000}"/>
    <cellStyle name="Normal 5 5 7 2 2" xfId="8634" xr:uid="{00000000-0005-0000-0000-0000971B0000}"/>
    <cellStyle name="Normal 5 5 7 2 2 2" xfId="17076" xr:uid="{1E90B65D-DF6E-4D6D-9986-965C4BC4ED1E}"/>
    <cellStyle name="Normal 5 5 7 2 3" xfId="12858" xr:uid="{4A532C9E-2AB3-464A-BA86-83BF334D1065}"/>
    <cellStyle name="Normal 5 5 7 3" xfId="6489" xr:uid="{00000000-0005-0000-0000-0000981B0000}"/>
    <cellStyle name="Normal 5 5 7 3 2" xfId="14931" xr:uid="{59186D77-0DDC-4D42-95FE-E667BA1D53CA}"/>
    <cellStyle name="Normal 5 5 7 4" xfId="10713" xr:uid="{AFBE6F80-2307-45C3-ACAA-062950ECC88F}"/>
    <cellStyle name="Normal 5 5 8" xfId="2618" xr:uid="{00000000-0005-0000-0000-0000991B0000}"/>
    <cellStyle name="Normal 5 5 8 2" xfId="6902" xr:uid="{00000000-0005-0000-0000-00009A1B0000}"/>
    <cellStyle name="Normal 5 5 8 2 2" xfId="15344" xr:uid="{405DEB70-8B7D-4655-8C6B-E64D3C800CC3}"/>
    <cellStyle name="Normal 5 5 8 3" xfId="11126" xr:uid="{9E24A34A-9BBE-49DC-971C-235A694C6D74}"/>
    <cellStyle name="Normal 5 5 9" xfId="4837" xr:uid="{00000000-0005-0000-0000-00009B1B0000}"/>
    <cellStyle name="Normal 5 5 9 2" xfId="13279" xr:uid="{089E5A88-CCF3-4200-AB2E-CE2398706EAF}"/>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2 2 2" xfId="15842" xr:uid="{FE36A904-EE4C-4C3B-BAE2-37983F34E516}"/>
    <cellStyle name="Normal 5 6 2 2 2 3" xfId="11624" xr:uid="{F722D875-85FC-4887-B2DE-AD6603BB8F25}"/>
    <cellStyle name="Normal 5 6 2 2 3" xfId="5255" xr:uid="{00000000-0005-0000-0000-0000A11B0000}"/>
    <cellStyle name="Normal 5 6 2 2 3 2" xfId="13697" xr:uid="{65A1CFCC-B9F7-408E-8B1A-7718555A3967}"/>
    <cellStyle name="Normal 5 6 2 2 4" xfId="9479" xr:uid="{AB16F13B-2274-4343-A91B-6C29CA87C379}"/>
    <cellStyle name="Normal 5 6 2 3" xfId="1360" xr:uid="{00000000-0005-0000-0000-0000A21B0000}"/>
    <cellStyle name="Normal 5 6 2 3 2" xfId="3590" xr:uid="{00000000-0005-0000-0000-0000A31B0000}"/>
    <cellStyle name="Normal 5 6 2 3 2 2" xfId="7813" xr:uid="{00000000-0005-0000-0000-0000A41B0000}"/>
    <cellStyle name="Normal 5 6 2 3 2 2 2" xfId="16255" xr:uid="{66D48445-C265-482E-A9A8-064E619E3810}"/>
    <cellStyle name="Normal 5 6 2 3 2 3" xfId="12037" xr:uid="{2CE10B27-0371-4930-8C2F-B6B4775FED10}"/>
    <cellStyle name="Normal 5 6 2 3 3" xfId="5668" xr:uid="{00000000-0005-0000-0000-0000A51B0000}"/>
    <cellStyle name="Normal 5 6 2 3 3 2" xfId="14110" xr:uid="{B6D26B7B-AB17-4288-9823-5C3DA8C2A542}"/>
    <cellStyle name="Normal 5 6 2 3 4" xfId="9892" xr:uid="{590C5E74-B1FE-41C1-B8BA-5401BCB6B78C}"/>
    <cellStyle name="Normal 5 6 2 4" xfId="1773" xr:uid="{00000000-0005-0000-0000-0000A61B0000}"/>
    <cellStyle name="Normal 5 6 2 4 2" xfId="4003" xr:uid="{00000000-0005-0000-0000-0000A71B0000}"/>
    <cellStyle name="Normal 5 6 2 4 2 2" xfId="8226" xr:uid="{00000000-0005-0000-0000-0000A81B0000}"/>
    <cellStyle name="Normal 5 6 2 4 2 2 2" xfId="16668" xr:uid="{994D27FB-187C-452A-BEBD-6FA10C82FBCA}"/>
    <cellStyle name="Normal 5 6 2 4 2 3" xfId="12450" xr:uid="{44A9F497-75F2-4D83-8928-D1C22C5625D4}"/>
    <cellStyle name="Normal 5 6 2 4 3" xfId="6081" xr:uid="{00000000-0005-0000-0000-0000A91B0000}"/>
    <cellStyle name="Normal 5 6 2 4 3 2" xfId="14523" xr:uid="{C2B9ACC3-FE7C-4974-8FDC-4331F4D13763}"/>
    <cellStyle name="Normal 5 6 2 4 4" xfId="10305" xr:uid="{B34D176A-2719-4F9C-A8F6-DFECDA30A3B7}"/>
    <cellStyle name="Normal 5 6 2 5" xfId="2187" xr:uid="{00000000-0005-0000-0000-0000AA1B0000}"/>
    <cellStyle name="Normal 5 6 2 5 2" xfId="4416" xr:uid="{00000000-0005-0000-0000-0000AB1B0000}"/>
    <cellStyle name="Normal 5 6 2 5 2 2" xfId="8639" xr:uid="{00000000-0005-0000-0000-0000AC1B0000}"/>
    <cellStyle name="Normal 5 6 2 5 2 2 2" xfId="17081" xr:uid="{609244BB-31FE-4463-BD6E-C1F82281DB2F}"/>
    <cellStyle name="Normal 5 6 2 5 2 3" xfId="12863" xr:uid="{2DD8F5F2-5842-4FD7-8C83-84687E1B3094}"/>
    <cellStyle name="Normal 5 6 2 5 3" xfId="6494" xr:uid="{00000000-0005-0000-0000-0000AD1B0000}"/>
    <cellStyle name="Normal 5 6 2 5 3 2" xfId="14936" xr:uid="{CAD0E8AD-952F-454E-95C4-44E6F3771B1E}"/>
    <cellStyle name="Normal 5 6 2 5 4" xfId="10718" xr:uid="{311A52A4-BD41-4500-86D3-182D5BAC3648}"/>
    <cellStyle name="Normal 5 6 2 6" xfId="2623" xr:uid="{00000000-0005-0000-0000-0000AE1B0000}"/>
    <cellStyle name="Normal 5 6 2 6 2" xfId="6907" xr:uid="{00000000-0005-0000-0000-0000AF1B0000}"/>
    <cellStyle name="Normal 5 6 2 6 2 2" xfId="15349" xr:uid="{96F537EC-215A-4775-9B65-88AE3ABF7852}"/>
    <cellStyle name="Normal 5 6 2 6 3" xfId="11131" xr:uid="{461CBD48-72A3-4AEB-8A74-C77CF7EEA03F}"/>
    <cellStyle name="Normal 5 6 2 7" xfId="4842" xr:uid="{00000000-0005-0000-0000-0000B01B0000}"/>
    <cellStyle name="Normal 5 6 2 7 2" xfId="13284" xr:uid="{7AEE4235-5D24-47E3-831A-75DD25F39A29}"/>
    <cellStyle name="Normal 5 6 2 8" xfId="9066" xr:uid="{73D47225-948D-43D1-A499-75901C764392}"/>
    <cellStyle name="Normal 5 6 3" xfId="942" xr:uid="{00000000-0005-0000-0000-0000B11B0000}"/>
    <cellStyle name="Normal 5 6 3 2" xfId="3176" xr:uid="{00000000-0005-0000-0000-0000B21B0000}"/>
    <cellStyle name="Normal 5 6 3 2 2" xfId="7399" xr:uid="{00000000-0005-0000-0000-0000B31B0000}"/>
    <cellStyle name="Normal 5 6 3 2 2 2" xfId="15841" xr:uid="{3CADEA51-F4AB-49F1-BCCF-056A95D76FF9}"/>
    <cellStyle name="Normal 5 6 3 2 3" xfId="11623" xr:uid="{9FA57E6F-E3AC-46CD-8B4A-204DC59ED8B6}"/>
    <cellStyle name="Normal 5 6 3 3" xfId="5254" xr:uid="{00000000-0005-0000-0000-0000B41B0000}"/>
    <cellStyle name="Normal 5 6 3 3 2" xfId="13696" xr:uid="{97102A96-7B20-4149-BF11-9642A14F37AC}"/>
    <cellStyle name="Normal 5 6 3 4" xfId="9478" xr:uid="{0EEE6E59-E53F-48B5-A1BB-E7402ED7D7B7}"/>
    <cellStyle name="Normal 5 6 4" xfId="1359" xr:uid="{00000000-0005-0000-0000-0000B51B0000}"/>
    <cellStyle name="Normal 5 6 4 2" xfId="3589" xr:uid="{00000000-0005-0000-0000-0000B61B0000}"/>
    <cellStyle name="Normal 5 6 4 2 2" xfId="7812" xr:uid="{00000000-0005-0000-0000-0000B71B0000}"/>
    <cellStyle name="Normal 5 6 4 2 2 2" xfId="16254" xr:uid="{FD2BCF56-5CEF-4522-BCA5-D7A42D55CB47}"/>
    <cellStyle name="Normal 5 6 4 2 3" xfId="12036" xr:uid="{09D24079-35ED-4098-8DE0-2BDBADC619FF}"/>
    <cellStyle name="Normal 5 6 4 3" xfId="5667" xr:uid="{00000000-0005-0000-0000-0000B81B0000}"/>
    <cellStyle name="Normal 5 6 4 3 2" xfId="14109" xr:uid="{8B3A1B53-9867-4D25-BCEC-AEBABA429348}"/>
    <cellStyle name="Normal 5 6 4 4" xfId="9891" xr:uid="{2874B5C7-47FB-496D-B431-2A75564C22D2}"/>
    <cellStyle name="Normal 5 6 5" xfId="1772" xr:uid="{00000000-0005-0000-0000-0000B91B0000}"/>
    <cellStyle name="Normal 5 6 5 2" xfId="4002" xr:uid="{00000000-0005-0000-0000-0000BA1B0000}"/>
    <cellStyle name="Normal 5 6 5 2 2" xfId="8225" xr:uid="{00000000-0005-0000-0000-0000BB1B0000}"/>
    <cellStyle name="Normal 5 6 5 2 2 2" xfId="16667" xr:uid="{09CF9AFD-7FE2-46AC-8442-C6C4BD25D447}"/>
    <cellStyle name="Normal 5 6 5 2 3" xfId="12449" xr:uid="{4FB1D737-3290-4E8D-9F06-CE96674B17FD}"/>
    <cellStyle name="Normal 5 6 5 3" xfId="6080" xr:uid="{00000000-0005-0000-0000-0000BC1B0000}"/>
    <cellStyle name="Normal 5 6 5 3 2" xfId="14522" xr:uid="{94C3F496-7D76-4AEB-991D-48D30D8F6D08}"/>
    <cellStyle name="Normal 5 6 5 4" xfId="10304" xr:uid="{23FC423C-BEED-48F8-9956-2EC8FA26AB2B}"/>
    <cellStyle name="Normal 5 6 6" xfId="2186" xr:uid="{00000000-0005-0000-0000-0000BD1B0000}"/>
    <cellStyle name="Normal 5 6 6 2" xfId="4415" xr:uid="{00000000-0005-0000-0000-0000BE1B0000}"/>
    <cellStyle name="Normal 5 6 6 2 2" xfId="8638" xr:uid="{00000000-0005-0000-0000-0000BF1B0000}"/>
    <cellStyle name="Normal 5 6 6 2 2 2" xfId="17080" xr:uid="{D74DC7AB-56C6-4820-A9D7-84C664998E1C}"/>
    <cellStyle name="Normal 5 6 6 2 3" xfId="12862" xr:uid="{530A7324-4845-4586-84D2-E7FD5A0E6859}"/>
    <cellStyle name="Normal 5 6 6 3" xfId="6493" xr:uid="{00000000-0005-0000-0000-0000C01B0000}"/>
    <cellStyle name="Normal 5 6 6 3 2" xfId="14935" xr:uid="{A4B2EE26-4079-49F3-93F3-57EF2AA5D90A}"/>
    <cellStyle name="Normal 5 6 6 4" xfId="10717" xr:uid="{1856AFEF-BF63-4904-8DF8-3942D9A4CE6D}"/>
    <cellStyle name="Normal 5 6 7" xfId="2622" xr:uid="{00000000-0005-0000-0000-0000C11B0000}"/>
    <cellStyle name="Normal 5 6 7 2" xfId="6906" xr:uid="{00000000-0005-0000-0000-0000C21B0000}"/>
    <cellStyle name="Normal 5 6 7 2 2" xfId="15348" xr:uid="{76D1F279-A9EA-4F0B-9EE4-0785225F0AC3}"/>
    <cellStyle name="Normal 5 6 7 3" xfId="11130" xr:uid="{EF19E6D2-5F6C-482A-B576-F0DCEE7F4D53}"/>
    <cellStyle name="Normal 5 6 8" xfId="4841" xr:uid="{00000000-0005-0000-0000-0000C31B0000}"/>
    <cellStyle name="Normal 5 6 8 2" xfId="13283" xr:uid="{ADE357BB-D422-4A41-9A07-E5A16CAE4B71}"/>
    <cellStyle name="Normal 5 6 9" xfId="9065" xr:uid="{52558E48-AFFB-4CDE-AB8A-B94082ED3B27}"/>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2 2 2" xfId="15843" xr:uid="{FB219CC1-388D-4091-BC37-A4A08728E912}"/>
    <cellStyle name="Normal 5 7 2 2 3" xfId="11625" xr:uid="{25F5831A-B563-4BB7-B1A0-1DA0D142B168}"/>
    <cellStyle name="Normal 5 7 2 3" xfId="5256" xr:uid="{00000000-0005-0000-0000-0000C81B0000}"/>
    <cellStyle name="Normal 5 7 2 3 2" xfId="13698" xr:uid="{37479AE3-7DC9-426C-937A-C9894FDF41E3}"/>
    <cellStyle name="Normal 5 7 2 4" xfId="9480" xr:uid="{AD5FAB2B-E9F9-4944-A268-CB7EDBD4B42F}"/>
    <cellStyle name="Normal 5 7 3" xfId="1361" xr:uid="{00000000-0005-0000-0000-0000C91B0000}"/>
    <cellStyle name="Normal 5 7 3 2" xfId="3591" xr:uid="{00000000-0005-0000-0000-0000CA1B0000}"/>
    <cellStyle name="Normal 5 7 3 2 2" xfId="7814" xr:uid="{00000000-0005-0000-0000-0000CB1B0000}"/>
    <cellStyle name="Normal 5 7 3 2 2 2" xfId="16256" xr:uid="{77E3B96E-1005-49F6-BC9E-51F46ED88AD3}"/>
    <cellStyle name="Normal 5 7 3 2 3" xfId="12038" xr:uid="{CDA97367-6965-450B-B47D-39824133F9E3}"/>
    <cellStyle name="Normal 5 7 3 3" xfId="5669" xr:uid="{00000000-0005-0000-0000-0000CC1B0000}"/>
    <cellStyle name="Normal 5 7 3 3 2" xfId="14111" xr:uid="{2F363C20-E305-431D-953A-D9C6C61113B5}"/>
    <cellStyle name="Normal 5 7 3 4" xfId="9893" xr:uid="{55BA1A01-EFDB-44DA-A37A-00C1FC43DFF4}"/>
    <cellStyle name="Normal 5 7 4" xfId="1774" xr:uid="{00000000-0005-0000-0000-0000CD1B0000}"/>
    <cellStyle name="Normal 5 7 4 2" xfId="4004" xr:uid="{00000000-0005-0000-0000-0000CE1B0000}"/>
    <cellStyle name="Normal 5 7 4 2 2" xfId="8227" xr:uid="{00000000-0005-0000-0000-0000CF1B0000}"/>
    <cellStyle name="Normal 5 7 4 2 2 2" xfId="16669" xr:uid="{7CB03135-A01F-446A-BBAD-763DB4D619CD}"/>
    <cellStyle name="Normal 5 7 4 2 3" xfId="12451" xr:uid="{A3B45C1A-C92E-4D7B-A9B1-94D8E8C462A1}"/>
    <cellStyle name="Normal 5 7 4 3" xfId="6082" xr:uid="{00000000-0005-0000-0000-0000D01B0000}"/>
    <cellStyle name="Normal 5 7 4 3 2" xfId="14524" xr:uid="{CCDDB566-8C5B-4842-B4B4-B05A8B231FDC}"/>
    <cellStyle name="Normal 5 7 4 4" xfId="10306" xr:uid="{E3BB196E-031D-4840-9551-5534BE5E8A38}"/>
    <cellStyle name="Normal 5 7 5" xfId="2188" xr:uid="{00000000-0005-0000-0000-0000D11B0000}"/>
    <cellStyle name="Normal 5 7 5 2" xfId="4417" xr:uid="{00000000-0005-0000-0000-0000D21B0000}"/>
    <cellStyle name="Normal 5 7 5 2 2" xfId="8640" xr:uid="{00000000-0005-0000-0000-0000D31B0000}"/>
    <cellStyle name="Normal 5 7 5 2 2 2" xfId="17082" xr:uid="{E997FDA2-0822-4B94-A69C-3EF030A24D5B}"/>
    <cellStyle name="Normal 5 7 5 2 3" xfId="12864" xr:uid="{3A721164-E5DA-475B-ACFC-FC1D9065CE2F}"/>
    <cellStyle name="Normal 5 7 5 3" xfId="6495" xr:uid="{00000000-0005-0000-0000-0000D41B0000}"/>
    <cellStyle name="Normal 5 7 5 3 2" xfId="14937" xr:uid="{C57D76E9-36D8-4A3D-81B6-26787C07505F}"/>
    <cellStyle name="Normal 5 7 5 4" xfId="10719" xr:uid="{2659B196-059E-4FF1-A076-C8E75736E0D9}"/>
    <cellStyle name="Normal 5 7 6" xfId="2624" xr:uid="{00000000-0005-0000-0000-0000D51B0000}"/>
    <cellStyle name="Normal 5 7 6 2" xfId="6908" xr:uid="{00000000-0005-0000-0000-0000D61B0000}"/>
    <cellStyle name="Normal 5 7 6 2 2" xfId="15350" xr:uid="{E7B199BC-A43C-4962-90BD-7983C03FFB45}"/>
    <cellStyle name="Normal 5 7 6 3" xfId="11132" xr:uid="{AAC3ED76-2637-4A37-8606-F5EFDE7F1C7A}"/>
    <cellStyle name="Normal 5 7 7" xfId="4843" xr:uid="{00000000-0005-0000-0000-0000D71B0000}"/>
    <cellStyle name="Normal 5 7 7 2" xfId="13285" xr:uid="{A38415CE-0285-4004-9F77-F83F35B0A071}"/>
    <cellStyle name="Normal 5 7 8" xfId="9067" xr:uid="{B1A448D2-AAB0-4307-9125-700547675B2E}"/>
    <cellStyle name="Normal 5 8" xfId="880" xr:uid="{00000000-0005-0000-0000-0000D81B0000}"/>
    <cellStyle name="Normal 5 8 2" xfId="3115" xr:uid="{00000000-0005-0000-0000-0000D91B0000}"/>
    <cellStyle name="Normal 5 8 2 2" xfId="7338" xr:uid="{00000000-0005-0000-0000-0000DA1B0000}"/>
    <cellStyle name="Normal 5 8 2 2 2" xfId="15780" xr:uid="{F61EFEF1-06A2-4444-BB30-59EEF00F0829}"/>
    <cellStyle name="Normal 5 8 2 3" xfId="11562" xr:uid="{3A8A63F5-B457-4621-AEC2-9C5BA20E470B}"/>
    <cellStyle name="Normal 5 8 3" xfId="5193" xr:uid="{00000000-0005-0000-0000-0000DB1B0000}"/>
    <cellStyle name="Normal 5 8 3 2" xfId="13635" xr:uid="{80E0BB21-71A7-488A-9A95-6B0CD4BE778A}"/>
    <cellStyle name="Normal 5 8 4" xfId="9417" xr:uid="{BFE458A4-A0EF-4876-B25C-DDE855539872}"/>
    <cellStyle name="Normal 5 9" xfId="1298" xr:uid="{00000000-0005-0000-0000-0000DC1B0000}"/>
    <cellStyle name="Normal 5 9 2" xfId="3528" xr:uid="{00000000-0005-0000-0000-0000DD1B0000}"/>
    <cellStyle name="Normal 5 9 2 2" xfId="7751" xr:uid="{00000000-0005-0000-0000-0000DE1B0000}"/>
    <cellStyle name="Normal 5 9 2 2 2" xfId="16193" xr:uid="{21722408-33AB-48D2-9C95-AE49B67C56E8}"/>
    <cellStyle name="Normal 5 9 2 3" xfId="11975" xr:uid="{190E9979-814C-4442-9303-883DC8F57714}"/>
    <cellStyle name="Normal 5 9 3" xfId="5606" xr:uid="{00000000-0005-0000-0000-0000DF1B0000}"/>
    <cellStyle name="Normal 5 9 3 2" xfId="14048" xr:uid="{379F9E24-54CA-446E-81ED-13D3A4E70681}"/>
    <cellStyle name="Normal 5 9 4" xfId="9830" xr:uid="{CF96A0F0-DD8B-4634-B9CC-094514A9F757}"/>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2 2 2" xfId="17083" xr:uid="{D9E77C04-CDD5-44C7-97B8-840DC9FAF13A}"/>
    <cellStyle name="Normal 8 10 2 3" xfId="12865" xr:uid="{0D434AD0-DFFB-4087-9EE8-638B29F7C37D}"/>
    <cellStyle name="Normal 8 10 3" xfId="6496" xr:uid="{00000000-0005-0000-0000-0000EB1B0000}"/>
    <cellStyle name="Normal 8 10 3 2" xfId="14938" xr:uid="{D4572BCF-76F8-4646-9A3E-DB9F237E903A}"/>
    <cellStyle name="Normal 8 10 4" xfId="10720" xr:uid="{07898301-9F2C-45AD-B0D2-6C658B9E9662}"/>
    <cellStyle name="Normal 8 11" xfId="2625" xr:uid="{00000000-0005-0000-0000-0000EC1B0000}"/>
    <cellStyle name="Normal 8 11 2" xfId="6909" xr:uid="{00000000-0005-0000-0000-0000ED1B0000}"/>
    <cellStyle name="Normal 8 11 2 2" xfId="15351" xr:uid="{F355FBCB-5420-4FAE-A07D-488B836D655B}"/>
    <cellStyle name="Normal 8 11 3" xfId="11133" xr:uid="{CC3F5866-FA2E-4E1A-B950-3C64F7A10B09}"/>
    <cellStyle name="Normal 8 12" xfId="4844" xr:uid="{00000000-0005-0000-0000-0000EE1B0000}"/>
    <cellStyle name="Normal 8 12 2" xfId="13286" xr:uid="{EBFBBB0E-4273-4645-AFF3-2457F7BCF16F}"/>
    <cellStyle name="Normal 8 13" xfId="9068" xr:uid="{5821A7BE-2E0A-43E7-8E77-1C0BD59BBAFE}"/>
    <cellStyle name="Normal 8 2" xfId="479" xr:uid="{00000000-0005-0000-0000-0000EF1B0000}"/>
    <cellStyle name="Normal 8 2 10" xfId="2626" xr:uid="{00000000-0005-0000-0000-0000F01B0000}"/>
    <cellStyle name="Normal 8 2 10 2" xfId="6910" xr:uid="{00000000-0005-0000-0000-0000F11B0000}"/>
    <cellStyle name="Normal 8 2 10 2 2" xfId="15352" xr:uid="{573991E9-307E-4A67-84A1-BFA652F491B2}"/>
    <cellStyle name="Normal 8 2 10 3" xfId="11134" xr:uid="{FE88BE04-2CF4-4E9D-814D-5FCF00B5EBE5}"/>
    <cellStyle name="Normal 8 2 11" xfId="4845" xr:uid="{00000000-0005-0000-0000-0000F21B0000}"/>
    <cellStyle name="Normal 8 2 11 2" xfId="13287" xr:uid="{0F18B165-ACD6-46F5-946E-4544264A9AD5}"/>
    <cellStyle name="Normal 8 2 12" xfId="9069" xr:uid="{D8634DA9-F463-4529-9C94-61AF1D9748D2}"/>
    <cellStyle name="Normal 8 2 2" xfId="480" xr:uid="{00000000-0005-0000-0000-0000F31B0000}"/>
    <cellStyle name="Normal 8 2 2 10" xfId="4846" xr:uid="{00000000-0005-0000-0000-0000F41B0000}"/>
    <cellStyle name="Normal 8 2 2 10 2" xfId="13288" xr:uid="{F22604EB-E4C2-42B4-9EDC-2BED52900AAA}"/>
    <cellStyle name="Normal 8 2 2 11" xfId="9070" xr:uid="{91935322-8C96-40CB-AB0A-CC3B01100809}"/>
    <cellStyle name="Normal 8 2 2 2" xfId="481" xr:uid="{00000000-0005-0000-0000-0000F51B0000}"/>
    <cellStyle name="Normal 8 2 2 2 10" xfId="9071" xr:uid="{5DCE41FB-6A85-451D-9597-65F631FFACE6}"/>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2 2 2" xfId="15849" xr:uid="{FC3C40BF-38AE-4E69-A6CA-4FF937FD8814}"/>
    <cellStyle name="Normal 8 2 2 2 2 2 2 2 3" xfId="11631" xr:uid="{17F4547F-9409-4830-BD07-4F31E4DA27BC}"/>
    <cellStyle name="Normal 8 2 2 2 2 2 2 3" xfId="5262" xr:uid="{00000000-0005-0000-0000-0000FB1B0000}"/>
    <cellStyle name="Normal 8 2 2 2 2 2 2 3 2" xfId="13704" xr:uid="{2F8766F4-2365-4AF0-93E6-3622575C4486}"/>
    <cellStyle name="Normal 8 2 2 2 2 2 2 4" xfId="9486" xr:uid="{B9807A21-817D-4F45-BF17-D80BCA20ED1F}"/>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2 2 2" xfId="16262" xr:uid="{A46BF01F-8801-4601-B90A-D7E3D0D18ADE}"/>
    <cellStyle name="Normal 8 2 2 2 2 2 3 2 3" xfId="12044" xr:uid="{0E3A8185-00E0-4270-B018-FC5AAE2BCE65}"/>
    <cellStyle name="Normal 8 2 2 2 2 2 3 3" xfId="5675" xr:uid="{00000000-0005-0000-0000-0000FF1B0000}"/>
    <cellStyle name="Normal 8 2 2 2 2 2 3 3 2" xfId="14117" xr:uid="{F77F8779-B43F-446A-A43B-08E11B3F3325}"/>
    <cellStyle name="Normal 8 2 2 2 2 2 3 4" xfId="9899" xr:uid="{6ADE104D-C43B-4677-A0EB-F5A20EAE1686}"/>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2 2 2" xfId="16675" xr:uid="{6CEC1064-09F4-4334-A597-F853009222C3}"/>
    <cellStyle name="Normal 8 2 2 2 2 2 4 2 3" xfId="12457" xr:uid="{11DDF239-4190-4BB2-88D0-9A225E4F2C2E}"/>
    <cellStyle name="Normal 8 2 2 2 2 2 4 3" xfId="6088" xr:uid="{00000000-0005-0000-0000-0000031C0000}"/>
    <cellStyle name="Normal 8 2 2 2 2 2 4 3 2" xfId="14530" xr:uid="{35B2EC01-0125-4954-B34B-AB49F6F30FEA}"/>
    <cellStyle name="Normal 8 2 2 2 2 2 4 4" xfId="10312" xr:uid="{DBB945B6-8956-4F44-AFF0-EDE8AEF9DA99}"/>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2 2 2" xfId="17088" xr:uid="{8462BEE0-49FE-49B4-94B6-49AAFA60BA5C}"/>
    <cellStyle name="Normal 8 2 2 2 2 2 5 2 3" xfId="12870" xr:uid="{42585C77-2BDD-4E12-9660-098CD50802F2}"/>
    <cellStyle name="Normal 8 2 2 2 2 2 5 3" xfId="6501" xr:uid="{00000000-0005-0000-0000-0000071C0000}"/>
    <cellStyle name="Normal 8 2 2 2 2 2 5 3 2" xfId="14943" xr:uid="{87160C7D-9880-475C-A119-1A7844B4D6AF}"/>
    <cellStyle name="Normal 8 2 2 2 2 2 5 4" xfId="10725" xr:uid="{8B23F676-580D-4D74-9EC8-D04E41A13749}"/>
    <cellStyle name="Normal 8 2 2 2 2 2 6" xfId="2630" xr:uid="{00000000-0005-0000-0000-0000081C0000}"/>
    <cellStyle name="Normal 8 2 2 2 2 2 6 2" xfId="6914" xr:uid="{00000000-0005-0000-0000-0000091C0000}"/>
    <cellStyle name="Normal 8 2 2 2 2 2 6 2 2" xfId="15356" xr:uid="{5DB3444C-0748-4A23-B639-44F47F192CD1}"/>
    <cellStyle name="Normal 8 2 2 2 2 2 6 3" xfId="11138" xr:uid="{B90DBF63-6974-4ADA-9F44-C1F1B162810E}"/>
    <cellStyle name="Normal 8 2 2 2 2 2 7" xfId="4849" xr:uid="{00000000-0005-0000-0000-00000A1C0000}"/>
    <cellStyle name="Normal 8 2 2 2 2 2 7 2" xfId="13291" xr:uid="{8E9372C6-955F-4B4C-94FC-DBE57C2982C6}"/>
    <cellStyle name="Normal 8 2 2 2 2 2 8" xfId="9073" xr:uid="{A5183052-60B8-4781-9E53-71ADD8DE3023}"/>
    <cellStyle name="Normal 8 2 2 2 2 3" xfId="949" xr:uid="{00000000-0005-0000-0000-00000B1C0000}"/>
    <cellStyle name="Normal 8 2 2 2 2 3 2" xfId="3183" xr:uid="{00000000-0005-0000-0000-00000C1C0000}"/>
    <cellStyle name="Normal 8 2 2 2 2 3 2 2" xfId="7406" xr:uid="{00000000-0005-0000-0000-00000D1C0000}"/>
    <cellStyle name="Normal 8 2 2 2 2 3 2 2 2" xfId="15848" xr:uid="{716B1205-6561-4EB2-BC73-AA64591D2770}"/>
    <cellStyle name="Normal 8 2 2 2 2 3 2 3" xfId="11630" xr:uid="{DC57DDB2-652F-4CB9-BB5F-F5D6ABC6BD4C}"/>
    <cellStyle name="Normal 8 2 2 2 2 3 3" xfId="5261" xr:uid="{00000000-0005-0000-0000-00000E1C0000}"/>
    <cellStyle name="Normal 8 2 2 2 2 3 3 2" xfId="13703" xr:uid="{4B8463DE-1F2D-4CBE-A73F-2ABD05B9D7D2}"/>
    <cellStyle name="Normal 8 2 2 2 2 3 4" xfId="9485" xr:uid="{55D3AC0D-9472-40B6-820F-CA60A78B6BBB}"/>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2 2 2" xfId="16261" xr:uid="{71DDAA29-D41C-4E90-BD57-9599E9C437A5}"/>
    <cellStyle name="Normal 8 2 2 2 2 4 2 3" xfId="12043" xr:uid="{FD0B277F-D0B7-477E-8B0E-291127B37F5B}"/>
    <cellStyle name="Normal 8 2 2 2 2 4 3" xfId="5674" xr:uid="{00000000-0005-0000-0000-0000121C0000}"/>
    <cellStyle name="Normal 8 2 2 2 2 4 3 2" xfId="14116" xr:uid="{D16C22D2-70DB-4DA7-9E68-71E964780618}"/>
    <cellStyle name="Normal 8 2 2 2 2 4 4" xfId="9898" xr:uid="{87D4D141-48F8-4254-B619-76F59039552E}"/>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2 2 2" xfId="16674" xr:uid="{91FDB638-A646-4E2F-BF67-227CA8339DCB}"/>
    <cellStyle name="Normal 8 2 2 2 2 5 2 3" xfId="12456" xr:uid="{23E2B1C9-939A-4E6C-B872-72C023B03E79}"/>
    <cellStyle name="Normal 8 2 2 2 2 5 3" xfId="6087" xr:uid="{00000000-0005-0000-0000-0000161C0000}"/>
    <cellStyle name="Normal 8 2 2 2 2 5 3 2" xfId="14529" xr:uid="{D6EC76F1-136C-4524-BF28-34291372A057}"/>
    <cellStyle name="Normal 8 2 2 2 2 5 4" xfId="10311" xr:uid="{7BEE3115-7689-4344-A434-1DAD4759E535}"/>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2 2 2" xfId="17087" xr:uid="{D97F8C93-B5CC-4D9A-A382-F1BA08F96BF1}"/>
    <cellStyle name="Normal 8 2 2 2 2 6 2 3" xfId="12869" xr:uid="{15ECE0D1-7CD8-4942-91DF-41B879EF0A4B}"/>
    <cellStyle name="Normal 8 2 2 2 2 6 3" xfId="6500" xr:uid="{00000000-0005-0000-0000-00001A1C0000}"/>
    <cellStyle name="Normal 8 2 2 2 2 6 3 2" xfId="14942" xr:uid="{1CC868D6-6E60-4A2F-ADC1-0834BD325A1D}"/>
    <cellStyle name="Normal 8 2 2 2 2 6 4" xfId="10724" xr:uid="{095584BC-9050-4552-8650-AF0789BDDE4E}"/>
    <cellStyle name="Normal 8 2 2 2 2 7" xfId="2629" xr:uid="{00000000-0005-0000-0000-00001B1C0000}"/>
    <cellStyle name="Normal 8 2 2 2 2 7 2" xfId="6913" xr:uid="{00000000-0005-0000-0000-00001C1C0000}"/>
    <cellStyle name="Normal 8 2 2 2 2 7 2 2" xfId="15355" xr:uid="{E9AA11DB-567F-4319-AD73-0033669BF0CF}"/>
    <cellStyle name="Normal 8 2 2 2 2 7 3" xfId="11137" xr:uid="{534E3983-91BF-4088-A941-B0410231C2A3}"/>
    <cellStyle name="Normal 8 2 2 2 2 8" xfId="4848" xr:uid="{00000000-0005-0000-0000-00001D1C0000}"/>
    <cellStyle name="Normal 8 2 2 2 2 8 2" xfId="13290" xr:uid="{FAD55ED6-2A68-44C8-95E0-63627702EF6D}"/>
    <cellStyle name="Normal 8 2 2 2 2 9" xfId="9072" xr:uid="{99E845A7-74CC-4017-AEDC-138D81812E92}"/>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2 2 2" xfId="15850" xr:uid="{23F346DC-61F4-498A-8E67-9390F1989EDC}"/>
    <cellStyle name="Normal 8 2 2 2 3 2 2 3" xfId="11632" xr:uid="{D167B28E-10B0-44C0-B80A-CF7248A3E45A}"/>
    <cellStyle name="Normal 8 2 2 2 3 2 3" xfId="5263" xr:uid="{00000000-0005-0000-0000-0000221C0000}"/>
    <cellStyle name="Normal 8 2 2 2 3 2 3 2" xfId="13705" xr:uid="{27E09E5A-1BF6-4223-B318-4F63EA0EDB54}"/>
    <cellStyle name="Normal 8 2 2 2 3 2 4" xfId="9487" xr:uid="{0D7A6781-8A40-4579-AB6B-5BD439677352}"/>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2 2 2" xfId="16263" xr:uid="{75AC8586-5387-455D-B946-27923A08E722}"/>
    <cellStyle name="Normal 8 2 2 2 3 3 2 3" xfId="12045" xr:uid="{77C26BD6-5C1B-4FF2-A455-BCFC083DAC03}"/>
    <cellStyle name="Normal 8 2 2 2 3 3 3" xfId="5676" xr:uid="{00000000-0005-0000-0000-0000261C0000}"/>
    <cellStyle name="Normal 8 2 2 2 3 3 3 2" xfId="14118" xr:uid="{8805F889-2695-4348-9AF5-11412C4B41A5}"/>
    <cellStyle name="Normal 8 2 2 2 3 3 4" xfId="9900" xr:uid="{F180C9CA-5744-4010-BD61-A8D09124CD1B}"/>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2 2 2" xfId="16676" xr:uid="{E68FC450-8878-4E0B-8B0E-52F47A5F034F}"/>
    <cellStyle name="Normal 8 2 2 2 3 4 2 3" xfId="12458" xr:uid="{81EC6002-F121-4DD9-AF8B-D7CEB49BF915}"/>
    <cellStyle name="Normal 8 2 2 2 3 4 3" xfId="6089" xr:uid="{00000000-0005-0000-0000-00002A1C0000}"/>
    <cellStyle name="Normal 8 2 2 2 3 4 3 2" xfId="14531" xr:uid="{C0868391-79FA-4663-9E8B-BBD97B6577A6}"/>
    <cellStyle name="Normal 8 2 2 2 3 4 4" xfId="10313" xr:uid="{724D41F6-090E-4F5C-A891-DB4DEDF8E186}"/>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2 2 2" xfId="17089" xr:uid="{1EDBC503-910D-4721-BA02-31917D1BFC64}"/>
    <cellStyle name="Normal 8 2 2 2 3 5 2 3" xfId="12871" xr:uid="{A2B3E530-3370-458F-B967-214C7D93A58D}"/>
    <cellStyle name="Normal 8 2 2 2 3 5 3" xfId="6502" xr:uid="{00000000-0005-0000-0000-00002E1C0000}"/>
    <cellStyle name="Normal 8 2 2 2 3 5 3 2" xfId="14944" xr:uid="{E3AED922-596D-447C-9D45-09153A1978FD}"/>
    <cellStyle name="Normal 8 2 2 2 3 5 4" xfId="10726" xr:uid="{59CE4361-98A8-424B-823E-0E5FE87CE059}"/>
    <cellStyle name="Normal 8 2 2 2 3 6" xfId="2631" xr:uid="{00000000-0005-0000-0000-00002F1C0000}"/>
    <cellStyle name="Normal 8 2 2 2 3 6 2" xfId="6915" xr:uid="{00000000-0005-0000-0000-0000301C0000}"/>
    <cellStyle name="Normal 8 2 2 2 3 6 2 2" xfId="15357" xr:uid="{02A53CC8-0BDD-4EFC-834D-2FC15CDF70B0}"/>
    <cellStyle name="Normal 8 2 2 2 3 6 3" xfId="11139" xr:uid="{847E0E8D-9FEF-4DCA-BEEC-1A3680ABB1C1}"/>
    <cellStyle name="Normal 8 2 2 2 3 7" xfId="4850" xr:uid="{00000000-0005-0000-0000-0000311C0000}"/>
    <cellStyle name="Normal 8 2 2 2 3 7 2" xfId="13292" xr:uid="{EE2835DB-27BC-47FA-A9E0-1FDB642E3026}"/>
    <cellStyle name="Normal 8 2 2 2 3 8" xfId="9074" xr:uid="{D75284C3-F94D-42D3-8BB3-87BC3F0E74CE}"/>
    <cellStyle name="Normal 8 2 2 2 4" xfId="948" xr:uid="{00000000-0005-0000-0000-0000321C0000}"/>
    <cellStyle name="Normal 8 2 2 2 4 2" xfId="3182" xr:uid="{00000000-0005-0000-0000-0000331C0000}"/>
    <cellStyle name="Normal 8 2 2 2 4 2 2" xfId="7405" xr:uid="{00000000-0005-0000-0000-0000341C0000}"/>
    <cellStyle name="Normal 8 2 2 2 4 2 2 2" xfId="15847" xr:uid="{6E5D99D8-6F92-4481-ABEA-B1084252612B}"/>
    <cellStyle name="Normal 8 2 2 2 4 2 3" xfId="11629" xr:uid="{072AA6CD-7C52-4A47-AECE-219D08DA4453}"/>
    <cellStyle name="Normal 8 2 2 2 4 3" xfId="5260" xr:uid="{00000000-0005-0000-0000-0000351C0000}"/>
    <cellStyle name="Normal 8 2 2 2 4 3 2" xfId="13702" xr:uid="{56675E04-9D28-4323-92E7-A20D33286DBF}"/>
    <cellStyle name="Normal 8 2 2 2 4 4" xfId="9484" xr:uid="{AB3334A5-E03D-48DE-997D-177E1B10192A}"/>
    <cellStyle name="Normal 8 2 2 2 5" xfId="1365" xr:uid="{00000000-0005-0000-0000-0000361C0000}"/>
    <cellStyle name="Normal 8 2 2 2 5 2" xfId="3595" xr:uid="{00000000-0005-0000-0000-0000371C0000}"/>
    <cellStyle name="Normal 8 2 2 2 5 2 2" xfId="7818" xr:uid="{00000000-0005-0000-0000-0000381C0000}"/>
    <cellStyle name="Normal 8 2 2 2 5 2 2 2" xfId="16260" xr:uid="{000BA5C9-DFCD-424A-9023-A8D230E68D94}"/>
    <cellStyle name="Normal 8 2 2 2 5 2 3" xfId="12042" xr:uid="{068472A4-7D96-45A3-8FB5-CDB3D545D100}"/>
    <cellStyle name="Normal 8 2 2 2 5 3" xfId="5673" xr:uid="{00000000-0005-0000-0000-0000391C0000}"/>
    <cellStyle name="Normal 8 2 2 2 5 3 2" xfId="14115" xr:uid="{00CA3EAD-432D-4DB5-AA0E-E1EFD9EB553F}"/>
    <cellStyle name="Normal 8 2 2 2 5 4" xfId="9897" xr:uid="{514CB5CC-974E-41D1-8DAB-48A5E77754F3}"/>
    <cellStyle name="Normal 8 2 2 2 6" xfId="1778" xr:uid="{00000000-0005-0000-0000-00003A1C0000}"/>
    <cellStyle name="Normal 8 2 2 2 6 2" xfId="4008" xr:uid="{00000000-0005-0000-0000-00003B1C0000}"/>
    <cellStyle name="Normal 8 2 2 2 6 2 2" xfId="8231" xr:uid="{00000000-0005-0000-0000-00003C1C0000}"/>
    <cellStyle name="Normal 8 2 2 2 6 2 2 2" xfId="16673" xr:uid="{4ADAFAE3-9C44-4D8D-A08B-AF61C46EEE90}"/>
    <cellStyle name="Normal 8 2 2 2 6 2 3" xfId="12455" xr:uid="{D836E524-8C8B-473F-B2BA-DC0DE067A094}"/>
    <cellStyle name="Normal 8 2 2 2 6 3" xfId="6086" xr:uid="{00000000-0005-0000-0000-00003D1C0000}"/>
    <cellStyle name="Normal 8 2 2 2 6 3 2" xfId="14528" xr:uid="{6682A772-CDBF-4D0B-ADDB-04B5FF2BC24E}"/>
    <cellStyle name="Normal 8 2 2 2 6 4" xfId="10310" xr:uid="{FE134398-5AC6-4663-8FA6-C1AE58892879}"/>
    <cellStyle name="Normal 8 2 2 2 7" xfId="2192" xr:uid="{00000000-0005-0000-0000-00003E1C0000}"/>
    <cellStyle name="Normal 8 2 2 2 7 2" xfId="4421" xr:uid="{00000000-0005-0000-0000-00003F1C0000}"/>
    <cellStyle name="Normal 8 2 2 2 7 2 2" xfId="8644" xr:uid="{00000000-0005-0000-0000-0000401C0000}"/>
    <cellStyle name="Normal 8 2 2 2 7 2 2 2" xfId="17086" xr:uid="{A049841B-9F9A-45AD-A48C-FFA302579A24}"/>
    <cellStyle name="Normal 8 2 2 2 7 2 3" xfId="12868" xr:uid="{E0D041CD-15D6-4684-9BFB-F5BB7F88C58B}"/>
    <cellStyle name="Normal 8 2 2 2 7 3" xfId="6499" xr:uid="{00000000-0005-0000-0000-0000411C0000}"/>
    <cellStyle name="Normal 8 2 2 2 7 3 2" xfId="14941" xr:uid="{2F4974AE-DE0D-495C-82FE-86D78C01C1C9}"/>
    <cellStyle name="Normal 8 2 2 2 7 4" xfId="10723" xr:uid="{538642C4-687A-4E7C-BB5A-1E1608A69502}"/>
    <cellStyle name="Normal 8 2 2 2 8" xfId="2628" xr:uid="{00000000-0005-0000-0000-0000421C0000}"/>
    <cellStyle name="Normal 8 2 2 2 8 2" xfId="6912" xr:uid="{00000000-0005-0000-0000-0000431C0000}"/>
    <cellStyle name="Normal 8 2 2 2 8 2 2" xfId="15354" xr:uid="{FC5DB5A8-E7AE-4E9C-8337-6CF5AFFFB1FD}"/>
    <cellStyle name="Normal 8 2 2 2 8 3" xfId="11136" xr:uid="{CE495E4D-8A23-46E3-832E-33301BA4C47F}"/>
    <cellStyle name="Normal 8 2 2 2 9" xfId="4847" xr:uid="{00000000-0005-0000-0000-0000441C0000}"/>
    <cellStyle name="Normal 8 2 2 2 9 2" xfId="13289" xr:uid="{5FA9CC75-9255-46D5-9B39-6B6712006B6C}"/>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2 2 2" xfId="15852" xr:uid="{CD5B1B21-4E34-4B8A-96A8-8545C13859F9}"/>
    <cellStyle name="Normal 8 2 2 3 2 2 2 3" xfId="11634" xr:uid="{DD9529D9-72DF-4752-8B8E-C015DE5DCA0F}"/>
    <cellStyle name="Normal 8 2 2 3 2 2 3" xfId="5265" xr:uid="{00000000-0005-0000-0000-00004A1C0000}"/>
    <cellStyle name="Normal 8 2 2 3 2 2 3 2" xfId="13707" xr:uid="{715584AF-15FF-414F-BD01-EEDA6C565D91}"/>
    <cellStyle name="Normal 8 2 2 3 2 2 4" xfId="9489" xr:uid="{C582F9FD-F891-41C0-9DBB-1FFA2E437F0E}"/>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2 2 2" xfId="16265" xr:uid="{63D2C50B-049E-42A4-B087-CE8CA0E6C90B}"/>
    <cellStyle name="Normal 8 2 2 3 2 3 2 3" xfId="12047" xr:uid="{B7DEC23A-53A7-42C2-8CFF-AB1D937C0166}"/>
    <cellStyle name="Normal 8 2 2 3 2 3 3" xfId="5678" xr:uid="{00000000-0005-0000-0000-00004E1C0000}"/>
    <cellStyle name="Normal 8 2 2 3 2 3 3 2" xfId="14120" xr:uid="{DA5AFFE8-01FD-40E7-AA50-90FFA8B4FE25}"/>
    <cellStyle name="Normal 8 2 2 3 2 3 4" xfId="9902" xr:uid="{5D4F29C8-33B5-43F5-B704-BD768FDDC90A}"/>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2 2 2" xfId="16678" xr:uid="{E5E77D57-6CB0-4BCC-85D6-020CE47CD40E}"/>
    <cellStyle name="Normal 8 2 2 3 2 4 2 3" xfId="12460" xr:uid="{166310C8-4F57-4360-A1F1-3A8680ECDC84}"/>
    <cellStyle name="Normal 8 2 2 3 2 4 3" xfId="6091" xr:uid="{00000000-0005-0000-0000-0000521C0000}"/>
    <cellStyle name="Normal 8 2 2 3 2 4 3 2" xfId="14533" xr:uid="{8CCF7F09-2488-4AA7-90C9-F003772F9EA7}"/>
    <cellStyle name="Normal 8 2 2 3 2 4 4" xfId="10315" xr:uid="{9478E9EE-BED5-4A4A-AE58-D45A10AED495}"/>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2 2 2" xfId="17091" xr:uid="{C9EAEC89-35B8-40B6-9892-C64BB39687B1}"/>
    <cellStyle name="Normal 8 2 2 3 2 5 2 3" xfId="12873" xr:uid="{1986FE2A-2032-44D0-AEB7-6F939084784F}"/>
    <cellStyle name="Normal 8 2 2 3 2 5 3" xfId="6504" xr:uid="{00000000-0005-0000-0000-0000561C0000}"/>
    <cellStyle name="Normal 8 2 2 3 2 5 3 2" xfId="14946" xr:uid="{C0895BD4-A8FE-4466-8F1E-96D26E917853}"/>
    <cellStyle name="Normal 8 2 2 3 2 5 4" xfId="10728" xr:uid="{4BF9F4D1-7DE3-45D6-B0B1-4EFA3E6D9766}"/>
    <cellStyle name="Normal 8 2 2 3 2 6" xfId="2633" xr:uid="{00000000-0005-0000-0000-0000571C0000}"/>
    <cellStyle name="Normal 8 2 2 3 2 6 2" xfId="6917" xr:uid="{00000000-0005-0000-0000-0000581C0000}"/>
    <cellStyle name="Normal 8 2 2 3 2 6 2 2" xfId="15359" xr:uid="{DEB5110B-AF17-4D70-80F6-BEB139379C74}"/>
    <cellStyle name="Normal 8 2 2 3 2 6 3" xfId="11141" xr:uid="{73648822-6B7E-460D-B47A-263D6401C0C3}"/>
    <cellStyle name="Normal 8 2 2 3 2 7" xfId="4852" xr:uid="{00000000-0005-0000-0000-0000591C0000}"/>
    <cellStyle name="Normal 8 2 2 3 2 7 2" xfId="13294" xr:uid="{048461A1-D3AF-44D0-918B-5148700E1033}"/>
    <cellStyle name="Normal 8 2 2 3 2 8" xfId="9076" xr:uid="{7AE91B31-0ABF-4553-834E-51FD6BC355B1}"/>
    <cellStyle name="Normal 8 2 2 3 3" xfId="952" xr:uid="{00000000-0005-0000-0000-00005A1C0000}"/>
    <cellStyle name="Normal 8 2 2 3 3 2" xfId="3186" xr:uid="{00000000-0005-0000-0000-00005B1C0000}"/>
    <cellStyle name="Normal 8 2 2 3 3 2 2" xfId="7409" xr:uid="{00000000-0005-0000-0000-00005C1C0000}"/>
    <cellStyle name="Normal 8 2 2 3 3 2 2 2" xfId="15851" xr:uid="{0E36CF7C-6C1C-4639-86E3-031B45DFEF71}"/>
    <cellStyle name="Normal 8 2 2 3 3 2 3" xfId="11633" xr:uid="{3CD48A37-4082-414A-91F3-0CA508F8493D}"/>
    <cellStyle name="Normal 8 2 2 3 3 3" xfId="5264" xr:uid="{00000000-0005-0000-0000-00005D1C0000}"/>
    <cellStyle name="Normal 8 2 2 3 3 3 2" xfId="13706" xr:uid="{F02F7287-9391-484A-8E1B-6883578F75FC}"/>
    <cellStyle name="Normal 8 2 2 3 3 4" xfId="9488" xr:uid="{6147E546-8431-4FC4-BC7C-E59FA94F553D}"/>
    <cellStyle name="Normal 8 2 2 3 4" xfId="1369" xr:uid="{00000000-0005-0000-0000-00005E1C0000}"/>
    <cellStyle name="Normal 8 2 2 3 4 2" xfId="3599" xr:uid="{00000000-0005-0000-0000-00005F1C0000}"/>
    <cellStyle name="Normal 8 2 2 3 4 2 2" xfId="7822" xr:uid="{00000000-0005-0000-0000-0000601C0000}"/>
    <cellStyle name="Normal 8 2 2 3 4 2 2 2" xfId="16264" xr:uid="{5B57CDD0-48BC-4FF4-89E6-705CDA280601}"/>
    <cellStyle name="Normal 8 2 2 3 4 2 3" xfId="12046" xr:uid="{41419CE4-88A8-4FB6-B4F0-476DB13C1714}"/>
    <cellStyle name="Normal 8 2 2 3 4 3" xfId="5677" xr:uid="{00000000-0005-0000-0000-0000611C0000}"/>
    <cellStyle name="Normal 8 2 2 3 4 3 2" xfId="14119" xr:uid="{E442E07B-AA82-4F3C-B66F-8A0F4570976C}"/>
    <cellStyle name="Normal 8 2 2 3 4 4" xfId="9901" xr:uid="{33522789-857F-441E-B2C3-E3832A2A42E1}"/>
    <cellStyle name="Normal 8 2 2 3 5" xfId="1782" xr:uid="{00000000-0005-0000-0000-0000621C0000}"/>
    <cellStyle name="Normal 8 2 2 3 5 2" xfId="4012" xr:uid="{00000000-0005-0000-0000-0000631C0000}"/>
    <cellStyle name="Normal 8 2 2 3 5 2 2" xfId="8235" xr:uid="{00000000-0005-0000-0000-0000641C0000}"/>
    <cellStyle name="Normal 8 2 2 3 5 2 2 2" xfId="16677" xr:uid="{A7FEE254-FF58-45D4-B38F-E69E266BB595}"/>
    <cellStyle name="Normal 8 2 2 3 5 2 3" xfId="12459" xr:uid="{E3739FA4-85EE-405B-B82B-7574D9E4FA49}"/>
    <cellStyle name="Normal 8 2 2 3 5 3" xfId="6090" xr:uid="{00000000-0005-0000-0000-0000651C0000}"/>
    <cellStyle name="Normal 8 2 2 3 5 3 2" xfId="14532" xr:uid="{B42DE356-B986-45C2-90EC-670D43E70A40}"/>
    <cellStyle name="Normal 8 2 2 3 5 4" xfId="10314" xr:uid="{E78B3C34-D74F-49D3-BDE5-D5CD2D6C937F}"/>
    <cellStyle name="Normal 8 2 2 3 6" xfId="2196" xr:uid="{00000000-0005-0000-0000-0000661C0000}"/>
    <cellStyle name="Normal 8 2 2 3 6 2" xfId="4425" xr:uid="{00000000-0005-0000-0000-0000671C0000}"/>
    <cellStyle name="Normal 8 2 2 3 6 2 2" xfId="8648" xr:uid="{00000000-0005-0000-0000-0000681C0000}"/>
    <cellStyle name="Normal 8 2 2 3 6 2 2 2" xfId="17090" xr:uid="{A3C5EE02-A0B0-4517-854A-55B6C1B8D43F}"/>
    <cellStyle name="Normal 8 2 2 3 6 2 3" xfId="12872" xr:uid="{2F0C6060-FF22-4ACB-A92D-D10104CDFC13}"/>
    <cellStyle name="Normal 8 2 2 3 6 3" xfId="6503" xr:uid="{00000000-0005-0000-0000-0000691C0000}"/>
    <cellStyle name="Normal 8 2 2 3 6 3 2" xfId="14945" xr:uid="{FD62C42E-6232-4EFE-96F9-8EFFDBE7AD60}"/>
    <cellStyle name="Normal 8 2 2 3 6 4" xfId="10727" xr:uid="{3BD51471-3ADE-4493-BB9B-E78E085C07A7}"/>
    <cellStyle name="Normal 8 2 2 3 7" xfId="2632" xr:uid="{00000000-0005-0000-0000-00006A1C0000}"/>
    <cellStyle name="Normal 8 2 2 3 7 2" xfId="6916" xr:uid="{00000000-0005-0000-0000-00006B1C0000}"/>
    <cellStyle name="Normal 8 2 2 3 7 2 2" xfId="15358" xr:uid="{23BE43F4-445C-434C-8622-DF04D85C8023}"/>
    <cellStyle name="Normal 8 2 2 3 7 3" xfId="11140" xr:uid="{18AE41B6-9F82-4E6D-BA07-A7FEB6841ABF}"/>
    <cellStyle name="Normal 8 2 2 3 8" xfId="4851" xr:uid="{00000000-0005-0000-0000-00006C1C0000}"/>
    <cellStyle name="Normal 8 2 2 3 8 2" xfId="13293" xr:uid="{612D2786-1407-488A-BB1F-902B41D47FF7}"/>
    <cellStyle name="Normal 8 2 2 3 9" xfId="9075" xr:uid="{3D65912A-D5AA-4499-9C44-B762573F438F}"/>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2 2 2" xfId="15853" xr:uid="{50673513-253E-4132-AB45-816D29E2EAB4}"/>
    <cellStyle name="Normal 8 2 2 4 2 2 3" xfId="11635" xr:uid="{908B94A1-F9E9-4E3C-8760-EDEEE2089510}"/>
    <cellStyle name="Normal 8 2 2 4 2 3" xfId="5266" xr:uid="{00000000-0005-0000-0000-0000711C0000}"/>
    <cellStyle name="Normal 8 2 2 4 2 3 2" xfId="13708" xr:uid="{0538012F-2067-4BEA-B1DF-1586E9A0D8E8}"/>
    <cellStyle name="Normal 8 2 2 4 2 4" xfId="9490" xr:uid="{93EB5F66-2F85-4780-A748-B4C9DC267DA6}"/>
    <cellStyle name="Normal 8 2 2 4 3" xfId="1371" xr:uid="{00000000-0005-0000-0000-0000721C0000}"/>
    <cellStyle name="Normal 8 2 2 4 3 2" xfId="3601" xr:uid="{00000000-0005-0000-0000-0000731C0000}"/>
    <cellStyle name="Normal 8 2 2 4 3 2 2" xfId="7824" xr:uid="{00000000-0005-0000-0000-0000741C0000}"/>
    <cellStyle name="Normal 8 2 2 4 3 2 2 2" xfId="16266" xr:uid="{CED03547-66DF-4357-8DF7-4ECE83D6CF7C}"/>
    <cellStyle name="Normal 8 2 2 4 3 2 3" xfId="12048" xr:uid="{7E6389EA-63BB-4C5E-9DA1-3CEF4BE5D1CF}"/>
    <cellStyle name="Normal 8 2 2 4 3 3" xfId="5679" xr:uid="{00000000-0005-0000-0000-0000751C0000}"/>
    <cellStyle name="Normal 8 2 2 4 3 3 2" xfId="14121" xr:uid="{E6AAD0A8-1B40-4572-86B8-7CF23FEA8A16}"/>
    <cellStyle name="Normal 8 2 2 4 3 4" xfId="9903" xr:uid="{4649EEF6-9B1D-4646-800A-BDC378974939}"/>
    <cellStyle name="Normal 8 2 2 4 4" xfId="1784" xr:uid="{00000000-0005-0000-0000-0000761C0000}"/>
    <cellStyle name="Normal 8 2 2 4 4 2" xfId="4014" xr:uid="{00000000-0005-0000-0000-0000771C0000}"/>
    <cellStyle name="Normal 8 2 2 4 4 2 2" xfId="8237" xr:uid="{00000000-0005-0000-0000-0000781C0000}"/>
    <cellStyle name="Normal 8 2 2 4 4 2 2 2" xfId="16679" xr:uid="{87225F7D-018B-4296-85E2-4E662958DB77}"/>
    <cellStyle name="Normal 8 2 2 4 4 2 3" xfId="12461" xr:uid="{68383834-C8EC-4663-8B71-22E210ABC173}"/>
    <cellStyle name="Normal 8 2 2 4 4 3" xfId="6092" xr:uid="{00000000-0005-0000-0000-0000791C0000}"/>
    <cellStyle name="Normal 8 2 2 4 4 3 2" xfId="14534" xr:uid="{1F2BB2F4-5630-4249-8494-BA7CEAA123A8}"/>
    <cellStyle name="Normal 8 2 2 4 4 4" xfId="10316" xr:uid="{4C0677BD-730A-49F7-BBF2-8A1D9AAEC6F7}"/>
    <cellStyle name="Normal 8 2 2 4 5" xfId="2198" xr:uid="{00000000-0005-0000-0000-00007A1C0000}"/>
    <cellStyle name="Normal 8 2 2 4 5 2" xfId="4427" xr:uid="{00000000-0005-0000-0000-00007B1C0000}"/>
    <cellStyle name="Normal 8 2 2 4 5 2 2" xfId="8650" xr:uid="{00000000-0005-0000-0000-00007C1C0000}"/>
    <cellStyle name="Normal 8 2 2 4 5 2 2 2" xfId="17092" xr:uid="{66FFF39D-E85E-4C47-A626-0CF802673C80}"/>
    <cellStyle name="Normal 8 2 2 4 5 2 3" xfId="12874" xr:uid="{A1FB7F8F-13BB-48C2-B8FA-B53C3240A5F8}"/>
    <cellStyle name="Normal 8 2 2 4 5 3" xfId="6505" xr:uid="{00000000-0005-0000-0000-00007D1C0000}"/>
    <cellStyle name="Normal 8 2 2 4 5 3 2" xfId="14947" xr:uid="{357F9BB8-409A-4D32-8D0C-C1DFAEEC2300}"/>
    <cellStyle name="Normal 8 2 2 4 5 4" xfId="10729" xr:uid="{C5BB5744-3B52-426D-9776-E1469BE1E67B}"/>
    <cellStyle name="Normal 8 2 2 4 6" xfId="2634" xr:uid="{00000000-0005-0000-0000-00007E1C0000}"/>
    <cellStyle name="Normal 8 2 2 4 6 2" xfId="6918" xr:uid="{00000000-0005-0000-0000-00007F1C0000}"/>
    <cellStyle name="Normal 8 2 2 4 6 2 2" xfId="15360" xr:uid="{EF9EC161-FFF0-44D0-9072-7E068FE3E7EE}"/>
    <cellStyle name="Normal 8 2 2 4 6 3" xfId="11142" xr:uid="{A69834D3-2FC7-4BE2-A870-8355B8416DFA}"/>
    <cellStyle name="Normal 8 2 2 4 7" xfId="4853" xr:uid="{00000000-0005-0000-0000-0000801C0000}"/>
    <cellStyle name="Normal 8 2 2 4 7 2" xfId="13295" xr:uid="{50F1591C-1C03-4782-B607-687E5E2616FB}"/>
    <cellStyle name="Normal 8 2 2 4 8" xfId="9077" xr:uid="{5F78C04D-9416-4B32-93AA-5625B401C3C2}"/>
    <cellStyle name="Normal 8 2 2 5" xfId="947" xr:uid="{00000000-0005-0000-0000-0000811C0000}"/>
    <cellStyle name="Normal 8 2 2 5 2" xfId="3181" xr:uid="{00000000-0005-0000-0000-0000821C0000}"/>
    <cellStyle name="Normal 8 2 2 5 2 2" xfId="7404" xr:uid="{00000000-0005-0000-0000-0000831C0000}"/>
    <cellStyle name="Normal 8 2 2 5 2 2 2" xfId="15846" xr:uid="{E4658FD5-4B0B-46EE-81CD-261B808FA3BF}"/>
    <cellStyle name="Normal 8 2 2 5 2 3" xfId="11628" xr:uid="{29D57ACA-9076-4027-A0D6-043B2FE3B572}"/>
    <cellStyle name="Normal 8 2 2 5 3" xfId="5259" xr:uid="{00000000-0005-0000-0000-0000841C0000}"/>
    <cellStyle name="Normal 8 2 2 5 3 2" xfId="13701" xr:uid="{6D9646E0-9969-4598-A0D5-8512C3C1EBBE}"/>
    <cellStyle name="Normal 8 2 2 5 4" xfId="9483" xr:uid="{6C5B797E-0D8C-455A-992F-4E71E63FE3A7}"/>
    <cellStyle name="Normal 8 2 2 6" xfId="1364" xr:uid="{00000000-0005-0000-0000-0000851C0000}"/>
    <cellStyle name="Normal 8 2 2 6 2" xfId="3594" xr:uid="{00000000-0005-0000-0000-0000861C0000}"/>
    <cellStyle name="Normal 8 2 2 6 2 2" xfId="7817" xr:uid="{00000000-0005-0000-0000-0000871C0000}"/>
    <cellStyle name="Normal 8 2 2 6 2 2 2" xfId="16259" xr:uid="{42493D0D-BC20-4AFF-92E5-5126F38DBC90}"/>
    <cellStyle name="Normal 8 2 2 6 2 3" xfId="12041" xr:uid="{C7B72DBB-A6C7-4207-BA8C-712441B6315A}"/>
    <cellStyle name="Normal 8 2 2 6 3" xfId="5672" xr:uid="{00000000-0005-0000-0000-0000881C0000}"/>
    <cellStyle name="Normal 8 2 2 6 3 2" xfId="14114" xr:uid="{6463FBAB-348E-45C8-AFCC-9C98ECA20D91}"/>
    <cellStyle name="Normal 8 2 2 6 4" xfId="9896" xr:uid="{8EBC7874-9385-419C-9A0C-3D7A0D9529A6}"/>
    <cellStyle name="Normal 8 2 2 7" xfId="1777" xr:uid="{00000000-0005-0000-0000-0000891C0000}"/>
    <cellStyle name="Normal 8 2 2 7 2" xfId="4007" xr:uid="{00000000-0005-0000-0000-00008A1C0000}"/>
    <cellStyle name="Normal 8 2 2 7 2 2" xfId="8230" xr:uid="{00000000-0005-0000-0000-00008B1C0000}"/>
    <cellStyle name="Normal 8 2 2 7 2 2 2" xfId="16672" xr:uid="{B2AE36D8-68BF-4382-A2D3-31F3B201B835}"/>
    <cellStyle name="Normal 8 2 2 7 2 3" xfId="12454" xr:uid="{6F1B97E6-AAB1-4445-B5D2-DCB8624C8D37}"/>
    <cellStyle name="Normal 8 2 2 7 3" xfId="6085" xr:uid="{00000000-0005-0000-0000-00008C1C0000}"/>
    <cellStyle name="Normal 8 2 2 7 3 2" xfId="14527" xr:uid="{5548BCA5-F7B3-43F5-87A0-DED2B4885E2A}"/>
    <cellStyle name="Normal 8 2 2 7 4" xfId="10309" xr:uid="{564E3B5A-6095-4CB3-BF22-B39D66BEB716}"/>
    <cellStyle name="Normal 8 2 2 8" xfId="2191" xr:uid="{00000000-0005-0000-0000-00008D1C0000}"/>
    <cellStyle name="Normal 8 2 2 8 2" xfId="4420" xr:uid="{00000000-0005-0000-0000-00008E1C0000}"/>
    <cellStyle name="Normal 8 2 2 8 2 2" xfId="8643" xr:uid="{00000000-0005-0000-0000-00008F1C0000}"/>
    <cellStyle name="Normal 8 2 2 8 2 2 2" xfId="17085" xr:uid="{CBAF0B74-A0DC-47EA-A864-00E20B816D8F}"/>
    <cellStyle name="Normal 8 2 2 8 2 3" xfId="12867" xr:uid="{F5C10849-62BB-4882-AB94-5AE63D6B5C67}"/>
    <cellStyle name="Normal 8 2 2 8 3" xfId="6498" xr:uid="{00000000-0005-0000-0000-0000901C0000}"/>
    <cellStyle name="Normal 8 2 2 8 3 2" xfId="14940" xr:uid="{57CE7927-4373-47A1-B2BD-B7E0A3AD1993}"/>
    <cellStyle name="Normal 8 2 2 8 4" xfId="10722" xr:uid="{284D4F33-DBFD-4FF9-A615-0C2504F8A7E6}"/>
    <cellStyle name="Normal 8 2 2 9" xfId="2627" xr:uid="{00000000-0005-0000-0000-0000911C0000}"/>
    <cellStyle name="Normal 8 2 2 9 2" xfId="6911" xr:uid="{00000000-0005-0000-0000-0000921C0000}"/>
    <cellStyle name="Normal 8 2 2 9 2 2" xfId="15353" xr:uid="{0AAA1325-B7D4-47C0-9613-2DE3A5786A2C}"/>
    <cellStyle name="Normal 8 2 2 9 3" xfId="11135" xr:uid="{25BE8992-CFA0-4291-9EA6-35E83D7B3E9C}"/>
    <cellStyle name="Normal 8 2 3" xfId="488" xr:uid="{00000000-0005-0000-0000-0000931C0000}"/>
    <cellStyle name="Normal 8 2 3 10" xfId="9078" xr:uid="{14EA7472-26A2-406A-A59D-BA0A28B86ADF}"/>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2 2 2" xfId="15856" xr:uid="{5AD74548-F4BA-4ADF-B618-07FB172DE32E}"/>
    <cellStyle name="Normal 8 2 3 2 2 2 2 3" xfId="11638" xr:uid="{DF85F5AA-F7BD-4766-932C-C33C61A63C15}"/>
    <cellStyle name="Normal 8 2 3 2 2 2 3" xfId="5269" xr:uid="{00000000-0005-0000-0000-0000991C0000}"/>
    <cellStyle name="Normal 8 2 3 2 2 2 3 2" xfId="13711" xr:uid="{24C8067E-B41B-4D27-A3AF-64E3C91598E7}"/>
    <cellStyle name="Normal 8 2 3 2 2 2 4" xfId="9493" xr:uid="{B002E818-0E8D-45B4-B04A-9A86CDD7B074}"/>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2 2 2" xfId="16269" xr:uid="{88D5A07B-D7BF-4CDC-B093-B67699D9C6FA}"/>
    <cellStyle name="Normal 8 2 3 2 2 3 2 3" xfId="12051" xr:uid="{36A347D7-9295-4516-B5A5-4EFF2DCB7C7C}"/>
    <cellStyle name="Normal 8 2 3 2 2 3 3" xfId="5682" xr:uid="{00000000-0005-0000-0000-00009D1C0000}"/>
    <cellStyle name="Normal 8 2 3 2 2 3 3 2" xfId="14124" xr:uid="{0BEA79F5-A68C-4BF2-98B8-3EAC3497E83E}"/>
    <cellStyle name="Normal 8 2 3 2 2 3 4" xfId="9906" xr:uid="{E4940E5F-F1F2-4A0F-A75E-3583008DD342}"/>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2 2 2" xfId="16682" xr:uid="{B6855F60-7F1B-4AF8-8D9A-E52336F86747}"/>
    <cellStyle name="Normal 8 2 3 2 2 4 2 3" xfId="12464" xr:uid="{7BB77869-39FB-4D05-BF9D-429595191D91}"/>
    <cellStyle name="Normal 8 2 3 2 2 4 3" xfId="6095" xr:uid="{00000000-0005-0000-0000-0000A11C0000}"/>
    <cellStyle name="Normal 8 2 3 2 2 4 3 2" xfId="14537" xr:uid="{AB0D3221-F462-4E79-9A8F-75E8F063724E}"/>
    <cellStyle name="Normal 8 2 3 2 2 4 4" xfId="10319" xr:uid="{8248966C-2A5E-4914-AF81-798F00725E13}"/>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2 2 2" xfId="17095" xr:uid="{13555731-79DB-4F39-9421-B14AB7668E27}"/>
    <cellStyle name="Normal 8 2 3 2 2 5 2 3" xfId="12877" xr:uid="{7DA5F544-086C-4145-A74C-80B24435045F}"/>
    <cellStyle name="Normal 8 2 3 2 2 5 3" xfId="6508" xr:uid="{00000000-0005-0000-0000-0000A51C0000}"/>
    <cellStyle name="Normal 8 2 3 2 2 5 3 2" xfId="14950" xr:uid="{1872250D-8C8F-4BC4-8AD6-5210D1F1859E}"/>
    <cellStyle name="Normal 8 2 3 2 2 5 4" xfId="10732" xr:uid="{C4E92AAE-8903-4EE4-88C1-7C18449CBED5}"/>
    <cellStyle name="Normal 8 2 3 2 2 6" xfId="2637" xr:uid="{00000000-0005-0000-0000-0000A61C0000}"/>
    <cellStyle name="Normal 8 2 3 2 2 6 2" xfId="6921" xr:uid="{00000000-0005-0000-0000-0000A71C0000}"/>
    <cellStyle name="Normal 8 2 3 2 2 6 2 2" xfId="15363" xr:uid="{712DE006-5A1C-41C0-B9E4-BBB6821C86AF}"/>
    <cellStyle name="Normal 8 2 3 2 2 6 3" xfId="11145" xr:uid="{53214A39-5120-4C6F-A841-973002E64E77}"/>
    <cellStyle name="Normal 8 2 3 2 2 7" xfId="4856" xr:uid="{00000000-0005-0000-0000-0000A81C0000}"/>
    <cellStyle name="Normal 8 2 3 2 2 7 2" xfId="13298" xr:uid="{13692895-453C-4B5E-96E4-808B024E1B5B}"/>
    <cellStyle name="Normal 8 2 3 2 2 8" xfId="9080" xr:uid="{7D2829FD-4239-46DB-92D8-DC68D97C1E28}"/>
    <cellStyle name="Normal 8 2 3 2 3" xfId="956" xr:uid="{00000000-0005-0000-0000-0000A91C0000}"/>
    <cellStyle name="Normal 8 2 3 2 3 2" xfId="3190" xr:uid="{00000000-0005-0000-0000-0000AA1C0000}"/>
    <cellStyle name="Normal 8 2 3 2 3 2 2" xfId="7413" xr:uid="{00000000-0005-0000-0000-0000AB1C0000}"/>
    <cellStyle name="Normal 8 2 3 2 3 2 2 2" xfId="15855" xr:uid="{750C1696-551A-4FA0-8AFD-F3C22371B6E3}"/>
    <cellStyle name="Normal 8 2 3 2 3 2 3" xfId="11637" xr:uid="{7F587B32-59B4-4B61-A871-D63C855E9964}"/>
    <cellStyle name="Normal 8 2 3 2 3 3" xfId="5268" xr:uid="{00000000-0005-0000-0000-0000AC1C0000}"/>
    <cellStyle name="Normal 8 2 3 2 3 3 2" xfId="13710" xr:uid="{8EE63F50-4872-4218-8F0F-1D531E2D17CD}"/>
    <cellStyle name="Normal 8 2 3 2 3 4" xfId="9492" xr:uid="{3A5A2D07-8E88-4EA5-9AF9-2CE103471201}"/>
    <cellStyle name="Normal 8 2 3 2 4" xfId="1373" xr:uid="{00000000-0005-0000-0000-0000AD1C0000}"/>
    <cellStyle name="Normal 8 2 3 2 4 2" xfId="3603" xr:uid="{00000000-0005-0000-0000-0000AE1C0000}"/>
    <cellStyle name="Normal 8 2 3 2 4 2 2" xfId="7826" xr:uid="{00000000-0005-0000-0000-0000AF1C0000}"/>
    <cellStyle name="Normal 8 2 3 2 4 2 2 2" xfId="16268" xr:uid="{98B30C02-B906-493F-AD78-8254A56AC4A3}"/>
    <cellStyle name="Normal 8 2 3 2 4 2 3" xfId="12050" xr:uid="{237B64C8-3414-4A77-BAF5-920A47282973}"/>
    <cellStyle name="Normal 8 2 3 2 4 3" xfId="5681" xr:uid="{00000000-0005-0000-0000-0000B01C0000}"/>
    <cellStyle name="Normal 8 2 3 2 4 3 2" xfId="14123" xr:uid="{058CA234-EB89-4958-90BD-85D534677B52}"/>
    <cellStyle name="Normal 8 2 3 2 4 4" xfId="9905" xr:uid="{D7A0E41A-0E23-4AA5-B60C-EBAC22810CD4}"/>
    <cellStyle name="Normal 8 2 3 2 5" xfId="1786" xr:uid="{00000000-0005-0000-0000-0000B11C0000}"/>
    <cellStyle name="Normal 8 2 3 2 5 2" xfId="4016" xr:uid="{00000000-0005-0000-0000-0000B21C0000}"/>
    <cellStyle name="Normal 8 2 3 2 5 2 2" xfId="8239" xr:uid="{00000000-0005-0000-0000-0000B31C0000}"/>
    <cellStyle name="Normal 8 2 3 2 5 2 2 2" xfId="16681" xr:uid="{42F37884-E5BA-4BCD-9656-84DE6F8C105B}"/>
    <cellStyle name="Normal 8 2 3 2 5 2 3" xfId="12463" xr:uid="{146F983E-27DC-43B6-9230-7E45967FCAA9}"/>
    <cellStyle name="Normal 8 2 3 2 5 3" xfId="6094" xr:uid="{00000000-0005-0000-0000-0000B41C0000}"/>
    <cellStyle name="Normal 8 2 3 2 5 3 2" xfId="14536" xr:uid="{6897916B-24F7-4417-BAD3-4DE7CE0E9417}"/>
    <cellStyle name="Normal 8 2 3 2 5 4" xfId="10318" xr:uid="{E53EE7F0-A63B-4A87-8170-AE4E81BEBD64}"/>
    <cellStyle name="Normal 8 2 3 2 6" xfId="2200" xr:uid="{00000000-0005-0000-0000-0000B51C0000}"/>
    <cellStyle name="Normal 8 2 3 2 6 2" xfId="4429" xr:uid="{00000000-0005-0000-0000-0000B61C0000}"/>
    <cellStyle name="Normal 8 2 3 2 6 2 2" xfId="8652" xr:uid="{00000000-0005-0000-0000-0000B71C0000}"/>
    <cellStyle name="Normal 8 2 3 2 6 2 2 2" xfId="17094" xr:uid="{5722FED1-F667-4360-B946-39727213B14D}"/>
    <cellStyle name="Normal 8 2 3 2 6 2 3" xfId="12876" xr:uid="{90EF6F3A-AC5B-4FC3-92C4-22D60B984151}"/>
    <cellStyle name="Normal 8 2 3 2 6 3" xfId="6507" xr:uid="{00000000-0005-0000-0000-0000B81C0000}"/>
    <cellStyle name="Normal 8 2 3 2 6 3 2" xfId="14949" xr:uid="{2F07FB9F-9A91-472E-AAD0-B72837B8484B}"/>
    <cellStyle name="Normal 8 2 3 2 6 4" xfId="10731" xr:uid="{3D8C0F5A-F1C3-4F86-B9EF-0903530BA9BC}"/>
    <cellStyle name="Normal 8 2 3 2 7" xfId="2636" xr:uid="{00000000-0005-0000-0000-0000B91C0000}"/>
    <cellStyle name="Normal 8 2 3 2 7 2" xfId="6920" xr:uid="{00000000-0005-0000-0000-0000BA1C0000}"/>
    <cellStyle name="Normal 8 2 3 2 7 2 2" xfId="15362" xr:uid="{F43E109C-8673-4085-B3F9-76799A833D99}"/>
    <cellStyle name="Normal 8 2 3 2 7 3" xfId="11144" xr:uid="{1D02FD85-3408-4293-83C0-C222914847AF}"/>
    <cellStyle name="Normal 8 2 3 2 8" xfId="4855" xr:uid="{00000000-0005-0000-0000-0000BB1C0000}"/>
    <cellStyle name="Normal 8 2 3 2 8 2" xfId="13297" xr:uid="{7CFDD394-1E61-4A92-AF54-797B8A6A6A75}"/>
    <cellStyle name="Normal 8 2 3 2 9" xfId="9079" xr:uid="{0D495BC4-427F-4000-B656-C0A28E2DB4C3}"/>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2 2 2" xfId="15857" xr:uid="{7C938EA4-0A0E-44D7-8A37-17C0DDF0D2A9}"/>
    <cellStyle name="Normal 8 2 3 3 2 2 3" xfId="11639" xr:uid="{0CD97C25-98C3-4015-90AA-1541D13769A3}"/>
    <cellStyle name="Normal 8 2 3 3 2 3" xfId="5270" xr:uid="{00000000-0005-0000-0000-0000C01C0000}"/>
    <cellStyle name="Normal 8 2 3 3 2 3 2" xfId="13712" xr:uid="{6506CE71-DDAC-474E-94B3-FAFAE05F2CBD}"/>
    <cellStyle name="Normal 8 2 3 3 2 4" xfId="9494" xr:uid="{226066D0-5BD6-4040-8322-CFF08B362AC8}"/>
    <cellStyle name="Normal 8 2 3 3 3" xfId="1375" xr:uid="{00000000-0005-0000-0000-0000C11C0000}"/>
    <cellStyle name="Normal 8 2 3 3 3 2" xfId="3605" xr:uid="{00000000-0005-0000-0000-0000C21C0000}"/>
    <cellStyle name="Normal 8 2 3 3 3 2 2" xfId="7828" xr:uid="{00000000-0005-0000-0000-0000C31C0000}"/>
    <cellStyle name="Normal 8 2 3 3 3 2 2 2" xfId="16270" xr:uid="{0CC8B675-92B9-4626-B82A-E085BBD94C8E}"/>
    <cellStyle name="Normal 8 2 3 3 3 2 3" xfId="12052" xr:uid="{18F08967-0265-4127-8297-3EEA75FDFC37}"/>
    <cellStyle name="Normal 8 2 3 3 3 3" xfId="5683" xr:uid="{00000000-0005-0000-0000-0000C41C0000}"/>
    <cellStyle name="Normal 8 2 3 3 3 3 2" xfId="14125" xr:uid="{890ED430-5F33-45B2-AD5F-62968E3C3E59}"/>
    <cellStyle name="Normal 8 2 3 3 3 4" xfId="9907" xr:uid="{2D79851A-4C89-44DF-A895-2365D473F507}"/>
    <cellStyle name="Normal 8 2 3 3 4" xfId="1788" xr:uid="{00000000-0005-0000-0000-0000C51C0000}"/>
    <cellStyle name="Normal 8 2 3 3 4 2" xfId="4018" xr:uid="{00000000-0005-0000-0000-0000C61C0000}"/>
    <cellStyle name="Normal 8 2 3 3 4 2 2" xfId="8241" xr:uid="{00000000-0005-0000-0000-0000C71C0000}"/>
    <cellStyle name="Normal 8 2 3 3 4 2 2 2" xfId="16683" xr:uid="{1A7C6E3F-C3A9-4093-AAC4-D81ECFE9B953}"/>
    <cellStyle name="Normal 8 2 3 3 4 2 3" xfId="12465" xr:uid="{461DD3CA-3857-42E4-B1CC-30AEDA8CF27A}"/>
    <cellStyle name="Normal 8 2 3 3 4 3" xfId="6096" xr:uid="{00000000-0005-0000-0000-0000C81C0000}"/>
    <cellStyle name="Normal 8 2 3 3 4 3 2" xfId="14538" xr:uid="{34E53A74-F1E8-471E-B5CE-2D7A5BA89B08}"/>
    <cellStyle name="Normal 8 2 3 3 4 4" xfId="10320" xr:uid="{07B07EBC-DFD2-4665-99AA-9544D1DA1AA1}"/>
    <cellStyle name="Normal 8 2 3 3 5" xfId="2202" xr:uid="{00000000-0005-0000-0000-0000C91C0000}"/>
    <cellStyle name="Normal 8 2 3 3 5 2" xfId="4431" xr:uid="{00000000-0005-0000-0000-0000CA1C0000}"/>
    <cellStyle name="Normal 8 2 3 3 5 2 2" xfId="8654" xr:uid="{00000000-0005-0000-0000-0000CB1C0000}"/>
    <cellStyle name="Normal 8 2 3 3 5 2 2 2" xfId="17096" xr:uid="{1C8B8DAE-B2CA-43E3-AFDD-78D50FEED1CE}"/>
    <cellStyle name="Normal 8 2 3 3 5 2 3" xfId="12878" xr:uid="{8138C2FB-34F7-43EA-BECF-12207D7346CD}"/>
    <cellStyle name="Normal 8 2 3 3 5 3" xfId="6509" xr:uid="{00000000-0005-0000-0000-0000CC1C0000}"/>
    <cellStyle name="Normal 8 2 3 3 5 3 2" xfId="14951" xr:uid="{2096AE67-3588-4897-B281-FAA2E24AF960}"/>
    <cellStyle name="Normal 8 2 3 3 5 4" xfId="10733" xr:uid="{103ACDAC-B218-4511-B3EB-3D28FC33866C}"/>
    <cellStyle name="Normal 8 2 3 3 6" xfId="2638" xr:uid="{00000000-0005-0000-0000-0000CD1C0000}"/>
    <cellStyle name="Normal 8 2 3 3 6 2" xfId="6922" xr:uid="{00000000-0005-0000-0000-0000CE1C0000}"/>
    <cellStyle name="Normal 8 2 3 3 6 2 2" xfId="15364" xr:uid="{4428F159-130D-41D9-8668-496FDD27B1CF}"/>
    <cellStyle name="Normal 8 2 3 3 6 3" xfId="11146" xr:uid="{0E514789-BD5A-4328-8DE7-CA794ABE41FA}"/>
    <cellStyle name="Normal 8 2 3 3 7" xfId="4857" xr:uid="{00000000-0005-0000-0000-0000CF1C0000}"/>
    <cellStyle name="Normal 8 2 3 3 7 2" xfId="13299" xr:uid="{6BD918C5-9C0F-4790-885E-23420EE39451}"/>
    <cellStyle name="Normal 8 2 3 3 8" xfId="9081" xr:uid="{63788824-13DE-4849-9904-CB477A13545E}"/>
    <cellStyle name="Normal 8 2 3 4" xfId="955" xr:uid="{00000000-0005-0000-0000-0000D01C0000}"/>
    <cellStyle name="Normal 8 2 3 4 2" xfId="3189" xr:uid="{00000000-0005-0000-0000-0000D11C0000}"/>
    <cellStyle name="Normal 8 2 3 4 2 2" xfId="7412" xr:uid="{00000000-0005-0000-0000-0000D21C0000}"/>
    <cellStyle name="Normal 8 2 3 4 2 2 2" xfId="15854" xr:uid="{A23E8A56-F129-47B4-A799-6160393D9D75}"/>
    <cellStyle name="Normal 8 2 3 4 2 3" xfId="11636" xr:uid="{BF0591F8-D85D-4DA0-B2E2-5B3DC2D83F69}"/>
    <cellStyle name="Normal 8 2 3 4 3" xfId="5267" xr:uid="{00000000-0005-0000-0000-0000D31C0000}"/>
    <cellStyle name="Normal 8 2 3 4 3 2" xfId="13709" xr:uid="{1FE91C3B-6097-4AA3-9974-A1FCA17F29A6}"/>
    <cellStyle name="Normal 8 2 3 4 4" xfId="9491" xr:uid="{A3F34C1A-027E-471E-8B67-AA644BACB362}"/>
    <cellStyle name="Normal 8 2 3 5" xfId="1372" xr:uid="{00000000-0005-0000-0000-0000D41C0000}"/>
    <cellStyle name="Normal 8 2 3 5 2" xfId="3602" xr:uid="{00000000-0005-0000-0000-0000D51C0000}"/>
    <cellStyle name="Normal 8 2 3 5 2 2" xfId="7825" xr:uid="{00000000-0005-0000-0000-0000D61C0000}"/>
    <cellStyle name="Normal 8 2 3 5 2 2 2" xfId="16267" xr:uid="{61461440-10E2-4D04-82C8-29B0EFE878DB}"/>
    <cellStyle name="Normal 8 2 3 5 2 3" xfId="12049" xr:uid="{9E3021EF-F9FE-4FD5-9311-7108E737C4EE}"/>
    <cellStyle name="Normal 8 2 3 5 3" xfId="5680" xr:uid="{00000000-0005-0000-0000-0000D71C0000}"/>
    <cellStyle name="Normal 8 2 3 5 3 2" xfId="14122" xr:uid="{4A3BA2DC-769D-4DEF-B3D3-4C97612C050F}"/>
    <cellStyle name="Normal 8 2 3 5 4" xfId="9904" xr:uid="{AD85F4C1-2718-41E4-95C8-AC9FD9CA8479}"/>
    <cellStyle name="Normal 8 2 3 6" xfId="1785" xr:uid="{00000000-0005-0000-0000-0000D81C0000}"/>
    <cellStyle name="Normal 8 2 3 6 2" xfId="4015" xr:uid="{00000000-0005-0000-0000-0000D91C0000}"/>
    <cellStyle name="Normal 8 2 3 6 2 2" xfId="8238" xr:uid="{00000000-0005-0000-0000-0000DA1C0000}"/>
    <cellStyle name="Normal 8 2 3 6 2 2 2" xfId="16680" xr:uid="{FA2A504F-6839-4717-89C5-0E11772FCCC4}"/>
    <cellStyle name="Normal 8 2 3 6 2 3" xfId="12462" xr:uid="{B8AEA9ED-914F-4C60-B4C8-B76F02F79364}"/>
    <cellStyle name="Normal 8 2 3 6 3" xfId="6093" xr:uid="{00000000-0005-0000-0000-0000DB1C0000}"/>
    <cellStyle name="Normal 8 2 3 6 3 2" xfId="14535" xr:uid="{65D59502-EE8C-4C98-B3C6-D381B25F93F0}"/>
    <cellStyle name="Normal 8 2 3 6 4" xfId="10317" xr:uid="{C67EAC48-C448-49DB-8CEE-7E16A03D4B16}"/>
    <cellStyle name="Normal 8 2 3 7" xfId="2199" xr:uid="{00000000-0005-0000-0000-0000DC1C0000}"/>
    <cellStyle name="Normal 8 2 3 7 2" xfId="4428" xr:uid="{00000000-0005-0000-0000-0000DD1C0000}"/>
    <cellStyle name="Normal 8 2 3 7 2 2" xfId="8651" xr:uid="{00000000-0005-0000-0000-0000DE1C0000}"/>
    <cellStyle name="Normal 8 2 3 7 2 2 2" xfId="17093" xr:uid="{EE6D5F9D-FEB9-4ECC-ABC0-378A34977071}"/>
    <cellStyle name="Normal 8 2 3 7 2 3" xfId="12875" xr:uid="{8B55ADE7-1A57-4187-96ED-7AEC1852D8C7}"/>
    <cellStyle name="Normal 8 2 3 7 3" xfId="6506" xr:uid="{00000000-0005-0000-0000-0000DF1C0000}"/>
    <cellStyle name="Normal 8 2 3 7 3 2" xfId="14948" xr:uid="{70472ABF-AF3B-405E-98B0-4339BD29755D}"/>
    <cellStyle name="Normal 8 2 3 7 4" xfId="10730" xr:uid="{15580F9C-EACB-4A81-9AF3-07D2B24E7FDE}"/>
    <cellStyle name="Normal 8 2 3 8" xfId="2635" xr:uid="{00000000-0005-0000-0000-0000E01C0000}"/>
    <cellStyle name="Normal 8 2 3 8 2" xfId="6919" xr:uid="{00000000-0005-0000-0000-0000E11C0000}"/>
    <cellStyle name="Normal 8 2 3 8 2 2" xfId="15361" xr:uid="{04A6B34D-9BE0-484C-894C-B1F7B8854814}"/>
    <cellStyle name="Normal 8 2 3 8 3" xfId="11143" xr:uid="{E04E3AAF-C6DC-420F-9536-4F4DF8C27910}"/>
    <cellStyle name="Normal 8 2 3 9" xfId="4854" xr:uid="{00000000-0005-0000-0000-0000E21C0000}"/>
    <cellStyle name="Normal 8 2 3 9 2" xfId="13296" xr:uid="{8EB0BDA0-1392-4DE1-B69B-C35273028C4E}"/>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2 2 2" xfId="15859" xr:uid="{2D9B03C6-17F9-4DCD-B898-CC562C7144CF}"/>
    <cellStyle name="Normal 8 2 4 2 2 2 3" xfId="11641" xr:uid="{440A8CB1-1929-4DF9-957A-10174EB0DD8A}"/>
    <cellStyle name="Normal 8 2 4 2 2 3" xfId="5272" xr:uid="{00000000-0005-0000-0000-0000E81C0000}"/>
    <cellStyle name="Normal 8 2 4 2 2 3 2" xfId="13714" xr:uid="{118A5F5C-B908-4334-8313-5A521486470B}"/>
    <cellStyle name="Normal 8 2 4 2 2 4" xfId="9496" xr:uid="{EB13905A-A93F-46CC-8273-43C956875EE5}"/>
    <cellStyle name="Normal 8 2 4 2 3" xfId="1377" xr:uid="{00000000-0005-0000-0000-0000E91C0000}"/>
    <cellStyle name="Normal 8 2 4 2 3 2" xfId="3607" xr:uid="{00000000-0005-0000-0000-0000EA1C0000}"/>
    <cellStyle name="Normal 8 2 4 2 3 2 2" xfId="7830" xr:uid="{00000000-0005-0000-0000-0000EB1C0000}"/>
    <cellStyle name="Normal 8 2 4 2 3 2 2 2" xfId="16272" xr:uid="{AC43DD94-D24B-41CC-87EF-7B7BBD666D36}"/>
    <cellStyle name="Normal 8 2 4 2 3 2 3" xfId="12054" xr:uid="{B06E8D46-D9B3-4B83-8BC7-160454B61C66}"/>
    <cellStyle name="Normal 8 2 4 2 3 3" xfId="5685" xr:uid="{00000000-0005-0000-0000-0000EC1C0000}"/>
    <cellStyle name="Normal 8 2 4 2 3 3 2" xfId="14127" xr:uid="{ACD912E8-58A3-4DB3-814A-74F4DE2CD639}"/>
    <cellStyle name="Normal 8 2 4 2 3 4" xfId="9909" xr:uid="{A1DB96A5-75F2-4423-9D82-35555F903D18}"/>
    <cellStyle name="Normal 8 2 4 2 4" xfId="1790" xr:uid="{00000000-0005-0000-0000-0000ED1C0000}"/>
    <cellStyle name="Normal 8 2 4 2 4 2" xfId="4020" xr:uid="{00000000-0005-0000-0000-0000EE1C0000}"/>
    <cellStyle name="Normal 8 2 4 2 4 2 2" xfId="8243" xr:uid="{00000000-0005-0000-0000-0000EF1C0000}"/>
    <cellStyle name="Normal 8 2 4 2 4 2 2 2" xfId="16685" xr:uid="{A2B64B5A-254C-4257-A58A-A74C85B04A1D}"/>
    <cellStyle name="Normal 8 2 4 2 4 2 3" xfId="12467" xr:uid="{0EC292BC-D401-4CC5-9C80-BA84AC218609}"/>
    <cellStyle name="Normal 8 2 4 2 4 3" xfId="6098" xr:uid="{00000000-0005-0000-0000-0000F01C0000}"/>
    <cellStyle name="Normal 8 2 4 2 4 3 2" xfId="14540" xr:uid="{C4CD777A-99BF-421E-9732-B09137187661}"/>
    <cellStyle name="Normal 8 2 4 2 4 4" xfId="10322" xr:uid="{1680B021-A78C-4458-9EF5-BAFF2DE19691}"/>
    <cellStyle name="Normal 8 2 4 2 5" xfId="2204" xr:uid="{00000000-0005-0000-0000-0000F11C0000}"/>
    <cellStyle name="Normal 8 2 4 2 5 2" xfId="4433" xr:uid="{00000000-0005-0000-0000-0000F21C0000}"/>
    <cellStyle name="Normal 8 2 4 2 5 2 2" xfId="8656" xr:uid="{00000000-0005-0000-0000-0000F31C0000}"/>
    <cellStyle name="Normal 8 2 4 2 5 2 2 2" xfId="17098" xr:uid="{5291D055-2199-490D-9039-85E71114C4E9}"/>
    <cellStyle name="Normal 8 2 4 2 5 2 3" xfId="12880" xr:uid="{7A134811-E7FB-4FDD-B8CB-2B11EEF8DAF7}"/>
    <cellStyle name="Normal 8 2 4 2 5 3" xfId="6511" xr:uid="{00000000-0005-0000-0000-0000F41C0000}"/>
    <cellStyle name="Normal 8 2 4 2 5 3 2" xfId="14953" xr:uid="{AD092707-C168-41AC-A78E-648BEF08ED11}"/>
    <cellStyle name="Normal 8 2 4 2 5 4" xfId="10735" xr:uid="{E9A749AF-A336-4E46-A3F3-3CBF1B849FB1}"/>
    <cellStyle name="Normal 8 2 4 2 6" xfId="2640" xr:uid="{00000000-0005-0000-0000-0000F51C0000}"/>
    <cellStyle name="Normal 8 2 4 2 6 2" xfId="6924" xr:uid="{00000000-0005-0000-0000-0000F61C0000}"/>
    <cellStyle name="Normal 8 2 4 2 6 2 2" xfId="15366" xr:uid="{D8FC3D64-2D7D-460A-9721-189AD63CC282}"/>
    <cellStyle name="Normal 8 2 4 2 6 3" xfId="11148" xr:uid="{F9856D66-08DF-48D8-8BD7-E297494C0E68}"/>
    <cellStyle name="Normal 8 2 4 2 7" xfId="4859" xr:uid="{00000000-0005-0000-0000-0000F71C0000}"/>
    <cellStyle name="Normal 8 2 4 2 7 2" xfId="13301" xr:uid="{02FE3347-37F5-40AE-B25E-B233811B6E6C}"/>
    <cellStyle name="Normal 8 2 4 2 8" xfId="9083" xr:uid="{622141DF-F60D-4ECF-BF87-A3C2DEB49D94}"/>
    <cellStyle name="Normal 8 2 4 3" xfId="959" xr:uid="{00000000-0005-0000-0000-0000F81C0000}"/>
    <cellStyle name="Normal 8 2 4 3 2" xfId="3193" xr:uid="{00000000-0005-0000-0000-0000F91C0000}"/>
    <cellStyle name="Normal 8 2 4 3 2 2" xfId="7416" xr:uid="{00000000-0005-0000-0000-0000FA1C0000}"/>
    <cellStyle name="Normal 8 2 4 3 2 2 2" xfId="15858" xr:uid="{A94B4E72-A053-4C3B-A994-6CE1D8BD2C90}"/>
    <cellStyle name="Normal 8 2 4 3 2 3" xfId="11640" xr:uid="{076A2263-F148-4226-B19D-253769FDC6AD}"/>
    <cellStyle name="Normal 8 2 4 3 3" xfId="5271" xr:uid="{00000000-0005-0000-0000-0000FB1C0000}"/>
    <cellStyle name="Normal 8 2 4 3 3 2" xfId="13713" xr:uid="{537D0CA9-E64F-4D27-896D-962F2BD7DDA8}"/>
    <cellStyle name="Normal 8 2 4 3 4" xfId="9495" xr:uid="{A9D0938C-37E2-4ED2-8947-4525DCB380C8}"/>
    <cellStyle name="Normal 8 2 4 4" xfId="1376" xr:uid="{00000000-0005-0000-0000-0000FC1C0000}"/>
    <cellStyle name="Normal 8 2 4 4 2" xfId="3606" xr:uid="{00000000-0005-0000-0000-0000FD1C0000}"/>
    <cellStyle name="Normal 8 2 4 4 2 2" xfId="7829" xr:uid="{00000000-0005-0000-0000-0000FE1C0000}"/>
    <cellStyle name="Normal 8 2 4 4 2 2 2" xfId="16271" xr:uid="{A38055D5-DD48-4DD2-94B5-BF99C6B07006}"/>
    <cellStyle name="Normal 8 2 4 4 2 3" xfId="12053" xr:uid="{50A4BF4B-ED19-4790-AFD8-0D18F7892DA0}"/>
    <cellStyle name="Normal 8 2 4 4 3" xfId="5684" xr:uid="{00000000-0005-0000-0000-0000FF1C0000}"/>
    <cellStyle name="Normal 8 2 4 4 3 2" xfId="14126" xr:uid="{81413366-26E2-448C-8CD0-EB138395C225}"/>
    <cellStyle name="Normal 8 2 4 4 4" xfId="9908" xr:uid="{938204F0-1036-4000-9151-46C3F0A582FA}"/>
    <cellStyle name="Normal 8 2 4 5" xfId="1789" xr:uid="{00000000-0005-0000-0000-0000001D0000}"/>
    <cellStyle name="Normal 8 2 4 5 2" xfId="4019" xr:uid="{00000000-0005-0000-0000-0000011D0000}"/>
    <cellStyle name="Normal 8 2 4 5 2 2" xfId="8242" xr:uid="{00000000-0005-0000-0000-0000021D0000}"/>
    <cellStyle name="Normal 8 2 4 5 2 2 2" xfId="16684" xr:uid="{CDB5E64D-C7AF-411F-9D07-4B1B38860E8E}"/>
    <cellStyle name="Normal 8 2 4 5 2 3" xfId="12466" xr:uid="{E01D791D-DAE6-439A-A86F-9CBE0AD1346F}"/>
    <cellStyle name="Normal 8 2 4 5 3" xfId="6097" xr:uid="{00000000-0005-0000-0000-0000031D0000}"/>
    <cellStyle name="Normal 8 2 4 5 3 2" xfId="14539" xr:uid="{782FCFBE-1B16-4262-9490-ABE35E64DEE3}"/>
    <cellStyle name="Normal 8 2 4 5 4" xfId="10321" xr:uid="{3E4A254A-5DCA-464F-9EB3-828C296C5398}"/>
    <cellStyle name="Normal 8 2 4 6" xfId="2203" xr:uid="{00000000-0005-0000-0000-0000041D0000}"/>
    <cellStyle name="Normal 8 2 4 6 2" xfId="4432" xr:uid="{00000000-0005-0000-0000-0000051D0000}"/>
    <cellStyle name="Normal 8 2 4 6 2 2" xfId="8655" xr:uid="{00000000-0005-0000-0000-0000061D0000}"/>
    <cellStyle name="Normal 8 2 4 6 2 2 2" xfId="17097" xr:uid="{1535B156-71EE-495B-9386-06297E9731C7}"/>
    <cellStyle name="Normal 8 2 4 6 2 3" xfId="12879" xr:uid="{C6839C20-FD80-46AD-A640-87C8C31278FA}"/>
    <cellStyle name="Normal 8 2 4 6 3" xfId="6510" xr:uid="{00000000-0005-0000-0000-0000071D0000}"/>
    <cellStyle name="Normal 8 2 4 6 3 2" xfId="14952" xr:uid="{B2CDBEE6-841C-48F1-96D4-9B04F9E42124}"/>
    <cellStyle name="Normal 8 2 4 6 4" xfId="10734" xr:uid="{EFFBA1F2-00F0-488E-93BF-54E7201BDF93}"/>
    <cellStyle name="Normal 8 2 4 7" xfId="2639" xr:uid="{00000000-0005-0000-0000-0000081D0000}"/>
    <cellStyle name="Normal 8 2 4 7 2" xfId="6923" xr:uid="{00000000-0005-0000-0000-0000091D0000}"/>
    <cellStyle name="Normal 8 2 4 7 2 2" xfId="15365" xr:uid="{EB104E98-E2D2-490D-AFEA-56E292906EAA}"/>
    <cellStyle name="Normal 8 2 4 7 3" xfId="11147" xr:uid="{06C6546D-74FC-42B1-8A1D-7C2A67D6EC67}"/>
    <cellStyle name="Normal 8 2 4 8" xfId="4858" xr:uid="{00000000-0005-0000-0000-00000A1D0000}"/>
    <cellStyle name="Normal 8 2 4 8 2" xfId="13300" xr:uid="{DB2D0C0F-8388-46D3-8DE2-3632DA83ED08}"/>
    <cellStyle name="Normal 8 2 4 9" xfId="9082" xr:uid="{1B4A6773-93F1-4651-BD80-4B4B03EFFA3F}"/>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2 2 2" xfId="15860" xr:uid="{FB2C88CB-E04E-40EA-B6C9-D0D76A9037A4}"/>
    <cellStyle name="Normal 8 2 5 2 2 3" xfId="11642" xr:uid="{A00E3DB6-9848-4DC5-AAA3-CCE1752641CC}"/>
    <cellStyle name="Normal 8 2 5 2 3" xfId="5273" xr:uid="{00000000-0005-0000-0000-00000F1D0000}"/>
    <cellStyle name="Normal 8 2 5 2 3 2" xfId="13715" xr:uid="{3C89E4D3-0413-4963-9631-064B0BCEC6EF}"/>
    <cellStyle name="Normal 8 2 5 2 4" xfId="9497" xr:uid="{B2F8D573-BF34-4667-BEEE-CBD3909C188E}"/>
    <cellStyle name="Normal 8 2 5 3" xfId="1378" xr:uid="{00000000-0005-0000-0000-0000101D0000}"/>
    <cellStyle name="Normal 8 2 5 3 2" xfId="3608" xr:uid="{00000000-0005-0000-0000-0000111D0000}"/>
    <cellStyle name="Normal 8 2 5 3 2 2" xfId="7831" xr:uid="{00000000-0005-0000-0000-0000121D0000}"/>
    <cellStyle name="Normal 8 2 5 3 2 2 2" xfId="16273" xr:uid="{02D15400-16EF-48F4-BC9B-340B052D8DB3}"/>
    <cellStyle name="Normal 8 2 5 3 2 3" xfId="12055" xr:uid="{64A8A45D-C840-45E4-8E9E-6108563B32AA}"/>
    <cellStyle name="Normal 8 2 5 3 3" xfId="5686" xr:uid="{00000000-0005-0000-0000-0000131D0000}"/>
    <cellStyle name="Normal 8 2 5 3 3 2" xfId="14128" xr:uid="{C4E04DCC-0D04-4156-8C34-82C76107B473}"/>
    <cellStyle name="Normal 8 2 5 3 4" xfId="9910" xr:uid="{AB2ABD73-1B54-4407-B3C8-22865CB7C350}"/>
    <cellStyle name="Normal 8 2 5 4" xfId="1791" xr:uid="{00000000-0005-0000-0000-0000141D0000}"/>
    <cellStyle name="Normal 8 2 5 4 2" xfId="4021" xr:uid="{00000000-0005-0000-0000-0000151D0000}"/>
    <cellStyle name="Normal 8 2 5 4 2 2" xfId="8244" xr:uid="{00000000-0005-0000-0000-0000161D0000}"/>
    <cellStyle name="Normal 8 2 5 4 2 2 2" xfId="16686" xr:uid="{A304EC47-5961-42FA-A19C-1648587DF947}"/>
    <cellStyle name="Normal 8 2 5 4 2 3" xfId="12468" xr:uid="{A94E4AE0-A09E-4FD9-A869-10F178E2808B}"/>
    <cellStyle name="Normal 8 2 5 4 3" xfId="6099" xr:uid="{00000000-0005-0000-0000-0000171D0000}"/>
    <cellStyle name="Normal 8 2 5 4 3 2" xfId="14541" xr:uid="{380F5E3E-6381-4EEA-A0A6-725A3FB64C00}"/>
    <cellStyle name="Normal 8 2 5 4 4" xfId="10323" xr:uid="{30B18B2E-5165-442F-B84C-F4DBD6373025}"/>
    <cellStyle name="Normal 8 2 5 5" xfId="2205" xr:uid="{00000000-0005-0000-0000-0000181D0000}"/>
    <cellStyle name="Normal 8 2 5 5 2" xfId="4434" xr:uid="{00000000-0005-0000-0000-0000191D0000}"/>
    <cellStyle name="Normal 8 2 5 5 2 2" xfId="8657" xr:uid="{00000000-0005-0000-0000-00001A1D0000}"/>
    <cellStyle name="Normal 8 2 5 5 2 2 2" xfId="17099" xr:uid="{D85C064B-7272-4383-B5E0-9768B8C5DF97}"/>
    <cellStyle name="Normal 8 2 5 5 2 3" xfId="12881" xr:uid="{E99E50B0-0F66-4FFB-A5DA-1C0264E615FB}"/>
    <cellStyle name="Normal 8 2 5 5 3" xfId="6512" xr:uid="{00000000-0005-0000-0000-00001B1D0000}"/>
    <cellStyle name="Normal 8 2 5 5 3 2" xfId="14954" xr:uid="{4C826FA4-F6A4-47F6-ABE0-A1C6A7BD7FA3}"/>
    <cellStyle name="Normal 8 2 5 5 4" xfId="10736" xr:uid="{40CE2FFF-BAD3-4D9E-AA68-4CD922680D31}"/>
    <cellStyle name="Normal 8 2 5 6" xfId="2641" xr:uid="{00000000-0005-0000-0000-00001C1D0000}"/>
    <cellStyle name="Normal 8 2 5 6 2" xfId="6925" xr:uid="{00000000-0005-0000-0000-00001D1D0000}"/>
    <cellStyle name="Normal 8 2 5 6 2 2" xfId="15367" xr:uid="{6BDF4D6E-4A5B-4790-8449-EC1433A3C2A8}"/>
    <cellStyle name="Normal 8 2 5 6 3" xfId="11149" xr:uid="{485E667A-B5BD-43CD-875F-F9FD3D426461}"/>
    <cellStyle name="Normal 8 2 5 7" xfId="4860" xr:uid="{00000000-0005-0000-0000-00001E1D0000}"/>
    <cellStyle name="Normal 8 2 5 7 2" xfId="13302" xr:uid="{4D64F6AA-B1DE-4CFC-8BA6-2454CF273343}"/>
    <cellStyle name="Normal 8 2 5 8" xfId="9084" xr:uid="{56048449-69BC-40B4-8BD8-6D80BB4C9050}"/>
    <cellStyle name="Normal 8 2 6" xfId="946" xr:uid="{00000000-0005-0000-0000-00001F1D0000}"/>
    <cellStyle name="Normal 8 2 6 2" xfId="3180" xr:uid="{00000000-0005-0000-0000-0000201D0000}"/>
    <cellStyle name="Normal 8 2 6 2 2" xfId="7403" xr:uid="{00000000-0005-0000-0000-0000211D0000}"/>
    <cellStyle name="Normal 8 2 6 2 2 2" xfId="15845" xr:uid="{163E5249-B6A0-4A11-80D8-10126D5BB108}"/>
    <cellStyle name="Normal 8 2 6 2 3" xfId="11627" xr:uid="{67F950B1-8197-4C22-8F28-0E46A6100578}"/>
    <cellStyle name="Normal 8 2 6 3" xfId="5258" xr:uid="{00000000-0005-0000-0000-0000221D0000}"/>
    <cellStyle name="Normal 8 2 6 3 2" xfId="13700" xr:uid="{79683795-7780-42E2-8059-9F5BA94E7077}"/>
    <cellStyle name="Normal 8 2 6 4" xfId="9482" xr:uid="{8A0E5B52-0737-4EA0-9647-037CC2E59E4D}"/>
    <cellStyle name="Normal 8 2 7" xfId="1363" xr:uid="{00000000-0005-0000-0000-0000231D0000}"/>
    <cellStyle name="Normal 8 2 7 2" xfId="3593" xr:uid="{00000000-0005-0000-0000-0000241D0000}"/>
    <cellStyle name="Normal 8 2 7 2 2" xfId="7816" xr:uid="{00000000-0005-0000-0000-0000251D0000}"/>
    <cellStyle name="Normal 8 2 7 2 2 2" xfId="16258" xr:uid="{CE1C1495-2AFA-478D-98B2-F8084DC9DC16}"/>
    <cellStyle name="Normal 8 2 7 2 3" xfId="12040" xr:uid="{F2019E05-CA36-406F-8FFA-E8BFC95F2D22}"/>
    <cellStyle name="Normal 8 2 7 3" xfId="5671" xr:uid="{00000000-0005-0000-0000-0000261D0000}"/>
    <cellStyle name="Normal 8 2 7 3 2" xfId="14113" xr:uid="{9957C8CC-1330-4528-BD4A-FC903126AFD7}"/>
    <cellStyle name="Normal 8 2 7 4" xfId="9895" xr:uid="{798FBED7-ACAA-4A61-B106-99ECD5E37EA1}"/>
    <cellStyle name="Normal 8 2 8" xfId="1776" xr:uid="{00000000-0005-0000-0000-0000271D0000}"/>
    <cellStyle name="Normal 8 2 8 2" xfId="4006" xr:uid="{00000000-0005-0000-0000-0000281D0000}"/>
    <cellStyle name="Normal 8 2 8 2 2" xfId="8229" xr:uid="{00000000-0005-0000-0000-0000291D0000}"/>
    <cellStyle name="Normal 8 2 8 2 2 2" xfId="16671" xr:uid="{29E79892-4662-46E3-8A4D-301A637C9905}"/>
    <cellStyle name="Normal 8 2 8 2 3" xfId="12453" xr:uid="{D7CECDF9-6430-4318-B03C-F44AAB93C9A8}"/>
    <cellStyle name="Normal 8 2 8 3" xfId="6084" xr:uid="{00000000-0005-0000-0000-00002A1D0000}"/>
    <cellStyle name="Normal 8 2 8 3 2" xfId="14526" xr:uid="{4A7152DA-30F0-4DE1-B082-98042FE40ADE}"/>
    <cellStyle name="Normal 8 2 8 4" xfId="10308" xr:uid="{69D5B366-609F-4D8E-8D69-02F0A1E31939}"/>
    <cellStyle name="Normal 8 2 9" xfId="2190" xr:uid="{00000000-0005-0000-0000-00002B1D0000}"/>
    <cellStyle name="Normal 8 2 9 2" xfId="4419" xr:uid="{00000000-0005-0000-0000-00002C1D0000}"/>
    <cellStyle name="Normal 8 2 9 2 2" xfId="8642" xr:uid="{00000000-0005-0000-0000-00002D1D0000}"/>
    <cellStyle name="Normal 8 2 9 2 2 2" xfId="17084" xr:uid="{DBA3716A-3059-403D-824D-5CFD3E9ABCE0}"/>
    <cellStyle name="Normal 8 2 9 2 3" xfId="12866" xr:uid="{3D5D6AA0-6539-4BFA-9DBD-61FECB5A6494}"/>
    <cellStyle name="Normal 8 2 9 3" xfId="6497" xr:uid="{00000000-0005-0000-0000-00002E1D0000}"/>
    <cellStyle name="Normal 8 2 9 3 2" xfId="14939" xr:uid="{DEFD4EDB-AD51-40F8-8A30-4ADDBBABBDFB}"/>
    <cellStyle name="Normal 8 2 9 4" xfId="10721" xr:uid="{B2CF6DD0-01F9-4DA5-850A-D5516BED052F}"/>
    <cellStyle name="Normal 8 3" xfId="495" xr:uid="{00000000-0005-0000-0000-00002F1D0000}"/>
    <cellStyle name="Normal 8 3 10" xfId="4861" xr:uid="{00000000-0005-0000-0000-0000301D0000}"/>
    <cellStyle name="Normal 8 3 10 2" xfId="13303" xr:uid="{B5F36CA8-DF61-4F46-9AFA-B250ED5F2E4E}"/>
    <cellStyle name="Normal 8 3 11" xfId="9085" xr:uid="{9A8A9D4D-2684-4322-A04C-9171E1D46A38}"/>
    <cellStyle name="Normal 8 3 2" xfId="496" xr:uid="{00000000-0005-0000-0000-0000311D0000}"/>
    <cellStyle name="Normal 8 3 2 10" xfId="9086" xr:uid="{CC92C939-4314-46A8-A76B-42B08AC0081F}"/>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2 2 2" xfId="15864" xr:uid="{7F0D547F-73D8-4004-B052-2C3F678BD8BB}"/>
    <cellStyle name="Normal 8 3 2 2 2 2 2 3" xfId="11646" xr:uid="{CE084FCA-724F-4187-A96C-2423F5C0773C}"/>
    <cellStyle name="Normal 8 3 2 2 2 2 3" xfId="5277" xr:uid="{00000000-0005-0000-0000-0000371D0000}"/>
    <cellStyle name="Normal 8 3 2 2 2 2 3 2" xfId="13719" xr:uid="{68EF3574-6F5F-4371-99BF-C8F98DF9295C}"/>
    <cellStyle name="Normal 8 3 2 2 2 2 4" xfId="9501" xr:uid="{0F34ED86-9795-4168-BF1A-EE8B01778E4D}"/>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2 2 2" xfId="16277" xr:uid="{7C855536-E5B1-46A5-8E9E-C6DF7ADF76C7}"/>
    <cellStyle name="Normal 8 3 2 2 2 3 2 3" xfId="12059" xr:uid="{6371DD73-D551-4EA0-BED4-015B30CA1B2B}"/>
    <cellStyle name="Normal 8 3 2 2 2 3 3" xfId="5690" xr:uid="{00000000-0005-0000-0000-00003B1D0000}"/>
    <cellStyle name="Normal 8 3 2 2 2 3 3 2" xfId="14132" xr:uid="{54878279-B25C-42DA-B28B-EB9A2AFC9A01}"/>
    <cellStyle name="Normal 8 3 2 2 2 3 4" xfId="9914" xr:uid="{21221191-5732-469A-BC15-7C6EB213C0A4}"/>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2 2 2" xfId="16690" xr:uid="{21E9E75B-A68B-4F09-8C38-87739225DBBF}"/>
    <cellStyle name="Normal 8 3 2 2 2 4 2 3" xfId="12472" xr:uid="{97B60B8E-31A5-43DD-965E-D52370462F85}"/>
    <cellStyle name="Normal 8 3 2 2 2 4 3" xfId="6103" xr:uid="{00000000-0005-0000-0000-00003F1D0000}"/>
    <cellStyle name="Normal 8 3 2 2 2 4 3 2" xfId="14545" xr:uid="{143D6EAF-0589-4F02-8F52-299CE0255FB9}"/>
    <cellStyle name="Normal 8 3 2 2 2 4 4" xfId="10327" xr:uid="{7E8B2034-3661-4C89-A530-9CC38F679615}"/>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2 2 2" xfId="17103" xr:uid="{991ABDB9-D076-46EB-8726-A22A113B7A2C}"/>
    <cellStyle name="Normal 8 3 2 2 2 5 2 3" xfId="12885" xr:uid="{5CDE38FC-616B-4908-A180-14BBCA911F73}"/>
    <cellStyle name="Normal 8 3 2 2 2 5 3" xfId="6516" xr:uid="{00000000-0005-0000-0000-0000431D0000}"/>
    <cellStyle name="Normal 8 3 2 2 2 5 3 2" xfId="14958" xr:uid="{703F0875-68DA-4712-A58F-9884FB9FFB31}"/>
    <cellStyle name="Normal 8 3 2 2 2 5 4" xfId="10740" xr:uid="{E511749D-C87F-4918-B5E4-B074771DC548}"/>
    <cellStyle name="Normal 8 3 2 2 2 6" xfId="2645" xr:uid="{00000000-0005-0000-0000-0000441D0000}"/>
    <cellStyle name="Normal 8 3 2 2 2 6 2" xfId="6929" xr:uid="{00000000-0005-0000-0000-0000451D0000}"/>
    <cellStyle name="Normal 8 3 2 2 2 6 2 2" xfId="15371" xr:uid="{8777580B-A40B-4399-9FFB-6D9CF99E2F54}"/>
    <cellStyle name="Normal 8 3 2 2 2 6 3" xfId="11153" xr:uid="{1A5E74EC-6387-45CF-8C52-A8D6C4C18631}"/>
    <cellStyle name="Normal 8 3 2 2 2 7" xfId="4864" xr:uid="{00000000-0005-0000-0000-0000461D0000}"/>
    <cellStyle name="Normal 8 3 2 2 2 7 2" xfId="13306" xr:uid="{C1F9064C-7EEE-40D3-9DB2-7F53A9AF6D84}"/>
    <cellStyle name="Normal 8 3 2 2 2 8" xfId="9088" xr:uid="{9E5F9325-E54E-4CAB-A3B8-B2110336F92A}"/>
    <cellStyle name="Normal 8 3 2 2 3" xfId="964" xr:uid="{00000000-0005-0000-0000-0000471D0000}"/>
    <cellStyle name="Normal 8 3 2 2 3 2" xfId="3198" xr:uid="{00000000-0005-0000-0000-0000481D0000}"/>
    <cellStyle name="Normal 8 3 2 2 3 2 2" xfId="7421" xr:uid="{00000000-0005-0000-0000-0000491D0000}"/>
    <cellStyle name="Normal 8 3 2 2 3 2 2 2" xfId="15863" xr:uid="{0C0C0E15-4D77-43CC-A855-0D0283511013}"/>
    <cellStyle name="Normal 8 3 2 2 3 2 3" xfId="11645" xr:uid="{99DEE46C-2E9C-4A88-83F3-66B9B39D6D83}"/>
    <cellStyle name="Normal 8 3 2 2 3 3" xfId="5276" xr:uid="{00000000-0005-0000-0000-00004A1D0000}"/>
    <cellStyle name="Normal 8 3 2 2 3 3 2" xfId="13718" xr:uid="{F778C600-AC91-4002-9305-50A177BFC937}"/>
    <cellStyle name="Normal 8 3 2 2 3 4" xfId="9500" xr:uid="{055AE643-2F94-407C-BE83-DE70D4400D1E}"/>
    <cellStyle name="Normal 8 3 2 2 4" xfId="1381" xr:uid="{00000000-0005-0000-0000-00004B1D0000}"/>
    <cellStyle name="Normal 8 3 2 2 4 2" xfId="3611" xr:uid="{00000000-0005-0000-0000-00004C1D0000}"/>
    <cellStyle name="Normal 8 3 2 2 4 2 2" xfId="7834" xr:uid="{00000000-0005-0000-0000-00004D1D0000}"/>
    <cellStyle name="Normal 8 3 2 2 4 2 2 2" xfId="16276" xr:uid="{A11EE1CD-18C2-4D84-B89B-13FD28A99D15}"/>
    <cellStyle name="Normal 8 3 2 2 4 2 3" xfId="12058" xr:uid="{84C45B96-5ABC-49E7-9B1B-610FD2CB6681}"/>
    <cellStyle name="Normal 8 3 2 2 4 3" xfId="5689" xr:uid="{00000000-0005-0000-0000-00004E1D0000}"/>
    <cellStyle name="Normal 8 3 2 2 4 3 2" xfId="14131" xr:uid="{27FC094A-B89D-4793-BCE6-D6B75F309B5F}"/>
    <cellStyle name="Normal 8 3 2 2 4 4" xfId="9913" xr:uid="{A0132590-0D36-4271-AEEE-14876866FDB1}"/>
    <cellStyle name="Normal 8 3 2 2 5" xfId="1794" xr:uid="{00000000-0005-0000-0000-00004F1D0000}"/>
    <cellStyle name="Normal 8 3 2 2 5 2" xfId="4024" xr:uid="{00000000-0005-0000-0000-0000501D0000}"/>
    <cellStyle name="Normal 8 3 2 2 5 2 2" xfId="8247" xr:uid="{00000000-0005-0000-0000-0000511D0000}"/>
    <cellStyle name="Normal 8 3 2 2 5 2 2 2" xfId="16689" xr:uid="{54C2C0ED-6ABB-41A0-A15A-51EA6560298F}"/>
    <cellStyle name="Normal 8 3 2 2 5 2 3" xfId="12471" xr:uid="{D135D7C4-C502-40AA-87C5-1E821A9EB479}"/>
    <cellStyle name="Normal 8 3 2 2 5 3" xfId="6102" xr:uid="{00000000-0005-0000-0000-0000521D0000}"/>
    <cellStyle name="Normal 8 3 2 2 5 3 2" xfId="14544" xr:uid="{FDDE670D-188D-4F7D-9935-E9F5CEBC3209}"/>
    <cellStyle name="Normal 8 3 2 2 5 4" xfId="10326" xr:uid="{A74B15C1-A8F3-44FC-A158-26E5813853CF}"/>
    <cellStyle name="Normal 8 3 2 2 6" xfId="2208" xr:uid="{00000000-0005-0000-0000-0000531D0000}"/>
    <cellStyle name="Normal 8 3 2 2 6 2" xfId="4437" xr:uid="{00000000-0005-0000-0000-0000541D0000}"/>
    <cellStyle name="Normal 8 3 2 2 6 2 2" xfId="8660" xr:uid="{00000000-0005-0000-0000-0000551D0000}"/>
    <cellStyle name="Normal 8 3 2 2 6 2 2 2" xfId="17102" xr:uid="{3843021B-C173-470E-BA9B-F85855544455}"/>
    <cellStyle name="Normal 8 3 2 2 6 2 3" xfId="12884" xr:uid="{20C58C37-DAF6-47B2-96DF-6A2E2C0A6A34}"/>
    <cellStyle name="Normal 8 3 2 2 6 3" xfId="6515" xr:uid="{00000000-0005-0000-0000-0000561D0000}"/>
    <cellStyle name="Normal 8 3 2 2 6 3 2" xfId="14957" xr:uid="{438D1727-5B78-40FF-A824-F0B9570EF93F}"/>
    <cellStyle name="Normal 8 3 2 2 6 4" xfId="10739" xr:uid="{550FF834-4B39-4B41-8B05-5552E7FFEB5C}"/>
    <cellStyle name="Normal 8 3 2 2 7" xfId="2644" xr:uid="{00000000-0005-0000-0000-0000571D0000}"/>
    <cellStyle name="Normal 8 3 2 2 7 2" xfId="6928" xr:uid="{00000000-0005-0000-0000-0000581D0000}"/>
    <cellStyle name="Normal 8 3 2 2 7 2 2" xfId="15370" xr:uid="{463AE693-FF87-4C44-A2EA-C92EE02C841C}"/>
    <cellStyle name="Normal 8 3 2 2 7 3" xfId="11152" xr:uid="{F57B9B64-66AD-46E2-8681-9632CD03EDA8}"/>
    <cellStyle name="Normal 8 3 2 2 8" xfId="4863" xr:uid="{00000000-0005-0000-0000-0000591D0000}"/>
    <cellStyle name="Normal 8 3 2 2 8 2" xfId="13305" xr:uid="{6A55585C-C312-4224-8DE1-DFAEAD5547B8}"/>
    <cellStyle name="Normal 8 3 2 2 9" xfId="9087" xr:uid="{8E212221-FA5C-421E-AA9D-685B5AE836BE}"/>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2 2 2" xfId="15865" xr:uid="{79B40C4F-CF78-4653-93FA-08DB84220D33}"/>
    <cellStyle name="Normal 8 3 2 3 2 2 3" xfId="11647" xr:uid="{5398B1F1-0DD5-4AB3-A77E-54C1D6466C1A}"/>
    <cellStyle name="Normal 8 3 2 3 2 3" xfId="5278" xr:uid="{00000000-0005-0000-0000-00005E1D0000}"/>
    <cellStyle name="Normal 8 3 2 3 2 3 2" xfId="13720" xr:uid="{C784A3A8-8D26-4A22-A6BD-C91AF19E319A}"/>
    <cellStyle name="Normal 8 3 2 3 2 4" xfId="9502" xr:uid="{7F358A36-7683-4850-8186-39AC0A2C3EF0}"/>
    <cellStyle name="Normal 8 3 2 3 3" xfId="1383" xr:uid="{00000000-0005-0000-0000-00005F1D0000}"/>
    <cellStyle name="Normal 8 3 2 3 3 2" xfId="3613" xr:uid="{00000000-0005-0000-0000-0000601D0000}"/>
    <cellStyle name="Normal 8 3 2 3 3 2 2" xfId="7836" xr:uid="{00000000-0005-0000-0000-0000611D0000}"/>
    <cellStyle name="Normal 8 3 2 3 3 2 2 2" xfId="16278" xr:uid="{7F2BEF48-6360-4993-944F-AF16E551A3A7}"/>
    <cellStyle name="Normal 8 3 2 3 3 2 3" xfId="12060" xr:uid="{3AAECBF7-E188-49BC-97A5-A49FA4ED974A}"/>
    <cellStyle name="Normal 8 3 2 3 3 3" xfId="5691" xr:uid="{00000000-0005-0000-0000-0000621D0000}"/>
    <cellStyle name="Normal 8 3 2 3 3 3 2" xfId="14133" xr:uid="{59575F25-5292-45DF-AB0E-ACBC897CB485}"/>
    <cellStyle name="Normal 8 3 2 3 3 4" xfId="9915" xr:uid="{20418978-1D53-46F4-B8B2-3DA97BCA82A0}"/>
    <cellStyle name="Normal 8 3 2 3 4" xfId="1796" xr:uid="{00000000-0005-0000-0000-0000631D0000}"/>
    <cellStyle name="Normal 8 3 2 3 4 2" xfId="4026" xr:uid="{00000000-0005-0000-0000-0000641D0000}"/>
    <cellStyle name="Normal 8 3 2 3 4 2 2" xfId="8249" xr:uid="{00000000-0005-0000-0000-0000651D0000}"/>
    <cellStyle name="Normal 8 3 2 3 4 2 2 2" xfId="16691" xr:uid="{D4359008-84B1-4BCA-BCF6-564B50B72039}"/>
    <cellStyle name="Normal 8 3 2 3 4 2 3" xfId="12473" xr:uid="{B0444FD4-0122-41C0-ABBB-A50C3DB04497}"/>
    <cellStyle name="Normal 8 3 2 3 4 3" xfId="6104" xr:uid="{00000000-0005-0000-0000-0000661D0000}"/>
    <cellStyle name="Normal 8 3 2 3 4 3 2" xfId="14546" xr:uid="{B824FB7E-F1C0-40BB-A5DF-738AB119616E}"/>
    <cellStyle name="Normal 8 3 2 3 4 4" xfId="10328" xr:uid="{A98C8DEB-1107-4117-893A-1179508CD55A}"/>
    <cellStyle name="Normal 8 3 2 3 5" xfId="2210" xr:uid="{00000000-0005-0000-0000-0000671D0000}"/>
    <cellStyle name="Normal 8 3 2 3 5 2" xfId="4439" xr:uid="{00000000-0005-0000-0000-0000681D0000}"/>
    <cellStyle name="Normal 8 3 2 3 5 2 2" xfId="8662" xr:uid="{00000000-0005-0000-0000-0000691D0000}"/>
    <cellStyle name="Normal 8 3 2 3 5 2 2 2" xfId="17104" xr:uid="{6D5D1E78-7EC6-4B66-8F8F-A0A2E7A2293D}"/>
    <cellStyle name="Normal 8 3 2 3 5 2 3" xfId="12886" xr:uid="{EECC0E9E-C847-41AD-81E5-777D9444E3FF}"/>
    <cellStyle name="Normal 8 3 2 3 5 3" xfId="6517" xr:uid="{00000000-0005-0000-0000-00006A1D0000}"/>
    <cellStyle name="Normal 8 3 2 3 5 3 2" xfId="14959" xr:uid="{65FE421C-FCFF-4574-8A7D-AFDE5DCB54A0}"/>
    <cellStyle name="Normal 8 3 2 3 5 4" xfId="10741" xr:uid="{BB549C6A-3341-4483-932F-72FB03070C3D}"/>
    <cellStyle name="Normal 8 3 2 3 6" xfId="2646" xr:uid="{00000000-0005-0000-0000-00006B1D0000}"/>
    <cellStyle name="Normal 8 3 2 3 6 2" xfId="6930" xr:uid="{00000000-0005-0000-0000-00006C1D0000}"/>
    <cellStyle name="Normal 8 3 2 3 6 2 2" xfId="15372" xr:uid="{BB60BE45-0F24-455B-A998-343EC325C0CE}"/>
    <cellStyle name="Normal 8 3 2 3 6 3" xfId="11154" xr:uid="{16E7EAA0-27A9-42EE-B038-0545529DD19E}"/>
    <cellStyle name="Normal 8 3 2 3 7" xfId="4865" xr:uid="{00000000-0005-0000-0000-00006D1D0000}"/>
    <cellStyle name="Normal 8 3 2 3 7 2" xfId="13307" xr:uid="{4A0FAF62-4AD9-46A0-987C-A0A6AB58A074}"/>
    <cellStyle name="Normal 8 3 2 3 8" xfId="9089" xr:uid="{6F8158B1-67DA-48B1-A3F9-C038F63DFBFF}"/>
    <cellStyle name="Normal 8 3 2 4" xfId="963" xr:uid="{00000000-0005-0000-0000-00006E1D0000}"/>
    <cellStyle name="Normal 8 3 2 4 2" xfId="3197" xr:uid="{00000000-0005-0000-0000-00006F1D0000}"/>
    <cellStyle name="Normal 8 3 2 4 2 2" xfId="7420" xr:uid="{00000000-0005-0000-0000-0000701D0000}"/>
    <cellStyle name="Normal 8 3 2 4 2 2 2" xfId="15862" xr:uid="{1B0506F0-916D-4EDB-8579-75BBB1849458}"/>
    <cellStyle name="Normal 8 3 2 4 2 3" xfId="11644" xr:uid="{8E0AEB89-2C77-4F31-8739-0B15070BECD5}"/>
    <cellStyle name="Normal 8 3 2 4 3" xfId="5275" xr:uid="{00000000-0005-0000-0000-0000711D0000}"/>
    <cellStyle name="Normal 8 3 2 4 3 2" xfId="13717" xr:uid="{8E696CC1-8A7F-47F3-B650-D75B17CF2C40}"/>
    <cellStyle name="Normal 8 3 2 4 4" xfId="9499" xr:uid="{DE6339ED-F62A-49F6-A2FD-676F3A0BB46C}"/>
    <cellStyle name="Normal 8 3 2 5" xfId="1380" xr:uid="{00000000-0005-0000-0000-0000721D0000}"/>
    <cellStyle name="Normal 8 3 2 5 2" xfId="3610" xr:uid="{00000000-0005-0000-0000-0000731D0000}"/>
    <cellStyle name="Normal 8 3 2 5 2 2" xfId="7833" xr:uid="{00000000-0005-0000-0000-0000741D0000}"/>
    <cellStyle name="Normal 8 3 2 5 2 2 2" xfId="16275" xr:uid="{E1CB364D-214C-467B-9970-211180C8DFCE}"/>
    <cellStyle name="Normal 8 3 2 5 2 3" xfId="12057" xr:uid="{5D291C02-14F4-4B4A-AB0C-550F4A2B25BA}"/>
    <cellStyle name="Normal 8 3 2 5 3" xfId="5688" xr:uid="{00000000-0005-0000-0000-0000751D0000}"/>
    <cellStyle name="Normal 8 3 2 5 3 2" xfId="14130" xr:uid="{BEC36B4B-51EF-42F3-B7EA-FF75FE0E5E14}"/>
    <cellStyle name="Normal 8 3 2 5 4" xfId="9912" xr:uid="{F9232011-D9FF-438A-BD9E-4A8B4684EA91}"/>
    <cellStyle name="Normal 8 3 2 6" xfId="1793" xr:uid="{00000000-0005-0000-0000-0000761D0000}"/>
    <cellStyle name="Normal 8 3 2 6 2" xfId="4023" xr:uid="{00000000-0005-0000-0000-0000771D0000}"/>
    <cellStyle name="Normal 8 3 2 6 2 2" xfId="8246" xr:uid="{00000000-0005-0000-0000-0000781D0000}"/>
    <cellStyle name="Normal 8 3 2 6 2 2 2" xfId="16688" xr:uid="{E26CC082-4B87-43C7-BF84-3C308365CEE3}"/>
    <cellStyle name="Normal 8 3 2 6 2 3" xfId="12470" xr:uid="{79D5E087-A1BE-4F61-A04A-EFE0171B5A53}"/>
    <cellStyle name="Normal 8 3 2 6 3" xfId="6101" xr:uid="{00000000-0005-0000-0000-0000791D0000}"/>
    <cellStyle name="Normal 8 3 2 6 3 2" xfId="14543" xr:uid="{593354A8-B51A-43B2-AC3B-40C7A8B24DC2}"/>
    <cellStyle name="Normal 8 3 2 6 4" xfId="10325" xr:uid="{B5523A8E-1C8A-4FEC-BC13-32FFCE03E004}"/>
    <cellStyle name="Normal 8 3 2 7" xfId="2207" xr:uid="{00000000-0005-0000-0000-00007A1D0000}"/>
    <cellStyle name="Normal 8 3 2 7 2" xfId="4436" xr:uid="{00000000-0005-0000-0000-00007B1D0000}"/>
    <cellStyle name="Normal 8 3 2 7 2 2" xfId="8659" xr:uid="{00000000-0005-0000-0000-00007C1D0000}"/>
    <cellStyle name="Normal 8 3 2 7 2 2 2" xfId="17101" xr:uid="{06D106BD-CF57-47E3-BA06-ED4F7A037506}"/>
    <cellStyle name="Normal 8 3 2 7 2 3" xfId="12883" xr:uid="{77F70E2E-8BB5-4B47-A816-DC5FCE563499}"/>
    <cellStyle name="Normal 8 3 2 7 3" xfId="6514" xr:uid="{00000000-0005-0000-0000-00007D1D0000}"/>
    <cellStyle name="Normal 8 3 2 7 3 2" xfId="14956" xr:uid="{DA7C040B-DCC9-4EC2-86E2-800153FA5B99}"/>
    <cellStyle name="Normal 8 3 2 7 4" xfId="10738" xr:uid="{7940D464-6BF0-4F37-8580-1C43E575FFD1}"/>
    <cellStyle name="Normal 8 3 2 8" xfId="2643" xr:uid="{00000000-0005-0000-0000-00007E1D0000}"/>
    <cellStyle name="Normal 8 3 2 8 2" xfId="6927" xr:uid="{00000000-0005-0000-0000-00007F1D0000}"/>
    <cellStyle name="Normal 8 3 2 8 2 2" xfId="15369" xr:uid="{98B39540-3FE5-4428-9D8A-C2129DC45FF9}"/>
    <cellStyle name="Normal 8 3 2 8 3" xfId="11151" xr:uid="{1AAD3A3F-8B93-47DF-A78C-69E1FAD9B1B0}"/>
    <cellStyle name="Normal 8 3 2 9" xfId="4862" xr:uid="{00000000-0005-0000-0000-0000801D0000}"/>
    <cellStyle name="Normal 8 3 2 9 2" xfId="13304" xr:uid="{35CCA7AE-A8B4-4BDC-B94D-BAA0CA62A992}"/>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2 2 2" xfId="15867" xr:uid="{B6497D6E-8203-4ACD-9765-D282F2DE4C99}"/>
    <cellStyle name="Normal 8 3 3 2 2 2 3" xfId="11649" xr:uid="{95DCC523-F56D-46E2-98C5-9B8566DD7FF9}"/>
    <cellStyle name="Normal 8 3 3 2 2 3" xfId="5280" xr:uid="{00000000-0005-0000-0000-0000861D0000}"/>
    <cellStyle name="Normal 8 3 3 2 2 3 2" xfId="13722" xr:uid="{9F4CAFCF-09DB-4F2E-A54A-68DBAE5FBC9F}"/>
    <cellStyle name="Normal 8 3 3 2 2 4" xfId="9504" xr:uid="{21DC1CE7-DD9D-4831-90FB-6FC1FDF97340}"/>
    <cellStyle name="Normal 8 3 3 2 3" xfId="1385" xr:uid="{00000000-0005-0000-0000-0000871D0000}"/>
    <cellStyle name="Normal 8 3 3 2 3 2" xfId="3615" xr:uid="{00000000-0005-0000-0000-0000881D0000}"/>
    <cellStyle name="Normal 8 3 3 2 3 2 2" xfId="7838" xr:uid="{00000000-0005-0000-0000-0000891D0000}"/>
    <cellStyle name="Normal 8 3 3 2 3 2 2 2" xfId="16280" xr:uid="{FB8F1C93-2B74-4083-821D-141FA67CE4FC}"/>
    <cellStyle name="Normal 8 3 3 2 3 2 3" xfId="12062" xr:uid="{589830B9-CBD4-4494-80CC-76CC75FE9632}"/>
    <cellStyle name="Normal 8 3 3 2 3 3" xfId="5693" xr:uid="{00000000-0005-0000-0000-00008A1D0000}"/>
    <cellStyle name="Normal 8 3 3 2 3 3 2" xfId="14135" xr:uid="{C2AE30B2-F416-4091-808F-87B5F95B14C1}"/>
    <cellStyle name="Normal 8 3 3 2 3 4" xfId="9917" xr:uid="{F8511645-BD2E-42A7-8A7E-6BFC35A6FFFE}"/>
    <cellStyle name="Normal 8 3 3 2 4" xfId="1798" xr:uid="{00000000-0005-0000-0000-00008B1D0000}"/>
    <cellStyle name="Normal 8 3 3 2 4 2" xfId="4028" xr:uid="{00000000-0005-0000-0000-00008C1D0000}"/>
    <cellStyle name="Normal 8 3 3 2 4 2 2" xfId="8251" xr:uid="{00000000-0005-0000-0000-00008D1D0000}"/>
    <cellStyle name="Normal 8 3 3 2 4 2 2 2" xfId="16693" xr:uid="{CEFE0F06-D835-434D-9722-3F59F45CAE97}"/>
    <cellStyle name="Normal 8 3 3 2 4 2 3" xfId="12475" xr:uid="{BE83E960-8675-435A-9CCB-3EE169592FB8}"/>
    <cellStyle name="Normal 8 3 3 2 4 3" xfId="6106" xr:uid="{00000000-0005-0000-0000-00008E1D0000}"/>
    <cellStyle name="Normal 8 3 3 2 4 3 2" xfId="14548" xr:uid="{E638DA88-24CA-42D8-8BB2-3C41013120B0}"/>
    <cellStyle name="Normal 8 3 3 2 4 4" xfId="10330" xr:uid="{7FBF27A2-8208-4695-B76E-8360FBD6100F}"/>
    <cellStyle name="Normal 8 3 3 2 5" xfId="2212" xr:uid="{00000000-0005-0000-0000-00008F1D0000}"/>
    <cellStyle name="Normal 8 3 3 2 5 2" xfId="4441" xr:uid="{00000000-0005-0000-0000-0000901D0000}"/>
    <cellStyle name="Normal 8 3 3 2 5 2 2" xfId="8664" xr:uid="{00000000-0005-0000-0000-0000911D0000}"/>
    <cellStyle name="Normal 8 3 3 2 5 2 2 2" xfId="17106" xr:uid="{181BA26A-5FB6-47E7-B159-921CB8D0D8E9}"/>
    <cellStyle name="Normal 8 3 3 2 5 2 3" xfId="12888" xr:uid="{803709A4-7555-4FED-9ECA-2B630F06CE6E}"/>
    <cellStyle name="Normal 8 3 3 2 5 3" xfId="6519" xr:uid="{00000000-0005-0000-0000-0000921D0000}"/>
    <cellStyle name="Normal 8 3 3 2 5 3 2" xfId="14961" xr:uid="{2555ABBD-D564-4056-AAAE-AE8DA0ED978C}"/>
    <cellStyle name="Normal 8 3 3 2 5 4" xfId="10743" xr:uid="{C5E2E6DD-F93F-4764-8296-E4855970D1C5}"/>
    <cellStyle name="Normal 8 3 3 2 6" xfId="2648" xr:uid="{00000000-0005-0000-0000-0000931D0000}"/>
    <cellStyle name="Normal 8 3 3 2 6 2" xfId="6932" xr:uid="{00000000-0005-0000-0000-0000941D0000}"/>
    <cellStyle name="Normal 8 3 3 2 6 2 2" xfId="15374" xr:uid="{6D9F90EB-8DF5-46DC-A5E0-37108733BEA6}"/>
    <cellStyle name="Normal 8 3 3 2 6 3" xfId="11156" xr:uid="{005382DE-481B-4BC6-80B4-71CA22434DF6}"/>
    <cellStyle name="Normal 8 3 3 2 7" xfId="4867" xr:uid="{00000000-0005-0000-0000-0000951D0000}"/>
    <cellStyle name="Normal 8 3 3 2 7 2" xfId="13309" xr:uid="{CB780651-8449-4F60-92F6-E0BC2E88B97E}"/>
    <cellStyle name="Normal 8 3 3 2 8" xfId="9091" xr:uid="{57F85E3A-92FA-45CA-954F-ECF33E44D783}"/>
    <cellStyle name="Normal 8 3 3 3" xfId="967" xr:uid="{00000000-0005-0000-0000-0000961D0000}"/>
    <cellStyle name="Normal 8 3 3 3 2" xfId="3201" xr:uid="{00000000-0005-0000-0000-0000971D0000}"/>
    <cellStyle name="Normal 8 3 3 3 2 2" xfId="7424" xr:uid="{00000000-0005-0000-0000-0000981D0000}"/>
    <cellStyle name="Normal 8 3 3 3 2 2 2" xfId="15866" xr:uid="{F5E1EE97-6A99-4997-8250-DC12E4F18F40}"/>
    <cellStyle name="Normal 8 3 3 3 2 3" xfId="11648" xr:uid="{D11AF4AD-6533-4EB6-94EE-AB4C402F37A1}"/>
    <cellStyle name="Normal 8 3 3 3 3" xfId="5279" xr:uid="{00000000-0005-0000-0000-0000991D0000}"/>
    <cellStyle name="Normal 8 3 3 3 3 2" xfId="13721" xr:uid="{9E37136B-A071-4BC8-B868-9A26BA34B835}"/>
    <cellStyle name="Normal 8 3 3 3 4" xfId="9503" xr:uid="{88D78FBA-582F-493F-BE04-C1BE82943016}"/>
    <cellStyle name="Normal 8 3 3 4" xfId="1384" xr:uid="{00000000-0005-0000-0000-00009A1D0000}"/>
    <cellStyle name="Normal 8 3 3 4 2" xfId="3614" xr:uid="{00000000-0005-0000-0000-00009B1D0000}"/>
    <cellStyle name="Normal 8 3 3 4 2 2" xfId="7837" xr:uid="{00000000-0005-0000-0000-00009C1D0000}"/>
    <cellStyle name="Normal 8 3 3 4 2 2 2" xfId="16279" xr:uid="{6C6844A4-712D-4935-B7BE-91693B3F687D}"/>
    <cellStyle name="Normal 8 3 3 4 2 3" xfId="12061" xr:uid="{E66B1BAB-8ABD-43FF-85ED-5CA6D5E47A3E}"/>
    <cellStyle name="Normal 8 3 3 4 3" xfId="5692" xr:uid="{00000000-0005-0000-0000-00009D1D0000}"/>
    <cellStyle name="Normal 8 3 3 4 3 2" xfId="14134" xr:uid="{7995DF5D-C39D-4374-A916-843ADE40237E}"/>
    <cellStyle name="Normal 8 3 3 4 4" xfId="9916" xr:uid="{BC7ED77F-0FAD-4F47-BB5B-8605BA50217E}"/>
    <cellStyle name="Normal 8 3 3 5" xfId="1797" xr:uid="{00000000-0005-0000-0000-00009E1D0000}"/>
    <cellStyle name="Normal 8 3 3 5 2" xfId="4027" xr:uid="{00000000-0005-0000-0000-00009F1D0000}"/>
    <cellStyle name="Normal 8 3 3 5 2 2" xfId="8250" xr:uid="{00000000-0005-0000-0000-0000A01D0000}"/>
    <cellStyle name="Normal 8 3 3 5 2 2 2" xfId="16692" xr:uid="{9D656B69-2D68-4081-AF7F-EB6004E6AB21}"/>
    <cellStyle name="Normal 8 3 3 5 2 3" xfId="12474" xr:uid="{32A8C8A1-F8FD-499D-ACB6-DB6C35538B05}"/>
    <cellStyle name="Normal 8 3 3 5 3" xfId="6105" xr:uid="{00000000-0005-0000-0000-0000A11D0000}"/>
    <cellStyle name="Normal 8 3 3 5 3 2" xfId="14547" xr:uid="{A940991A-61A9-4E4C-89BC-3153D70E332A}"/>
    <cellStyle name="Normal 8 3 3 5 4" xfId="10329" xr:uid="{B69BD663-AADD-47B5-9D7A-8FCB21E8F0AC}"/>
    <cellStyle name="Normal 8 3 3 6" xfId="2211" xr:uid="{00000000-0005-0000-0000-0000A21D0000}"/>
    <cellStyle name="Normal 8 3 3 6 2" xfId="4440" xr:uid="{00000000-0005-0000-0000-0000A31D0000}"/>
    <cellStyle name="Normal 8 3 3 6 2 2" xfId="8663" xr:uid="{00000000-0005-0000-0000-0000A41D0000}"/>
    <cellStyle name="Normal 8 3 3 6 2 2 2" xfId="17105" xr:uid="{51400A65-5BB5-442A-9F4A-438D701D298D}"/>
    <cellStyle name="Normal 8 3 3 6 2 3" xfId="12887" xr:uid="{7B457A51-3140-4E51-B071-DD06557F0335}"/>
    <cellStyle name="Normal 8 3 3 6 3" xfId="6518" xr:uid="{00000000-0005-0000-0000-0000A51D0000}"/>
    <cellStyle name="Normal 8 3 3 6 3 2" xfId="14960" xr:uid="{60BD4B9A-95E4-4040-BBB1-A1DC7D7BB633}"/>
    <cellStyle name="Normal 8 3 3 6 4" xfId="10742" xr:uid="{9A0605AC-0FF9-42EF-9C98-54601C38C653}"/>
    <cellStyle name="Normal 8 3 3 7" xfId="2647" xr:uid="{00000000-0005-0000-0000-0000A61D0000}"/>
    <cellStyle name="Normal 8 3 3 7 2" xfId="6931" xr:uid="{00000000-0005-0000-0000-0000A71D0000}"/>
    <cellStyle name="Normal 8 3 3 7 2 2" xfId="15373" xr:uid="{0E30597E-5C92-4158-9981-087448D22A3E}"/>
    <cellStyle name="Normal 8 3 3 7 3" xfId="11155" xr:uid="{61BD223F-0390-4EC9-ADD4-4B6F6987754B}"/>
    <cellStyle name="Normal 8 3 3 8" xfId="4866" xr:uid="{00000000-0005-0000-0000-0000A81D0000}"/>
    <cellStyle name="Normal 8 3 3 8 2" xfId="13308" xr:uid="{EF88C0D6-3F95-48CF-963A-A7282C840BA0}"/>
    <cellStyle name="Normal 8 3 3 9" xfId="9090" xr:uid="{26B5D754-0D04-4914-BA6F-5A8BB9F856BE}"/>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2 2 2" xfId="15868" xr:uid="{FE797E0B-809E-41C0-B7E4-55B86CBE71B6}"/>
    <cellStyle name="Normal 8 3 4 2 2 3" xfId="11650" xr:uid="{4AE94EC2-B2D7-49ED-BF31-07E2AD380B7A}"/>
    <cellStyle name="Normal 8 3 4 2 3" xfId="5281" xr:uid="{00000000-0005-0000-0000-0000AD1D0000}"/>
    <cellStyle name="Normal 8 3 4 2 3 2" xfId="13723" xr:uid="{12D95F59-F700-4544-89E2-E8DE90AC5573}"/>
    <cellStyle name="Normal 8 3 4 2 4" xfId="9505" xr:uid="{BB8763C0-EE4A-4B94-B0A0-DA741144138D}"/>
    <cellStyle name="Normal 8 3 4 3" xfId="1386" xr:uid="{00000000-0005-0000-0000-0000AE1D0000}"/>
    <cellStyle name="Normal 8 3 4 3 2" xfId="3616" xr:uid="{00000000-0005-0000-0000-0000AF1D0000}"/>
    <cellStyle name="Normal 8 3 4 3 2 2" xfId="7839" xr:uid="{00000000-0005-0000-0000-0000B01D0000}"/>
    <cellStyle name="Normal 8 3 4 3 2 2 2" xfId="16281" xr:uid="{0654A3A1-F6FF-4BD3-9DB5-7390498DCB48}"/>
    <cellStyle name="Normal 8 3 4 3 2 3" xfId="12063" xr:uid="{58A0F6AF-4CBF-48A3-AC17-D8F1AC2C94EE}"/>
    <cellStyle name="Normal 8 3 4 3 3" xfId="5694" xr:uid="{00000000-0005-0000-0000-0000B11D0000}"/>
    <cellStyle name="Normal 8 3 4 3 3 2" xfId="14136" xr:uid="{8375FCBF-EAED-4941-BB99-A91B435899D8}"/>
    <cellStyle name="Normal 8 3 4 3 4" xfId="9918" xr:uid="{10BF37AB-BFBC-4149-86DD-C9EFA9E60803}"/>
    <cellStyle name="Normal 8 3 4 4" xfId="1799" xr:uid="{00000000-0005-0000-0000-0000B21D0000}"/>
    <cellStyle name="Normal 8 3 4 4 2" xfId="4029" xr:uid="{00000000-0005-0000-0000-0000B31D0000}"/>
    <cellStyle name="Normal 8 3 4 4 2 2" xfId="8252" xr:uid="{00000000-0005-0000-0000-0000B41D0000}"/>
    <cellStyle name="Normal 8 3 4 4 2 2 2" xfId="16694" xr:uid="{A4E8E775-CAB4-4B5A-B72D-B433FA07B241}"/>
    <cellStyle name="Normal 8 3 4 4 2 3" xfId="12476" xr:uid="{5303DD82-5436-4295-A003-B7BAC7A9356C}"/>
    <cellStyle name="Normal 8 3 4 4 3" xfId="6107" xr:uid="{00000000-0005-0000-0000-0000B51D0000}"/>
    <cellStyle name="Normal 8 3 4 4 3 2" xfId="14549" xr:uid="{9288ABB3-BD65-4BBE-AC18-A759F9D7C99A}"/>
    <cellStyle name="Normal 8 3 4 4 4" xfId="10331" xr:uid="{83C8569D-6D4E-452F-A719-7C5AB3C8280B}"/>
    <cellStyle name="Normal 8 3 4 5" xfId="2213" xr:uid="{00000000-0005-0000-0000-0000B61D0000}"/>
    <cellStyle name="Normal 8 3 4 5 2" xfId="4442" xr:uid="{00000000-0005-0000-0000-0000B71D0000}"/>
    <cellStyle name="Normal 8 3 4 5 2 2" xfId="8665" xr:uid="{00000000-0005-0000-0000-0000B81D0000}"/>
    <cellStyle name="Normal 8 3 4 5 2 2 2" xfId="17107" xr:uid="{C5D44032-5C8D-4039-992B-8DDA5D1DDCB0}"/>
    <cellStyle name="Normal 8 3 4 5 2 3" xfId="12889" xr:uid="{FD3FB3EF-3D28-4B79-ACF3-34F166A50250}"/>
    <cellStyle name="Normal 8 3 4 5 3" xfId="6520" xr:uid="{00000000-0005-0000-0000-0000B91D0000}"/>
    <cellStyle name="Normal 8 3 4 5 3 2" xfId="14962" xr:uid="{A857BBF3-1C2B-481E-A556-3E8E451FCF10}"/>
    <cellStyle name="Normal 8 3 4 5 4" xfId="10744" xr:uid="{CE8898EF-EA5E-4FE0-BF4E-3E700D1378A9}"/>
    <cellStyle name="Normal 8 3 4 6" xfId="2649" xr:uid="{00000000-0005-0000-0000-0000BA1D0000}"/>
    <cellStyle name="Normal 8 3 4 6 2" xfId="6933" xr:uid="{00000000-0005-0000-0000-0000BB1D0000}"/>
    <cellStyle name="Normal 8 3 4 6 2 2" xfId="15375" xr:uid="{8A6FBAF8-29E7-4DB3-B4F4-93E2B5A12157}"/>
    <cellStyle name="Normal 8 3 4 6 3" xfId="11157" xr:uid="{B7044EBB-E88A-434F-A04E-920330198EA0}"/>
    <cellStyle name="Normal 8 3 4 7" xfId="4868" xr:uid="{00000000-0005-0000-0000-0000BC1D0000}"/>
    <cellStyle name="Normal 8 3 4 7 2" xfId="13310" xr:uid="{0EEFC074-C24C-4ADE-952D-1D7272D0DA1F}"/>
    <cellStyle name="Normal 8 3 4 8" xfId="9092" xr:uid="{2379783B-6624-4326-93A8-214156FE263D}"/>
    <cellStyle name="Normal 8 3 5" xfId="962" xr:uid="{00000000-0005-0000-0000-0000BD1D0000}"/>
    <cellStyle name="Normal 8 3 5 2" xfId="3196" xr:uid="{00000000-0005-0000-0000-0000BE1D0000}"/>
    <cellStyle name="Normal 8 3 5 2 2" xfId="7419" xr:uid="{00000000-0005-0000-0000-0000BF1D0000}"/>
    <cellStyle name="Normal 8 3 5 2 2 2" xfId="15861" xr:uid="{57816834-8D86-4B60-89A6-5C6F10116BEA}"/>
    <cellStyle name="Normal 8 3 5 2 3" xfId="11643" xr:uid="{1A0D0565-531F-4E3D-BECD-DEBC119D77B4}"/>
    <cellStyle name="Normal 8 3 5 3" xfId="5274" xr:uid="{00000000-0005-0000-0000-0000C01D0000}"/>
    <cellStyle name="Normal 8 3 5 3 2" xfId="13716" xr:uid="{DEA3E4E0-EB97-4966-950D-99553F617146}"/>
    <cellStyle name="Normal 8 3 5 4" xfId="9498" xr:uid="{6A974141-62D9-49B9-9AAE-55631A23FDD3}"/>
    <cellStyle name="Normal 8 3 6" xfId="1379" xr:uid="{00000000-0005-0000-0000-0000C11D0000}"/>
    <cellStyle name="Normal 8 3 6 2" xfId="3609" xr:uid="{00000000-0005-0000-0000-0000C21D0000}"/>
    <cellStyle name="Normal 8 3 6 2 2" xfId="7832" xr:uid="{00000000-0005-0000-0000-0000C31D0000}"/>
    <cellStyle name="Normal 8 3 6 2 2 2" xfId="16274" xr:uid="{9559A324-8895-4082-BC6B-5B3C6BE630FA}"/>
    <cellStyle name="Normal 8 3 6 2 3" xfId="12056" xr:uid="{BC7ED2F9-8CFE-4417-90FC-79ABA8A046AF}"/>
    <cellStyle name="Normal 8 3 6 3" xfId="5687" xr:uid="{00000000-0005-0000-0000-0000C41D0000}"/>
    <cellStyle name="Normal 8 3 6 3 2" xfId="14129" xr:uid="{D926E45A-3AB2-4196-988A-5CE9B05EB107}"/>
    <cellStyle name="Normal 8 3 6 4" xfId="9911" xr:uid="{4CF1A865-69D6-4E5B-8178-81EB74604CB3}"/>
    <cellStyle name="Normal 8 3 7" xfId="1792" xr:uid="{00000000-0005-0000-0000-0000C51D0000}"/>
    <cellStyle name="Normal 8 3 7 2" xfId="4022" xr:uid="{00000000-0005-0000-0000-0000C61D0000}"/>
    <cellStyle name="Normal 8 3 7 2 2" xfId="8245" xr:uid="{00000000-0005-0000-0000-0000C71D0000}"/>
    <cellStyle name="Normal 8 3 7 2 2 2" xfId="16687" xr:uid="{BDFB7EBD-4656-4CE6-969E-2B3D80CF36D4}"/>
    <cellStyle name="Normal 8 3 7 2 3" xfId="12469" xr:uid="{5C5A79FE-9618-4B82-89E3-0AAB1BBE5CD8}"/>
    <cellStyle name="Normal 8 3 7 3" xfId="6100" xr:uid="{00000000-0005-0000-0000-0000C81D0000}"/>
    <cellStyle name="Normal 8 3 7 3 2" xfId="14542" xr:uid="{8D2EBEAF-7513-4E88-8114-99387A602929}"/>
    <cellStyle name="Normal 8 3 7 4" xfId="10324" xr:uid="{0AB3AF43-6024-4553-86E5-ADA6D09A4B75}"/>
    <cellStyle name="Normal 8 3 8" xfId="2206" xr:uid="{00000000-0005-0000-0000-0000C91D0000}"/>
    <cellStyle name="Normal 8 3 8 2" xfId="4435" xr:uid="{00000000-0005-0000-0000-0000CA1D0000}"/>
    <cellStyle name="Normal 8 3 8 2 2" xfId="8658" xr:uid="{00000000-0005-0000-0000-0000CB1D0000}"/>
    <cellStyle name="Normal 8 3 8 2 2 2" xfId="17100" xr:uid="{D82E0E78-9E78-4A61-9E22-D6023C6D63E5}"/>
    <cellStyle name="Normal 8 3 8 2 3" xfId="12882" xr:uid="{AED3FAD7-6ACE-40BD-9934-A1FB9A801285}"/>
    <cellStyle name="Normal 8 3 8 3" xfId="6513" xr:uid="{00000000-0005-0000-0000-0000CC1D0000}"/>
    <cellStyle name="Normal 8 3 8 3 2" xfId="14955" xr:uid="{ECFA4E10-6F25-4EE0-9CBE-5FD23CE2CDD0}"/>
    <cellStyle name="Normal 8 3 8 4" xfId="10737" xr:uid="{A3E7C746-0513-4975-BB0B-1DF2F0F13320}"/>
    <cellStyle name="Normal 8 3 9" xfId="2642" xr:uid="{00000000-0005-0000-0000-0000CD1D0000}"/>
    <cellStyle name="Normal 8 3 9 2" xfId="6926" xr:uid="{00000000-0005-0000-0000-0000CE1D0000}"/>
    <cellStyle name="Normal 8 3 9 2 2" xfId="15368" xr:uid="{BEA46D4F-9293-4823-B7E6-535EB7B8F185}"/>
    <cellStyle name="Normal 8 3 9 3" xfId="11150" xr:uid="{B085BD69-A2EA-4EF4-9DB1-CE6786FEFC47}"/>
    <cellStyle name="Normal 8 4" xfId="503" xr:uid="{00000000-0005-0000-0000-0000CF1D0000}"/>
    <cellStyle name="Normal 8 4 10" xfId="9093" xr:uid="{7ACC3B19-66A9-4264-B9F5-1C8C311CAC8F}"/>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2 2 2" xfId="15871" xr:uid="{6F142D3D-D54E-43F7-8EBE-BEB5E210B5E0}"/>
    <cellStyle name="Normal 8 4 2 2 2 2 3" xfId="11653" xr:uid="{D9469EB0-118D-4EDA-A0AF-99E362177B92}"/>
    <cellStyle name="Normal 8 4 2 2 2 3" xfId="5284" xr:uid="{00000000-0005-0000-0000-0000D51D0000}"/>
    <cellStyle name="Normal 8 4 2 2 2 3 2" xfId="13726" xr:uid="{AC6A748E-4380-4DEA-8449-7A5C11244B38}"/>
    <cellStyle name="Normal 8 4 2 2 2 4" xfId="9508" xr:uid="{150CA28B-B607-4CC3-B12E-21E82557A53B}"/>
    <cellStyle name="Normal 8 4 2 2 3" xfId="1389" xr:uid="{00000000-0005-0000-0000-0000D61D0000}"/>
    <cellStyle name="Normal 8 4 2 2 3 2" xfId="3619" xr:uid="{00000000-0005-0000-0000-0000D71D0000}"/>
    <cellStyle name="Normal 8 4 2 2 3 2 2" xfId="7842" xr:uid="{00000000-0005-0000-0000-0000D81D0000}"/>
    <cellStyle name="Normal 8 4 2 2 3 2 2 2" xfId="16284" xr:uid="{6D82505F-4E6A-4385-91F8-6063D30215A5}"/>
    <cellStyle name="Normal 8 4 2 2 3 2 3" xfId="12066" xr:uid="{A4294063-B0E0-41E2-8913-4292C1929F48}"/>
    <cellStyle name="Normal 8 4 2 2 3 3" xfId="5697" xr:uid="{00000000-0005-0000-0000-0000D91D0000}"/>
    <cellStyle name="Normal 8 4 2 2 3 3 2" xfId="14139" xr:uid="{C8E03C6C-D90D-4449-9A05-30A4CF24CA02}"/>
    <cellStyle name="Normal 8 4 2 2 3 4" xfId="9921" xr:uid="{865F58DD-0E6D-4485-9E56-B0E7CF7D0E42}"/>
    <cellStyle name="Normal 8 4 2 2 4" xfId="1802" xr:uid="{00000000-0005-0000-0000-0000DA1D0000}"/>
    <cellStyle name="Normal 8 4 2 2 4 2" xfId="4032" xr:uid="{00000000-0005-0000-0000-0000DB1D0000}"/>
    <cellStyle name="Normal 8 4 2 2 4 2 2" xfId="8255" xr:uid="{00000000-0005-0000-0000-0000DC1D0000}"/>
    <cellStyle name="Normal 8 4 2 2 4 2 2 2" xfId="16697" xr:uid="{99B87A21-AE36-4836-BEDF-C5FEB748CE65}"/>
    <cellStyle name="Normal 8 4 2 2 4 2 3" xfId="12479" xr:uid="{F03CFE48-8DAF-4368-83BE-94DE8B352E6B}"/>
    <cellStyle name="Normal 8 4 2 2 4 3" xfId="6110" xr:uid="{00000000-0005-0000-0000-0000DD1D0000}"/>
    <cellStyle name="Normal 8 4 2 2 4 3 2" xfId="14552" xr:uid="{51F6DCFD-958C-4AB4-94C2-49AF6ECD8A3D}"/>
    <cellStyle name="Normal 8 4 2 2 4 4" xfId="10334" xr:uid="{6BD802A3-5E70-492C-91F9-C6B69F6A5341}"/>
    <cellStyle name="Normal 8 4 2 2 5" xfId="2216" xr:uid="{00000000-0005-0000-0000-0000DE1D0000}"/>
    <cellStyle name="Normal 8 4 2 2 5 2" xfId="4445" xr:uid="{00000000-0005-0000-0000-0000DF1D0000}"/>
    <cellStyle name="Normal 8 4 2 2 5 2 2" xfId="8668" xr:uid="{00000000-0005-0000-0000-0000E01D0000}"/>
    <cellStyle name="Normal 8 4 2 2 5 2 2 2" xfId="17110" xr:uid="{6052915D-527E-43E9-9CF9-BE0A8C7D5048}"/>
    <cellStyle name="Normal 8 4 2 2 5 2 3" xfId="12892" xr:uid="{36FE6B7D-C165-4ACD-AA02-E12F5FFC25F6}"/>
    <cellStyle name="Normal 8 4 2 2 5 3" xfId="6523" xr:uid="{00000000-0005-0000-0000-0000E11D0000}"/>
    <cellStyle name="Normal 8 4 2 2 5 3 2" xfId="14965" xr:uid="{D1A75316-4012-49FF-815A-C3CD0157071A}"/>
    <cellStyle name="Normal 8 4 2 2 5 4" xfId="10747" xr:uid="{B7E7D31B-5F7C-4BD2-B4B7-17ED1FCB5C04}"/>
    <cellStyle name="Normal 8 4 2 2 6" xfId="2652" xr:uid="{00000000-0005-0000-0000-0000E21D0000}"/>
    <cellStyle name="Normal 8 4 2 2 6 2" xfId="6936" xr:uid="{00000000-0005-0000-0000-0000E31D0000}"/>
    <cellStyle name="Normal 8 4 2 2 6 2 2" xfId="15378" xr:uid="{FA1AFA5E-151B-440F-BE33-25B71BD3301C}"/>
    <cellStyle name="Normal 8 4 2 2 6 3" xfId="11160" xr:uid="{39331776-7607-4E95-A59E-6704B3A5D5D2}"/>
    <cellStyle name="Normal 8 4 2 2 7" xfId="4871" xr:uid="{00000000-0005-0000-0000-0000E41D0000}"/>
    <cellStyle name="Normal 8 4 2 2 7 2" xfId="13313" xr:uid="{F46BD184-2D8E-4657-9083-D83E63339C48}"/>
    <cellStyle name="Normal 8 4 2 2 8" xfId="9095" xr:uid="{EEC6AF60-CB60-4B93-94B8-1DD7645AAF55}"/>
    <cellStyle name="Normal 8 4 2 3" xfId="971" xr:uid="{00000000-0005-0000-0000-0000E51D0000}"/>
    <cellStyle name="Normal 8 4 2 3 2" xfId="3205" xr:uid="{00000000-0005-0000-0000-0000E61D0000}"/>
    <cellStyle name="Normal 8 4 2 3 2 2" xfId="7428" xr:uid="{00000000-0005-0000-0000-0000E71D0000}"/>
    <cellStyle name="Normal 8 4 2 3 2 2 2" xfId="15870" xr:uid="{B8A71908-C5FD-4D0E-8096-71E4BADCE6C9}"/>
    <cellStyle name="Normal 8 4 2 3 2 3" xfId="11652" xr:uid="{34C3FCAF-21C5-4597-96BF-BD186F2A6DCE}"/>
    <cellStyle name="Normal 8 4 2 3 3" xfId="5283" xr:uid="{00000000-0005-0000-0000-0000E81D0000}"/>
    <cellStyle name="Normal 8 4 2 3 3 2" xfId="13725" xr:uid="{6C05076B-7FD9-4973-979A-646919F31E24}"/>
    <cellStyle name="Normal 8 4 2 3 4" xfId="9507" xr:uid="{A59EA7F3-D4B5-4B5E-956F-EF6F1164D427}"/>
    <cellStyle name="Normal 8 4 2 4" xfId="1388" xr:uid="{00000000-0005-0000-0000-0000E91D0000}"/>
    <cellStyle name="Normal 8 4 2 4 2" xfId="3618" xr:uid="{00000000-0005-0000-0000-0000EA1D0000}"/>
    <cellStyle name="Normal 8 4 2 4 2 2" xfId="7841" xr:uid="{00000000-0005-0000-0000-0000EB1D0000}"/>
    <cellStyle name="Normal 8 4 2 4 2 2 2" xfId="16283" xr:uid="{C0A6787C-2836-48FF-B5F7-5B53D0FC1EA1}"/>
    <cellStyle name="Normal 8 4 2 4 2 3" xfId="12065" xr:uid="{80AE5AE0-9085-4AE0-8CD1-BDE9E351325E}"/>
    <cellStyle name="Normal 8 4 2 4 3" xfId="5696" xr:uid="{00000000-0005-0000-0000-0000EC1D0000}"/>
    <cellStyle name="Normal 8 4 2 4 3 2" xfId="14138" xr:uid="{32BF0D0C-1D94-4921-A40A-2CFE2B1BE54C}"/>
    <cellStyle name="Normal 8 4 2 4 4" xfId="9920" xr:uid="{3F9C617D-0A9C-46AC-B3A6-0081A669A231}"/>
    <cellStyle name="Normal 8 4 2 5" xfId="1801" xr:uid="{00000000-0005-0000-0000-0000ED1D0000}"/>
    <cellStyle name="Normal 8 4 2 5 2" xfId="4031" xr:uid="{00000000-0005-0000-0000-0000EE1D0000}"/>
    <cellStyle name="Normal 8 4 2 5 2 2" xfId="8254" xr:uid="{00000000-0005-0000-0000-0000EF1D0000}"/>
    <cellStyle name="Normal 8 4 2 5 2 2 2" xfId="16696" xr:uid="{AFBEE22C-25A8-48CB-AFD4-977D0CFF6DFD}"/>
    <cellStyle name="Normal 8 4 2 5 2 3" xfId="12478" xr:uid="{16A7BDE0-CB56-4569-8453-794B669A4865}"/>
    <cellStyle name="Normal 8 4 2 5 3" xfId="6109" xr:uid="{00000000-0005-0000-0000-0000F01D0000}"/>
    <cellStyle name="Normal 8 4 2 5 3 2" xfId="14551" xr:uid="{B334FC47-D3EA-47FB-8748-904E09E3216F}"/>
    <cellStyle name="Normal 8 4 2 5 4" xfId="10333" xr:uid="{03C5EFD0-BC53-40A4-9DAE-7401EF368F17}"/>
    <cellStyle name="Normal 8 4 2 6" xfId="2215" xr:uid="{00000000-0005-0000-0000-0000F11D0000}"/>
    <cellStyle name="Normal 8 4 2 6 2" xfId="4444" xr:uid="{00000000-0005-0000-0000-0000F21D0000}"/>
    <cellStyle name="Normal 8 4 2 6 2 2" xfId="8667" xr:uid="{00000000-0005-0000-0000-0000F31D0000}"/>
    <cellStyle name="Normal 8 4 2 6 2 2 2" xfId="17109" xr:uid="{08ADBABC-AF3D-4674-AB87-07BFEBAA1A24}"/>
    <cellStyle name="Normal 8 4 2 6 2 3" xfId="12891" xr:uid="{08B5BC7A-7702-418E-B1F8-0ADC99287399}"/>
    <cellStyle name="Normal 8 4 2 6 3" xfId="6522" xr:uid="{00000000-0005-0000-0000-0000F41D0000}"/>
    <cellStyle name="Normal 8 4 2 6 3 2" xfId="14964" xr:uid="{C1B5A64D-1906-4224-910A-C2082FC653C1}"/>
    <cellStyle name="Normal 8 4 2 6 4" xfId="10746" xr:uid="{3DB8B81D-7962-4446-A6A7-D5945C8555EA}"/>
    <cellStyle name="Normal 8 4 2 7" xfId="2651" xr:uid="{00000000-0005-0000-0000-0000F51D0000}"/>
    <cellStyle name="Normal 8 4 2 7 2" xfId="6935" xr:uid="{00000000-0005-0000-0000-0000F61D0000}"/>
    <cellStyle name="Normal 8 4 2 7 2 2" xfId="15377" xr:uid="{D21B9E2A-B09C-45F7-B016-F8CDCDA824B3}"/>
    <cellStyle name="Normal 8 4 2 7 3" xfId="11159" xr:uid="{F8A3A5B4-5238-4076-871D-589F2EF8E3FE}"/>
    <cellStyle name="Normal 8 4 2 8" xfId="4870" xr:uid="{00000000-0005-0000-0000-0000F71D0000}"/>
    <cellStyle name="Normal 8 4 2 8 2" xfId="13312" xr:uid="{DD6D709A-8D9D-4001-B544-D75701683FFB}"/>
    <cellStyle name="Normal 8 4 2 9" xfId="9094" xr:uid="{6CE60DC0-BA42-4483-A727-D1C96C744AB5}"/>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2 2 2" xfId="15872" xr:uid="{3E6CAD6A-72A9-461D-A026-AD2589419A68}"/>
    <cellStyle name="Normal 8 4 3 2 2 3" xfId="11654" xr:uid="{1EA1EB57-0CD9-4D2F-83A4-D1C3DB8E0B97}"/>
    <cellStyle name="Normal 8 4 3 2 3" xfId="5285" xr:uid="{00000000-0005-0000-0000-0000FC1D0000}"/>
    <cellStyle name="Normal 8 4 3 2 3 2" xfId="13727" xr:uid="{E6529504-A639-4522-850E-318931EA9B0F}"/>
    <cellStyle name="Normal 8 4 3 2 4" xfId="9509" xr:uid="{94008C16-2FC8-4E5E-9954-4C3FD04CC88F}"/>
    <cellStyle name="Normal 8 4 3 3" xfId="1390" xr:uid="{00000000-0005-0000-0000-0000FD1D0000}"/>
    <cellStyle name="Normal 8 4 3 3 2" xfId="3620" xr:uid="{00000000-0005-0000-0000-0000FE1D0000}"/>
    <cellStyle name="Normal 8 4 3 3 2 2" xfId="7843" xr:uid="{00000000-0005-0000-0000-0000FF1D0000}"/>
    <cellStyle name="Normal 8 4 3 3 2 2 2" xfId="16285" xr:uid="{DCB5F9ED-88D4-4116-AA29-1F51D85EB15E}"/>
    <cellStyle name="Normal 8 4 3 3 2 3" xfId="12067" xr:uid="{59F80E95-D392-4647-A5C8-628710E548A2}"/>
    <cellStyle name="Normal 8 4 3 3 3" xfId="5698" xr:uid="{00000000-0005-0000-0000-0000001E0000}"/>
    <cellStyle name="Normal 8 4 3 3 3 2" xfId="14140" xr:uid="{9760BFA0-8C56-43D5-9142-89C4E6B5E1B8}"/>
    <cellStyle name="Normal 8 4 3 3 4" xfId="9922" xr:uid="{D1918B45-6794-41A8-A29E-72BA0EFB4A9F}"/>
    <cellStyle name="Normal 8 4 3 4" xfId="1803" xr:uid="{00000000-0005-0000-0000-0000011E0000}"/>
    <cellStyle name="Normal 8 4 3 4 2" xfId="4033" xr:uid="{00000000-0005-0000-0000-0000021E0000}"/>
    <cellStyle name="Normal 8 4 3 4 2 2" xfId="8256" xr:uid="{00000000-0005-0000-0000-0000031E0000}"/>
    <cellStyle name="Normal 8 4 3 4 2 2 2" xfId="16698" xr:uid="{A9F48BD7-A4B0-4DC6-A2EB-E0A4C860F40B}"/>
    <cellStyle name="Normal 8 4 3 4 2 3" xfId="12480" xr:uid="{C599710E-C454-4789-80F4-A8388DBAD301}"/>
    <cellStyle name="Normal 8 4 3 4 3" xfId="6111" xr:uid="{00000000-0005-0000-0000-0000041E0000}"/>
    <cellStyle name="Normal 8 4 3 4 3 2" xfId="14553" xr:uid="{61C8A521-BFB7-42D4-AFF5-BD60202F59D3}"/>
    <cellStyle name="Normal 8 4 3 4 4" xfId="10335" xr:uid="{A98BA792-4B9B-4C4B-9290-A737D0EC9F3D}"/>
    <cellStyle name="Normal 8 4 3 5" xfId="2217" xr:uid="{00000000-0005-0000-0000-0000051E0000}"/>
    <cellStyle name="Normal 8 4 3 5 2" xfId="4446" xr:uid="{00000000-0005-0000-0000-0000061E0000}"/>
    <cellStyle name="Normal 8 4 3 5 2 2" xfId="8669" xr:uid="{00000000-0005-0000-0000-0000071E0000}"/>
    <cellStyle name="Normal 8 4 3 5 2 2 2" xfId="17111" xr:uid="{D384D1D7-E0B3-42AC-BA5A-6B8694D6351D}"/>
    <cellStyle name="Normal 8 4 3 5 2 3" xfId="12893" xr:uid="{34F9F4ED-A340-469E-A13D-2F187B404CA2}"/>
    <cellStyle name="Normal 8 4 3 5 3" xfId="6524" xr:uid="{00000000-0005-0000-0000-0000081E0000}"/>
    <cellStyle name="Normal 8 4 3 5 3 2" xfId="14966" xr:uid="{750A27EA-C484-414F-BE7D-E5167B9F38F1}"/>
    <cellStyle name="Normal 8 4 3 5 4" xfId="10748" xr:uid="{96218D6B-2B93-4583-9616-747A79FFF6DE}"/>
    <cellStyle name="Normal 8 4 3 6" xfId="2653" xr:uid="{00000000-0005-0000-0000-0000091E0000}"/>
    <cellStyle name="Normal 8 4 3 6 2" xfId="6937" xr:uid="{00000000-0005-0000-0000-00000A1E0000}"/>
    <cellStyle name="Normal 8 4 3 6 2 2" xfId="15379" xr:uid="{E6B2EC71-8983-4F60-9D9E-54F5F56E4226}"/>
    <cellStyle name="Normal 8 4 3 6 3" xfId="11161" xr:uid="{E03D49EF-7C57-4F6D-8304-30B42203810A}"/>
    <cellStyle name="Normal 8 4 3 7" xfId="4872" xr:uid="{00000000-0005-0000-0000-00000B1E0000}"/>
    <cellStyle name="Normal 8 4 3 7 2" xfId="13314" xr:uid="{19C08E86-6751-410E-BE22-D770CFCAAD25}"/>
    <cellStyle name="Normal 8 4 3 8" xfId="9096" xr:uid="{5958FAD3-C7D7-47E3-B535-7F135170A406}"/>
    <cellStyle name="Normal 8 4 4" xfId="970" xr:uid="{00000000-0005-0000-0000-00000C1E0000}"/>
    <cellStyle name="Normal 8 4 4 2" xfId="3204" xr:uid="{00000000-0005-0000-0000-00000D1E0000}"/>
    <cellStyle name="Normal 8 4 4 2 2" xfId="7427" xr:uid="{00000000-0005-0000-0000-00000E1E0000}"/>
    <cellStyle name="Normal 8 4 4 2 2 2" xfId="15869" xr:uid="{025780FB-7F5D-453D-B6FD-8F7529DDCCAF}"/>
    <cellStyle name="Normal 8 4 4 2 3" xfId="11651" xr:uid="{A9FB6BC2-E089-43FA-B229-C1ADA67897EA}"/>
    <cellStyle name="Normal 8 4 4 3" xfId="5282" xr:uid="{00000000-0005-0000-0000-00000F1E0000}"/>
    <cellStyle name="Normal 8 4 4 3 2" xfId="13724" xr:uid="{F238E164-BED6-4C63-891C-12AA279A6A4D}"/>
    <cellStyle name="Normal 8 4 4 4" xfId="9506" xr:uid="{2B15D44B-D2FE-4D47-A011-2815B0C7755A}"/>
    <cellStyle name="Normal 8 4 5" xfId="1387" xr:uid="{00000000-0005-0000-0000-0000101E0000}"/>
    <cellStyle name="Normal 8 4 5 2" xfId="3617" xr:uid="{00000000-0005-0000-0000-0000111E0000}"/>
    <cellStyle name="Normal 8 4 5 2 2" xfId="7840" xr:uid="{00000000-0005-0000-0000-0000121E0000}"/>
    <cellStyle name="Normal 8 4 5 2 2 2" xfId="16282" xr:uid="{B439B3B5-7C0D-4FA1-940F-6A6B48CD7298}"/>
    <cellStyle name="Normal 8 4 5 2 3" xfId="12064" xr:uid="{417DAB18-EDAE-4EBD-AC50-6CF2107A4663}"/>
    <cellStyle name="Normal 8 4 5 3" xfId="5695" xr:uid="{00000000-0005-0000-0000-0000131E0000}"/>
    <cellStyle name="Normal 8 4 5 3 2" xfId="14137" xr:uid="{4EE8105D-1FDB-4D28-B2FA-ABA20E30339D}"/>
    <cellStyle name="Normal 8 4 5 4" xfId="9919" xr:uid="{54D746B8-1DB8-482E-B5E5-AF99CE633D44}"/>
    <cellStyle name="Normal 8 4 6" xfId="1800" xr:uid="{00000000-0005-0000-0000-0000141E0000}"/>
    <cellStyle name="Normal 8 4 6 2" xfId="4030" xr:uid="{00000000-0005-0000-0000-0000151E0000}"/>
    <cellStyle name="Normal 8 4 6 2 2" xfId="8253" xr:uid="{00000000-0005-0000-0000-0000161E0000}"/>
    <cellStyle name="Normal 8 4 6 2 2 2" xfId="16695" xr:uid="{346F2E50-CE7B-4F87-8D4A-1C20C07C8C4E}"/>
    <cellStyle name="Normal 8 4 6 2 3" xfId="12477" xr:uid="{07281ED3-EA71-4B72-9F0C-BC3EACA31F15}"/>
    <cellStyle name="Normal 8 4 6 3" xfId="6108" xr:uid="{00000000-0005-0000-0000-0000171E0000}"/>
    <cellStyle name="Normal 8 4 6 3 2" xfId="14550" xr:uid="{6100A461-DB5C-4F33-8289-87E06621D6CC}"/>
    <cellStyle name="Normal 8 4 6 4" xfId="10332" xr:uid="{58BD0687-AA68-4BB1-8172-8742752D7B3B}"/>
    <cellStyle name="Normal 8 4 7" xfId="2214" xr:uid="{00000000-0005-0000-0000-0000181E0000}"/>
    <cellStyle name="Normal 8 4 7 2" xfId="4443" xr:uid="{00000000-0005-0000-0000-0000191E0000}"/>
    <cellStyle name="Normal 8 4 7 2 2" xfId="8666" xr:uid="{00000000-0005-0000-0000-00001A1E0000}"/>
    <cellStyle name="Normal 8 4 7 2 2 2" xfId="17108" xr:uid="{7141F2F5-BC4E-4C2F-8F03-2B30A3556177}"/>
    <cellStyle name="Normal 8 4 7 2 3" xfId="12890" xr:uid="{BA3C1C05-E468-48FF-A0DF-C311CC99A104}"/>
    <cellStyle name="Normal 8 4 7 3" xfId="6521" xr:uid="{00000000-0005-0000-0000-00001B1E0000}"/>
    <cellStyle name="Normal 8 4 7 3 2" xfId="14963" xr:uid="{FDED35C3-816C-4A19-A36B-7CB2B4D78B59}"/>
    <cellStyle name="Normal 8 4 7 4" xfId="10745" xr:uid="{579DA49E-B322-4108-8EFD-3C33282A4765}"/>
    <cellStyle name="Normal 8 4 8" xfId="2650" xr:uid="{00000000-0005-0000-0000-00001C1E0000}"/>
    <cellStyle name="Normal 8 4 8 2" xfId="6934" xr:uid="{00000000-0005-0000-0000-00001D1E0000}"/>
    <cellStyle name="Normal 8 4 8 2 2" xfId="15376" xr:uid="{4D5EC845-CE52-4B36-99D8-A5A33C9840B1}"/>
    <cellStyle name="Normal 8 4 8 3" xfId="11158" xr:uid="{55B8BA1A-855D-4FA8-9045-B29BB2436257}"/>
    <cellStyle name="Normal 8 4 9" xfId="4869" xr:uid="{00000000-0005-0000-0000-00001E1E0000}"/>
    <cellStyle name="Normal 8 4 9 2" xfId="13311" xr:uid="{0E3EF727-0FCD-43F8-BD50-EE0D71F39BE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2 2 2" xfId="15874" xr:uid="{3757CC61-ADAB-4EA4-B0F5-306D9A0558EE}"/>
    <cellStyle name="Normal 8 5 2 2 2 3" xfId="11656" xr:uid="{57659668-6881-4C46-92BA-5AA99B17738A}"/>
    <cellStyle name="Normal 8 5 2 2 3" xfId="5287" xr:uid="{00000000-0005-0000-0000-0000241E0000}"/>
    <cellStyle name="Normal 8 5 2 2 3 2" xfId="13729" xr:uid="{A9403E31-AEBA-4D03-99B8-AA6D77A0DD84}"/>
    <cellStyle name="Normal 8 5 2 2 4" xfId="9511" xr:uid="{F5D4936B-A2CE-4DEE-9EC5-3E129E6FADD0}"/>
    <cellStyle name="Normal 8 5 2 3" xfId="1392" xr:uid="{00000000-0005-0000-0000-0000251E0000}"/>
    <cellStyle name="Normal 8 5 2 3 2" xfId="3622" xr:uid="{00000000-0005-0000-0000-0000261E0000}"/>
    <cellStyle name="Normal 8 5 2 3 2 2" xfId="7845" xr:uid="{00000000-0005-0000-0000-0000271E0000}"/>
    <cellStyle name="Normal 8 5 2 3 2 2 2" xfId="16287" xr:uid="{1C373E50-E533-4074-A84D-36DD976E2F89}"/>
    <cellStyle name="Normal 8 5 2 3 2 3" xfId="12069" xr:uid="{57143001-2DD7-4B6F-A724-D514065FC16A}"/>
    <cellStyle name="Normal 8 5 2 3 3" xfId="5700" xr:uid="{00000000-0005-0000-0000-0000281E0000}"/>
    <cellStyle name="Normal 8 5 2 3 3 2" xfId="14142" xr:uid="{23B854D8-F873-4C1B-9CCA-EE0D0EDB53DF}"/>
    <cellStyle name="Normal 8 5 2 3 4" xfId="9924" xr:uid="{02B50E17-E5A4-4AD3-B86B-8BD9BF670FE7}"/>
    <cellStyle name="Normal 8 5 2 4" xfId="1805" xr:uid="{00000000-0005-0000-0000-0000291E0000}"/>
    <cellStyle name="Normal 8 5 2 4 2" xfId="4035" xr:uid="{00000000-0005-0000-0000-00002A1E0000}"/>
    <cellStyle name="Normal 8 5 2 4 2 2" xfId="8258" xr:uid="{00000000-0005-0000-0000-00002B1E0000}"/>
    <cellStyle name="Normal 8 5 2 4 2 2 2" xfId="16700" xr:uid="{ABDDE4A0-9703-4FA9-AE1C-EB97D01E053E}"/>
    <cellStyle name="Normal 8 5 2 4 2 3" xfId="12482" xr:uid="{1981C00A-B11B-4022-B580-F0014C0DBDDE}"/>
    <cellStyle name="Normal 8 5 2 4 3" xfId="6113" xr:uid="{00000000-0005-0000-0000-00002C1E0000}"/>
    <cellStyle name="Normal 8 5 2 4 3 2" xfId="14555" xr:uid="{88E10F0D-9C80-4E50-9910-5FA6822DC512}"/>
    <cellStyle name="Normal 8 5 2 4 4" xfId="10337" xr:uid="{C9F53BC4-8EA6-49F2-BC2A-8578A819D897}"/>
    <cellStyle name="Normal 8 5 2 5" xfId="2219" xr:uid="{00000000-0005-0000-0000-00002D1E0000}"/>
    <cellStyle name="Normal 8 5 2 5 2" xfId="4448" xr:uid="{00000000-0005-0000-0000-00002E1E0000}"/>
    <cellStyle name="Normal 8 5 2 5 2 2" xfId="8671" xr:uid="{00000000-0005-0000-0000-00002F1E0000}"/>
    <cellStyle name="Normal 8 5 2 5 2 2 2" xfId="17113" xr:uid="{85293230-A529-4841-9C15-258A83ADDDE7}"/>
    <cellStyle name="Normal 8 5 2 5 2 3" xfId="12895" xr:uid="{D7C8D596-7125-43DD-9CBF-911EB2A01740}"/>
    <cellStyle name="Normal 8 5 2 5 3" xfId="6526" xr:uid="{00000000-0005-0000-0000-0000301E0000}"/>
    <cellStyle name="Normal 8 5 2 5 3 2" xfId="14968" xr:uid="{395CE3E9-9DA7-4239-A1C2-AE99CA30920A}"/>
    <cellStyle name="Normal 8 5 2 5 4" xfId="10750" xr:uid="{B7BFD745-6E5B-49B0-B7F1-7927ADD50CBC}"/>
    <cellStyle name="Normal 8 5 2 6" xfId="2655" xr:uid="{00000000-0005-0000-0000-0000311E0000}"/>
    <cellStyle name="Normal 8 5 2 6 2" xfId="6939" xr:uid="{00000000-0005-0000-0000-0000321E0000}"/>
    <cellStyle name="Normal 8 5 2 6 2 2" xfId="15381" xr:uid="{00A75179-CE94-4DD0-B143-480F4B5AB2AE}"/>
    <cellStyle name="Normal 8 5 2 6 3" xfId="11163" xr:uid="{549A02E6-F550-4713-84E8-CCE14B399322}"/>
    <cellStyle name="Normal 8 5 2 7" xfId="4874" xr:uid="{00000000-0005-0000-0000-0000331E0000}"/>
    <cellStyle name="Normal 8 5 2 7 2" xfId="13316" xr:uid="{6E269063-FCCC-4A53-9FAC-4C78FB983EDB}"/>
    <cellStyle name="Normal 8 5 2 8" xfId="9098" xr:uid="{CFDACE7C-6AE6-4811-AAB4-AAC20EDA1991}"/>
    <cellStyle name="Normal 8 5 3" xfId="974" xr:uid="{00000000-0005-0000-0000-0000341E0000}"/>
    <cellStyle name="Normal 8 5 3 2" xfId="3208" xr:uid="{00000000-0005-0000-0000-0000351E0000}"/>
    <cellStyle name="Normal 8 5 3 2 2" xfId="7431" xr:uid="{00000000-0005-0000-0000-0000361E0000}"/>
    <cellStyle name="Normal 8 5 3 2 2 2" xfId="15873" xr:uid="{854383B7-93F8-405B-869D-43826E4C6577}"/>
    <cellStyle name="Normal 8 5 3 2 3" xfId="11655" xr:uid="{9461959C-A4E1-4E70-8B49-318DF7BFB97B}"/>
    <cellStyle name="Normal 8 5 3 3" xfId="5286" xr:uid="{00000000-0005-0000-0000-0000371E0000}"/>
    <cellStyle name="Normal 8 5 3 3 2" xfId="13728" xr:uid="{1E0E7282-D8E4-40D8-98D1-8A378F2B3760}"/>
    <cellStyle name="Normal 8 5 3 4" xfId="9510" xr:uid="{0E684BE9-E891-437A-BA91-A087F828E721}"/>
    <cellStyle name="Normal 8 5 4" xfId="1391" xr:uid="{00000000-0005-0000-0000-0000381E0000}"/>
    <cellStyle name="Normal 8 5 4 2" xfId="3621" xr:uid="{00000000-0005-0000-0000-0000391E0000}"/>
    <cellStyle name="Normal 8 5 4 2 2" xfId="7844" xr:uid="{00000000-0005-0000-0000-00003A1E0000}"/>
    <cellStyle name="Normal 8 5 4 2 2 2" xfId="16286" xr:uid="{BBAC3DC9-A0EE-4AFE-81A6-B2C0343D3705}"/>
    <cellStyle name="Normal 8 5 4 2 3" xfId="12068" xr:uid="{37DA533F-41EB-4929-8394-1E61DA94DF54}"/>
    <cellStyle name="Normal 8 5 4 3" xfId="5699" xr:uid="{00000000-0005-0000-0000-00003B1E0000}"/>
    <cellStyle name="Normal 8 5 4 3 2" xfId="14141" xr:uid="{B833FA9B-4D3C-40CB-9067-609ABAD513D7}"/>
    <cellStyle name="Normal 8 5 4 4" xfId="9923" xr:uid="{302E2649-77A9-4D5D-9DDF-78139B2DE9E1}"/>
    <cellStyle name="Normal 8 5 5" xfId="1804" xr:uid="{00000000-0005-0000-0000-00003C1E0000}"/>
    <cellStyle name="Normal 8 5 5 2" xfId="4034" xr:uid="{00000000-0005-0000-0000-00003D1E0000}"/>
    <cellStyle name="Normal 8 5 5 2 2" xfId="8257" xr:uid="{00000000-0005-0000-0000-00003E1E0000}"/>
    <cellStyle name="Normal 8 5 5 2 2 2" xfId="16699" xr:uid="{4D0FE36B-B6E7-48FF-B9C1-523E0D9A2B8C}"/>
    <cellStyle name="Normal 8 5 5 2 3" xfId="12481" xr:uid="{69E16839-61BE-4DDB-B63F-3B6AE414BF2C}"/>
    <cellStyle name="Normal 8 5 5 3" xfId="6112" xr:uid="{00000000-0005-0000-0000-00003F1E0000}"/>
    <cellStyle name="Normal 8 5 5 3 2" xfId="14554" xr:uid="{6EC25CB1-335D-43A2-98AE-63599296547B}"/>
    <cellStyle name="Normal 8 5 5 4" xfId="10336" xr:uid="{6F768C8F-F356-42AD-8744-4DBEFC423BA9}"/>
    <cellStyle name="Normal 8 5 6" xfId="2218" xr:uid="{00000000-0005-0000-0000-0000401E0000}"/>
    <cellStyle name="Normal 8 5 6 2" xfId="4447" xr:uid="{00000000-0005-0000-0000-0000411E0000}"/>
    <cellStyle name="Normal 8 5 6 2 2" xfId="8670" xr:uid="{00000000-0005-0000-0000-0000421E0000}"/>
    <cellStyle name="Normal 8 5 6 2 2 2" xfId="17112" xr:uid="{FBE95BDB-52B0-4330-A2F1-68E25A63EC25}"/>
    <cellStyle name="Normal 8 5 6 2 3" xfId="12894" xr:uid="{4BEDAAF1-3563-4873-8C7D-7D3295D2F21D}"/>
    <cellStyle name="Normal 8 5 6 3" xfId="6525" xr:uid="{00000000-0005-0000-0000-0000431E0000}"/>
    <cellStyle name="Normal 8 5 6 3 2" xfId="14967" xr:uid="{0B3C4B8E-266F-4B55-8F54-18FF1E8E1119}"/>
    <cellStyle name="Normal 8 5 6 4" xfId="10749" xr:uid="{C9E8F610-F297-4B0E-81DE-FB07F7129D31}"/>
    <cellStyle name="Normal 8 5 7" xfId="2654" xr:uid="{00000000-0005-0000-0000-0000441E0000}"/>
    <cellStyle name="Normal 8 5 7 2" xfId="6938" xr:uid="{00000000-0005-0000-0000-0000451E0000}"/>
    <cellStyle name="Normal 8 5 7 2 2" xfId="15380" xr:uid="{B83D3E21-1F85-443A-A4AE-E2959CEC3EF2}"/>
    <cellStyle name="Normal 8 5 7 3" xfId="11162" xr:uid="{5BB1CD26-A2C8-4EF7-8957-C52693739B29}"/>
    <cellStyle name="Normal 8 5 8" xfId="4873" xr:uid="{00000000-0005-0000-0000-0000461E0000}"/>
    <cellStyle name="Normal 8 5 8 2" xfId="13315" xr:uid="{DC2DDB2A-3917-4E67-97F4-45110EBDB3FA}"/>
    <cellStyle name="Normal 8 5 9" xfId="9097" xr:uid="{58C35904-DC6A-4F29-9DE5-3A325FB50033}"/>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2 2 2" xfId="15875" xr:uid="{C98BBD9D-97EB-4E88-815E-9091E79C54F4}"/>
    <cellStyle name="Normal 8 6 2 2 3" xfId="11657" xr:uid="{72B1CD39-DC34-4529-AC52-6059FE84D461}"/>
    <cellStyle name="Normal 8 6 2 3" xfId="5288" xr:uid="{00000000-0005-0000-0000-00004B1E0000}"/>
    <cellStyle name="Normal 8 6 2 3 2" xfId="13730" xr:uid="{22A5DC6B-1A0E-4167-A1CD-500E6D6014C8}"/>
    <cellStyle name="Normal 8 6 2 4" xfId="9512" xr:uid="{36C9D876-E7F5-49BA-8050-457BC0966AE5}"/>
    <cellStyle name="Normal 8 6 3" xfId="1393" xr:uid="{00000000-0005-0000-0000-00004C1E0000}"/>
    <cellStyle name="Normal 8 6 3 2" xfId="3623" xr:uid="{00000000-0005-0000-0000-00004D1E0000}"/>
    <cellStyle name="Normal 8 6 3 2 2" xfId="7846" xr:uid="{00000000-0005-0000-0000-00004E1E0000}"/>
    <cellStyle name="Normal 8 6 3 2 2 2" xfId="16288" xr:uid="{0CF9A41C-CB47-41FD-AC16-940E1EBE5A5D}"/>
    <cellStyle name="Normal 8 6 3 2 3" xfId="12070" xr:uid="{D6EF9649-6363-47E8-A4C6-5168A054C731}"/>
    <cellStyle name="Normal 8 6 3 3" xfId="5701" xr:uid="{00000000-0005-0000-0000-00004F1E0000}"/>
    <cellStyle name="Normal 8 6 3 3 2" xfId="14143" xr:uid="{A0D9090F-3D0F-4CC5-AF2D-282D2C72C1BF}"/>
    <cellStyle name="Normal 8 6 3 4" xfId="9925" xr:uid="{297F5485-D1CA-4924-B6DE-3164A77FF5C8}"/>
    <cellStyle name="Normal 8 6 4" xfId="1806" xr:uid="{00000000-0005-0000-0000-0000501E0000}"/>
    <cellStyle name="Normal 8 6 4 2" xfId="4036" xr:uid="{00000000-0005-0000-0000-0000511E0000}"/>
    <cellStyle name="Normal 8 6 4 2 2" xfId="8259" xr:uid="{00000000-0005-0000-0000-0000521E0000}"/>
    <cellStyle name="Normal 8 6 4 2 2 2" xfId="16701" xr:uid="{3A5A9037-C998-442B-98A2-27D67D397153}"/>
    <cellStyle name="Normal 8 6 4 2 3" xfId="12483" xr:uid="{5D77F603-F6E1-49F3-876B-D6EF5589380E}"/>
    <cellStyle name="Normal 8 6 4 3" xfId="6114" xr:uid="{00000000-0005-0000-0000-0000531E0000}"/>
    <cellStyle name="Normal 8 6 4 3 2" xfId="14556" xr:uid="{3DDC8654-D8DA-406D-8650-9F9E46EDEDB1}"/>
    <cellStyle name="Normal 8 6 4 4" xfId="10338" xr:uid="{99FF1D86-4342-453A-A334-4276579D8AFA}"/>
    <cellStyle name="Normal 8 6 5" xfId="2220" xr:uid="{00000000-0005-0000-0000-0000541E0000}"/>
    <cellStyle name="Normal 8 6 5 2" xfId="4449" xr:uid="{00000000-0005-0000-0000-0000551E0000}"/>
    <cellStyle name="Normal 8 6 5 2 2" xfId="8672" xr:uid="{00000000-0005-0000-0000-0000561E0000}"/>
    <cellStyle name="Normal 8 6 5 2 2 2" xfId="17114" xr:uid="{EA1CCE13-D6FF-4E71-9B24-C9CE77321630}"/>
    <cellStyle name="Normal 8 6 5 2 3" xfId="12896" xr:uid="{7E6C9BEC-80E1-42B2-BAB7-068448BEC72A}"/>
    <cellStyle name="Normal 8 6 5 3" xfId="6527" xr:uid="{00000000-0005-0000-0000-0000571E0000}"/>
    <cellStyle name="Normal 8 6 5 3 2" xfId="14969" xr:uid="{D4B598A2-2A93-4FF8-B4AA-68850FEF6690}"/>
    <cellStyle name="Normal 8 6 5 4" xfId="10751" xr:uid="{2F2D29F7-5A6E-4489-ACC3-361A9DB752C0}"/>
    <cellStyle name="Normal 8 6 6" xfId="2656" xr:uid="{00000000-0005-0000-0000-0000581E0000}"/>
    <cellStyle name="Normal 8 6 6 2" xfId="6940" xr:uid="{00000000-0005-0000-0000-0000591E0000}"/>
    <cellStyle name="Normal 8 6 6 2 2" xfId="15382" xr:uid="{9ED71C76-A252-46F3-AF52-857E97A30656}"/>
    <cellStyle name="Normal 8 6 6 3" xfId="11164" xr:uid="{6DCCEFA6-3B12-4F49-9392-7C7E0A6EA32E}"/>
    <cellStyle name="Normal 8 6 7" xfId="4875" xr:uid="{00000000-0005-0000-0000-00005A1E0000}"/>
    <cellStyle name="Normal 8 6 7 2" xfId="13317" xr:uid="{23199469-50B5-4080-A2AE-4C8EF7380ADE}"/>
    <cellStyle name="Normal 8 6 8" xfId="9099" xr:uid="{B3BFB496-8450-481B-98C5-2FEDC1D4B777}"/>
    <cellStyle name="Normal 8 7" xfId="945" xr:uid="{00000000-0005-0000-0000-00005B1E0000}"/>
    <cellStyle name="Normal 8 7 2" xfId="3179" xr:uid="{00000000-0005-0000-0000-00005C1E0000}"/>
    <cellStyle name="Normal 8 7 2 2" xfId="7402" xr:uid="{00000000-0005-0000-0000-00005D1E0000}"/>
    <cellStyle name="Normal 8 7 2 2 2" xfId="15844" xr:uid="{4E31DBB1-4444-4A26-8A48-EEC925DC3BB0}"/>
    <cellStyle name="Normal 8 7 2 3" xfId="11626" xr:uid="{CDE1646A-3059-49C5-8FC3-6172D40B33BA}"/>
    <cellStyle name="Normal 8 7 3" xfId="5257" xr:uid="{00000000-0005-0000-0000-00005E1E0000}"/>
    <cellStyle name="Normal 8 7 3 2" xfId="13699" xr:uid="{5EE3442C-8D24-485F-8D57-DFB9051C7353}"/>
    <cellStyle name="Normal 8 7 4" xfId="9481" xr:uid="{AB7964EF-260F-4606-AC1C-5BE1831AE254}"/>
    <cellStyle name="Normal 8 8" xfId="1362" xr:uid="{00000000-0005-0000-0000-00005F1E0000}"/>
    <cellStyle name="Normal 8 8 2" xfId="3592" xr:uid="{00000000-0005-0000-0000-0000601E0000}"/>
    <cellStyle name="Normal 8 8 2 2" xfId="7815" xr:uid="{00000000-0005-0000-0000-0000611E0000}"/>
    <cellStyle name="Normal 8 8 2 2 2" xfId="16257" xr:uid="{89EC1DE0-9F54-4B4B-8057-812245629C26}"/>
    <cellStyle name="Normal 8 8 2 3" xfId="12039" xr:uid="{4373A62A-E1E5-4E57-B66D-4BA511998117}"/>
    <cellStyle name="Normal 8 8 3" xfId="5670" xr:uid="{00000000-0005-0000-0000-0000621E0000}"/>
    <cellStyle name="Normal 8 8 3 2" xfId="14112" xr:uid="{B6905ACB-0B55-44F7-8D9C-508B517FACC4}"/>
    <cellStyle name="Normal 8 8 4" xfId="9894" xr:uid="{656885DB-DC22-4115-A361-AB2863344F2E}"/>
    <cellStyle name="Normal 8 9" xfId="1775" xr:uid="{00000000-0005-0000-0000-0000631E0000}"/>
    <cellStyle name="Normal 8 9 2" xfId="4005" xr:uid="{00000000-0005-0000-0000-0000641E0000}"/>
    <cellStyle name="Normal 8 9 2 2" xfId="8228" xr:uid="{00000000-0005-0000-0000-0000651E0000}"/>
    <cellStyle name="Normal 8 9 2 2 2" xfId="16670" xr:uid="{CD683D8A-D42D-48F3-B770-23CA8D9C979A}"/>
    <cellStyle name="Normal 8 9 2 3" xfId="12452" xr:uid="{BDFF56A3-593E-4EF8-B095-9C6BCDF8003F}"/>
    <cellStyle name="Normal 8 9 3" xfId="6083" xr:uid="{00000000-0005-0000-0000-0000661E0000}"/>
    <cellStyle name="Normal 8 9 3 2" xfId="14525" xr:uid="{8CE22B00-DBDD-40B2-AC40-BE5A2BCEDA7E}"/>
    <cellStyle name="Normal 8 9 4" xfId="10307" xr:uid="{55728AF9-95D9-4081-BD83-1492A1594B87}"/>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0 2 2" xfId="15383" xr:uid="{C02196A7-B96B-48B6-BF76-D66AEAE77AEC}"/>
    <cellStyle name="Normal 9 2 10 3" xfId="11165" xr:uid="{86FDCA38-08CA-4681-B696-567D94EA1394}"/>
    <cellStyle name="Normal 9 2 11" xfId="4876" xr:uid="{00000000-0005-0000-0000-00006B1E0000}"/>
    <cellStyle name="Normal 9 2 11 2" xfId="13318" xr:uid="{6E9E4160-E6A7-4CAA-A83F-C1759B13F24A}"/>
    <cellStyle name="Normal 9 2 12" xfId="9100" xr:uid="{92788EF1-0619-4580-95B0-1062EFFB94CE}"/>
    <cellStyle name="Normal 9 2 2" xfId="512" xr:uid="{00000000-0005-0000-0000-00006C1E0000}"/>
    <cellStyle name="Normal 9 2 2 10" xfId="4877" xr:uid="{00000000-0005-0000-0000-00006D1E0000}"/>
    <cellStyle name="Normal 9 2 2 10 2" xfId="13319" xr:uid="{BDA72302-DE3C-4C02-9CAE-ED4C6B45E96F}"/>
    <cellStyle name="Normal 9 2 2 11" xfId="9101" xr:uid="{DFF15A83-435C-412E-AD9C-7C4B98342EAD}"/>
    <cellStyle name="Normal 9 2 2 2" xfId="513" xr:uid="{00000000-0005-0000-0000-00006E1E0000}"/>
    <cellStyle name="Normal 9 2 2 2 10" xfId="9102" xr:uid="{BF554B75-1773-4565-A30D-5699F896755E}"/>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2 2 2" xfId="15880" xr:uid="{21BCA015-FCDC-47DE-8AE2-1524A1779D76}"/>
    <cellStyle name="Normal 9 2 2 2 2 2 2 2 3" xfId="11662" xr:uid="{AB41782A-BA40-4FCA-A38C-B3233031E8E4}"/>
    <cellStyle name="Normal 9 2 2 2 2 2 2 3" xfId="5293" xr:uid="{00000000-0005-0000-0000-0000741E0000}"/>
    <cellStyle name="Normal 9 2 2 2 2 2 2 3 2" xfId="13735" xr:uid="{97F2B7B2-AD38-444E-9008-06AB5709EA34}"/>
    <cellStyle name="Normal 9 2 2 2 2 2 2 4" xfId="9517" xr:uid="{C15DEF65-485B-45EA-A6E3-7C2C5D54B756}"/>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2 2 2" xfId="16293" xr:uid="{98581691-23B4-485D-B69A-9B98C25B0510}"/>
    <cellStyle name="Normal 9 2 2 2 2 2 3 2 3" xfId="12075" xr:uid="{059C7B59-9768-40CD-BF70-AA447804A34A}"/>
    <cellStyle name="Normal 9 2 2 2 2 2 3 3" xfId="5706" xr:uid="{00000000-0005-0000-0000-0000781E0000}"/>
    <cellStyle name="Normal 9 2 2 2 2 2 3 3 2" xfId="14148" xr:uid="{393F3408-FDD1-42BF-939F-34119F5E23A1}"/>
    <cellStyle name="Normal 9 2 2 2 2 2 3 4" xfId="9930" xr:uid="{274ED161-5478-43E2-A14E-46E5FD57EE04}"/>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2 2 2" xfId="16706" xr:uid="{59C2810D-0A2C-4F7A-B0E2-C4D226538372}"/>
    <cellStyle name="Normal 9 2 2 2 2 2 4 2 3" xfId="12488" xr:uid="{2BEB2C6F-CDE9-4265-946A-AB3CB5CFFDAC}"/>
    <cellStyle name="Normal 9 2 2 2 2 2 4 3" xfId="6119" xr:uid="{00000000-0005-0000-0000-00007C1E0000}"/>
    <cellStyle name="Normal 9 2 2 2 2 2 4 3 2" xfId="14561" xr:uid="{996B425F-BEB5-4B35-A956-E7FF0BFE4385}"/>
    <cellStyle name="Normal 9 2 2 2 2 2 4 4" xfId="10343" xr:uid="{F3D08088-F25B-4B3D-8400-E78242421B9E}"/>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2 2 2" xfId="17119" xr:uid="{A32CB469-FA55-4997-B80F-5CE9C4ADECF4}"/>
    <cellStyle name="Normal 9 2 2 2 2 2 5 2 3" xfId="12901" xr:uid="{1DDDFA3B-D832-48D9-91A7-4E3EBC6DB489}"/>
    <cellStyle name="Normal 9 2 2 2 2 2 5 3" xfId="6532" xr:uid="{00000000-0005-0000-0000-0000801E0000}"/>
    <cellStyle name="Normal 9 2 2 2 2 2 5 3 2" xfId="14974" xr:uid="{29E485C8-8A5B-455B-9E15-650A4018642A}"/>
    <cellStyle name="Normal 9 2 2 2 2 2 5 4" xfId="10756" xr:uid="{C5574647-7C3F-4607-AFC5-883C34966945}"/>
    <cellStyle name="Normal 9 2 2 2 2 2 6" xfId="2661" xr:uid="{00000000-0005-0000-0000-0000811E0000}"/>
    <cellStyle name="Normal 9 2 2 2 2 2 6 2" xfId="6945" xr:uid="{00000000-0005-0000-0000-0000821E0000}"/>
    <cellStyle name="Normal 9 2 2 2 2 2 6 2 2" xfId="15387" xr:uid="{987C98B4-8EA2-4DC8-B38B-EC8B782CC90E}"/>
    <cellStyle name="Normal 9 2 2 2 2 2 6 3" xfId="11169" xr:uid="{7C5340E8-2E7D-48A9-B5AD-0E2FFA11EC9B}"/>
    <cellStyle name="Normal 9 2 2 2 2 2 7" xfId="4880" xr:uid="{00000000-0005-0000-0000-0000831E0000}"/>
    <cellStyle name="Normal 9 2 2 2 2 2 7 2" xfId="13322" xr:uid="{6282B8D8-3B8A-4D8B-B07A-1912CF318BEB}"/>
    <cellStyle name="Normal 9 2 2 2 2 2 8" xfId="9104" xr:uid="{24EEC1C6-17A8-4FCA-A32A-F7559CFDA4C9}"/>
    <cellStyle name="Normal 9 2 2 2 2 3" xfId="981" xr:uid="{00000000-0005-0000-0000-0000841E0000}"/>
    <cellStyle name="Normal 9 2 2 2 2 3 2" xfId="3214" xr:uid="{00000000-0005-0000-0000-0000851E0000}"/>
    <cellStyle name="Normal 9 2 2 2 2 3 2 2" xfId="7437" xr:uid="{00000000-0005-0000-0000-0000861E0000}"/>
    <cellStyle name="Normal 9 2 2 2 2 3 2 2 2" xfId="15879" xr:uid="{A4B9B92A-44D3-4F2E-9808-25E15C3D8E4E}"/>
    <cellStyle name="Normal 9 2 2 2 2 3 2 3" xfId="11661" xr:uid="{142095D2-55F6-4B12-B335-40C1A065137F}"/>
    <cellStyle name="Normal 9 2 2 2 2 3 3" xfId="5292" xr:uid="{00000000-0005-0000-0000-0000871E0000}"/>
    <cellStyle name="Normal 9 2 2 2 2 3 3 2" xfId="13734" xr:uid="{529E7644-06BA-4580-B163-AF9BD55F4527}"/>
    <cellStyle name="Normal 9 2 2 2 2 3 4" xfId="9516" xr:uid="{47F683DA-A816-422B-9CFF-D6A21BDCA6B7}"/>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2 2 2" xfId="16292" xr:uid="{27A7BAAB-A8A6-441E-BBBD-31C915BBC985}"/>
    <cellStyle name="Normal 9 2 2 2 2 4 2 3" xfId="12074" xr:uid="{3FBA61B8-C1C4-490B-86E1-A9E207214552}"/>
    <cellStyle name="Normal 9 2 2 2 2 4 3" xfId="5705" xr:uid="{00000000-0005-0000-0000-00008B1E0000}"/>
    <cellStyle name="Normal 9 2 2 2 2 4 3 2" xfId="14147" xr:uid="{BCDB30C5-7F2A-45C5-94E9-4F37CF9D9872}"/>
    <cellStyle name="Normal 9 2 2 2 2 4 4" xfId="9929" xr:uid="{E2B8EF72-C9F5-4608-BAB8-B24B12EA852D}"/>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2 2 2" xfId="16705" xr:uid="{BAF2D56D-37E1-410C-BE16-C598D8063668}"/>
    <cellStyle name="Normal 9 2 2 2 2 5 2 3" xfId="12487" xr:uid="{0D4BDB46-1C0E-4E0A-BA99-973F733F1BA8}"/>
    <cellStyle name="Normal 9 2 2 2 2 5 3" xfId="6118" xr:uid="{00000000-0005-0000-0000-00008F1E0000}"/>
    <cellStyle name="Normal 9 2 2 2 2 5 3 2" xfId="14560" xr:uid="{F2422564-A1B8-4D5B-B3E3-B15E8B9FC2FE}"/>
    <cellStyle name="Normal 9 2 2 2 2 5 4" xfId="10342" xr:uid="{3EF7B6B9-B2DD-497A-994C-694769B59E19}"/>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2 2 2" xfId="17118" xr:uid="{78ED9728-D1C2-4182-B35A-034F1C7712F8}"/>
    <cellStyle name="Normal 9 2 2 2 2 6 2 3" xfId="12900" xr:uid="{497EFD63-0FAE-4A70-B239-3B6EF1FF7508}"/>
    <cellStyle name="Normal 9 2 2 2 2 6 3" xfId="6531" xr:uid="{00000000-0005-0000-0000-0000931E0000}"/>
    <cellStyle name="Normal 9 2 2 2 2 6 3 2" xfId="14973" xr:uid="{EBA4B86F-936E-4D6D-AF19-657A909EB94D}"/>
    <cellStyle name="Normal 9 2 2 2 2 6 4" xfId="10755" xr:uid="{D9DE3AE0-B651-4F25-88CC-C8050D0F353E}"/>
    <cellStyle name="Normal 9 2 2 2 2 7" xfId="2660" xr:uid="{00000000-0005-0000-0000-0000941E0000}"/>
    <cellStyle name="Normal 9 2 2 2 2 7 2" xfId="6944" xr:uid="{00000000-0005-0000-0000-0000951E0000}"/>
    <cellStyle name="Normal 9 2 2 2 2 7 2 2" xfId="15386" xr:uid="{ED135A0E-BF7A-4A87-B220-FD5CCE1568B4}"/>
    <cellStyle name="Normal 9 2 2 2 2 7 3" xfId="11168" xr:uid="{FA565766-277B-48BF-BAF2-885AE4B6E457}"/>
    <cellStyle name="Normal 9 2 2 2 2 8" xfId="4879" xr:uid="{00000000-0005-0000-0000-0000961E0000}"/>
    <cellStyle name="Normal 9 2 2 2 2 8 2" xfId="13321" xr:uid="{ADCCEAFE-FE0C-4E6C-A59E-2F3348766D66}"/>
    <cellStyle name="Normal 9 2 2 2 2 9" xfId="9103" xr:uid="{6A0E1419-C5A7-4D4C-B8E5-F5344E4E76B4}"/>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2 2 2" xfId="15881" xr:uid="{8430FA05-A6B7-4874-9931-0E4B8A754335}"/>
    <cellStyle name="Normal 9 2 2 2 3 2 2 3" xfId="11663" xr:uid="{7A672564-F59A-49C1-ADCC-5E0918DF975C}"/>
    <cellStyle name="Normal 9 2 2 2 3 2 3" xfId="5294" xr:uid="{00000000-0005-0000-0000-00009B1E0000}"/>
    <cellStyle name="Normal 9 2 2 2 3 2 3 2" xfId="13736" xr:uid="{9D78F926-7458-4F92-BB0D-E54BBCE65C1A}"/>
    <cellStyle name="Normal 9 2 2 2 3 2 4" xfId="9518" xr:uid="{28F1D8C0-4F81-4AD2-8AE9-8F071756D1D2}"/>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2 2 2" xfId="16294" xr:uid="{9107E41C-C6DF-4D7D-8B70-20C4AE275897}"/>
    <cellStyle name="Normal 9 2 2 2 3 3 2 3" xfId="12076" xr:uid="{82603267-D595-4905-BB55-59E3140FE644}"/>
    <cellStyle name="Normal 9 2 2 2 3 3 3" xfId="5707" xr:uid="{00000000-0005-0000-0000-00009F1E0000}"/>
    <cellStyle name="Normal 9 2 2 2 3 3 3 2" xfId="14149" xr:uid="{7963B8B6-AE27-4983-9838-066714CE0669}"/>
    <cellStyle name="Normal 9 2 2 2 3 3 4" xfId="9931" xr:uid="{A2CEEAB1-C8E8-4293-AF26-045E7B9C844B}"/>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2 2 2" xfId="16707" xr:uid="{2705A452-7E76-4171-BA3C-1C592FF9CC83}"/>
    <cellStyle name="Normal 9 2 2 2 3 4 2 3" xfId="12489" xr:uid="{B875CDDC-C5D3-4748-84D4-FB1C4089126D}"/>
    <cellStyle name="Normal 9 2 2 2 3 4 3" xfId="6120" xr:uid="{00000000-0005-0000-0000-0000A31E0000}"/>
    <cellStyle name="Normal 9 2 2 2 3 4 3 2" xfId="14562" xr:uid="{B34966E3-35BC-404C-99E2-8449757A94A0}"/>
    <cellStyle name="Normal 9 2 2 2 3 4 4" xfId="10344" xr:uid="{A403DD8D-8CF5-43E1-BC08-C5F44FD90BDE}"/>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2 2 2" xfId="17120" xr:uid="{CBBDE7EE-F5A0-4FE7-B8B9-355A5BC4BCEF}"/>
    <cellStyle name="Normal 9 2 2 2 3 5 2 3" xfId="12902" xr:uid="{5D0E29D4-EBFB-4D49-B84B-C1B353E2BE77}"/>
    <cellStyle name="Normal 9 2 2 2 3 5 3" xfId="6533" xr:uid="{00000000-0005-0000-0000-0000A71E0000}"/>
    <cellStyle name="Normal 9 2 2 2 3 5 3 2" xfId="14975" xr:uid="{A469C881-D8F0-4CBA-A2F5-D9DB76ED26AF}"/>
    <cellStyle name="Normal 9 2 2 2 3 5 4" xfId="10757" xr:uid="{646785DD-3415-4AD0-B78B-3218A8347C43}"/>
    <cellStyle name="Normal 9 2 2 2 3 6" xfId="2662" xr:uid="{00000000-0005-0000-0000-0000A81E0000}"/>
    <cellStyle name="Normal 9 2 2 2 3 6 2" xfId="6946" xr:uid="{00000000-0005-0000-0000-0000A91E0000}"/>
    <cellStyle name="Normal 9 2 2 2 3 6 2 2" xfId="15388" xr:uid="{D50327C1-0BAA-4AF3-873B-53D1C75D8770}"/>
    <cellStyle name="Normal 9 2 2 2 3 6 3" xfId="11170" xr:uid="{E9FB2E79-E476-4B0E-A1A5-D629FA7A18D3}"/>
    <cellStyle name="Normal 9 2 2 2 3 7" xfId="4881" xr:uid="{00000000-0005-0000-0000-0000AA1E0000}"/>
    <cellStyle name="Normal 9 2 2 2 3 7 2" xfId="13323" xr:uid="{8CA6C051-2419-4CFF-9020-F65DC402AC22}"/>
    <cellStyle name="Normal 9 2 2 2 3 8" xfId="9105" xr:uid="{D669CF01-6B6F-4498-A264-F27A038B96A9}"/>
    <cellStyle name="Normal 9 2 2 2 4" xfId="980" xr:uid="{00000000-0005-0000-0000-0000AB1E0000}"/>
    <cellStyle name="Normal 9 2 2 2 4 2" xfId="3213" xr:uid="{00000000-0005-0000-0000-0000AC1E0000}"/>
    <cellStyle name="Normal 9 2 2 2 4 2 2" xfId="7436" xr:uid="{00000000-0005-0000-0000-0000AD1E0000}"/>
    <cellStyle name="Normal 9 2 2 2 4 2 2 2" xfId="15878" xr:uid="{FE98A9E0-7181-411B-A6EF-6FF27B715DA8}"/>
    <cellStyle name="Normal 9 2 2 2 4 2 3" xfId="11660" xr:uid="{CBD35401-06CB-4AE3-8C9E-7DC651F33D7C}"/>
    <cellStyle name="Normal 9 2 2 2 4 3" xfId="5291" xr:uid="{00000000-0005-0000-0000-0000AE1E0000}"/>
    <cellStyle name="Normal 9 2 2 2 4 3 2" xfId="13733" xr:uid="{4847DBFC-7051-427A-BA58-19460378C4AE}"/>
    <cellStyle name="Normal 9 2 2 2 4 4" xfId="9515" xr:uid="{E0DE6F15-CF93-497A-AE37-F37801A5C365}"/>
    <cellStyle name="Normal 9 2 2 2 5" xfId="1396" xr:uid="{00000000-0005-0000-0000-0000AF1E0000}"/>
    <cellStyle name="Normal 9 2 2 2 5 2" xfId="3626" xr:uid="{00000000-0005-0000-0000-0000B01E0000}"/>
    <cellStyle name="Normal 9 2 2 2 5 2 2" xfId="7849" xr:uid="{00000000-0005-0000-0000-0000B11E0000}"/>
    <cellStyle name="Normal 9 2 2 2 5 2 2 2" xfId="16291" xr:uid="{C3E54404-9C65-4A5C-8368-E1002BAEB2D6}"/>
    <cellStyle name="Normal 9 2 2 2 5 2 3" xfId="12073" xr:uid="{0492272F-E9D9-4BCF-B0BD-D35104FE989A}"/>
    <cellStyle name="Normal 9 2 2 2 5 3" xfId="5704" xr:uid="{00000000-0005-0000-0000-0000B21E0000}"/>
    <cellStyle name="Normal 9 2 2 2 5 3 2" xfId="14146" xr:uid="{F5B95756-08BD-4651-9183-0B231F0C58B0}"/>
    <cellStyle name="Normal 9 2 2 2 5 4" xfId="9928" xr:uid="{5D39CE2A-7667-48B7-B79D-5FB6219BBA22}"/>
    <cellStyle name="Normal 9 2 2 2 6" xfId="1809" xr:uid="{00000000-0005-0000-0000-0000B31E0000}"/>
    <cellStyle name="Normal 9 2 2 2 6 2" xfId="4039" xr:uid="{00000000-0005-0000-0000-0000B41E0000}"/>
    <cellStyle name="Normal 9 2 2 2 6 2 2" xfId="8262" xr:uid="{00000000-0005-0000-0000-0000B51E0000}"/>
    <cellStyle name="Normal 9 2 2 2 6 2 2 2" xfId="16704" xr:uid="{5828E6C9-6AD1-402D-8E62-3C28AEE24E22}"/>
    <cellStyle name="Normal 9 2 2 2 6 2 3" xfId="12486" xr:uid="{C4DAC668-58A7-49E9-A699-654D316B9F2B}"/>
    <cellStyle name="Normal 9 2 2 2 6 3" xfId="6117" xr:uid="{00000000-0005-0000-0000-0000B61E0000}"/>
    <cellStyle name="Normal 9 2 2 2 6 3 2" xfId="14559" xr:uid="{45C6AE2C-2075-4D81-AAF8-1D285E3CA61B}"/>
    <cellStyle name="Normal 9 2 2 2 6 4" xfId="10341" xr:uid="{CC09E3FC-622E-4834-80A2-4D929B3619D8}"/>
    <cellStyle name="Normal 9 2 2 2 7" xfId="2223" xr:uid="{00000000-0005-0000-0000-0000B71E0000}"/>
    <cellStyle name="Normal 9 2 2 2 7 2" xfId="4452" xr:uid="{00000000-0005-0000-0000-0000B81E0000}"/>
    <cellStyle name="Normal 9 2 2 2 7 2 2" xfId="8675" xr:uid="{00000000-0005-0000-0000-0000B91E0000}"/>
    <cellStyle name="Normal 9 2 2 2 7 2 2 2" xfId="17117" xr:uid="{75953961-6A9F-4E51-B1A0-51355396BB75}"/>
    <cellStyle name="Normal 9 2 2 2 7 2 3" xfId="12899" xr:uid="{B5D26CD7-1321-4D58-A38C-A210D3777858}"/>
    <cellStyle name="Normal 9 2 2 2 7 3" xfId="6530" xr:uid="{00000000-0005-0000-0000-0000BA1E0000}"/>
    <cellStyle name="Normal 9 2 2 2 7 3 2" xfId="14972" xr:uid="{029B82E4-479F-4F9C-9284-93E317A0D776}"/>
    <cellStyle name="Normal 9 2 2 2 7 4" xfId="10754" xr:uid="{1434BB9C-B638-4BEC-A2B2-257D78CF17EB}"/>
    <cellStyle name="Normal 9 2 2 2 8" xfId="2659" xr:uid="{00000000-0005-0000-0000-0000BB1E0000}"/>
    <cellStyle name="Normal 9 2 2 2 8 2" xfId="6943" xr:uid="{00000000-0005-0000-0000-0000BC1E0000}"/>
    <cellStyle name="Normal 9 2 2 2 8 2 2" xfId="15385" xr:uid="{98F8C37B-8353-4481-B6B5-904A35FDACAC}"/>
    <cellStyle name="Normal 9 2 2 2 8 3" xfId="11167" xr:uid="{D60B878C-D4DD-4A9C-8FF5-0E1631C68D3C}"/>
    <cellStyle name="Normal 9 2 2 2 9" xfId="4878" xr:uid="{00000000-0005-0000-0000-0000BD1E0000}"/>
    <cellStyle name="Normal 9 2 2 2 9 2" xfId="13320" xr:uid="{268318F2-94B2-47F1-9361-FCD77AE10B97}"/>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2 2 2" xfId="15883" xr:uid="{F78501AF-7667-48B3-9659-A8DBDEDC0F0C}"/>
    <cellStyle name="Normal 9 2 2 3 2 2 2 3" xfId="11665" xr:uid="{4833227E-D895-4629-8B3B-E2C716841DBC}"/>
    <cellStyle name="Normal 9 2 2 3 2 2 3" xfId="5296" xr:uid="{00000000-0005-0000-0000-0000C31E0000}"/>
    <cellStyle name="Normal 9 2 2 3 2 2 3 2" xfId="13738" xr:uid="{FA4ACA02-A47C-4F87-AB19-4127DC506958}"/>
    <cellStyle name="Normal 9 2 2 3 2 2 4" xfId="9520" xr:uid="{8E18B2E1-1802-4870-919C-7E858B8ECA2B}"/>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2 2 2" xfId="16296" xr:uid="{940FE001-D28A-4B60-9AFC-D5AB85BDDF1F}"/>
    <cellStyle name="Normal 9 2 2 3 2 3 2 3" xfId="12078" xr:uid="{BA539670-78AF-479D-A431-B41579CCBB5E}"/>
    <cellStyle name="Normal 9 2 2 3 2 3 3" xfId="5709" xr:uid="{00000000-0005-0000-0000-0000C71E0000}"/>
    <cellStyle name="Normal 9 2 2 3 2 3 3 2" xfId="14151" xr:uid="{31E727A7-64A0-4D55-A835-BAD20F1E8916}"/>
    <cellStyle name="Normal 9 2 2 3 2 3 4" xfId="9933" xr:uid="{CB4D52F4-0F80-47AB-83A8-81A279B0CACE}"/>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2 2 2" xfId="16709" xr:uid="{A85D894C-C568-4423-954A-6B57FA48A532}"/>
    <cellStyle name="Normal 9 2 2 3 2 4 2 3" xfId="12491" xr:uid="{C26F8742-81B4-425E-B01B-D2DD6291DA0F}"/>
    <cellStyle name="Normal 9 2 2 3 2 4 3" xfId="6122" xr:uid="{00000000-0005-0000-0000-0000CB1E0000}"/>
    <cellStyle name="Normal 9 2 2 3 2 4 3 2" xfId="14564" xr:uid="{5B8F2DDA-64F1-4F66-A55F-3446071CB824}"/>
    <cellStyle name="Normal 9 2 2 3 2 4 4" xfId="10346" xr:uid="{9D6410D5-48D9-4AE5-B81D-991D744AD138}"/>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2 2 2" xfId="17122" xr:uid="{8BEC0A2B-07BB-4B28-B942-3BD1EA4BE45E}"/>
    <cellStyle name="Normal 9 2 2 3 2 5 2 3" xfId="12904" xr:uid="{2F3D8AFA-390C-41F9-B6D3-33E6B8E4024C}"/>
    <cellStyle name="Normal 9 2 2 3 2 5 3" xfId="6535" xr:uid="{00000000-0005-0000-0000-0000CF1E0000}"/>
    <cellStyle name="Normal 9 2 2 3 2 5 3 2" xfId="14977" xr:uid="{414CB193-A649-49A7-A933-0B90A4FE278C}"/>
    <cellStyle name="Normal 9 2 2 3 2 5 4" xfId="10759" xr:uid="{21883C85-336E-490B-AF4A-A8479EFC557B}"/>
    <cellStyle name="Normal 9 2 2 3 2 6" xfId="2664" xr:uid="{00000000-0005-0000-0000-0000D01E0000}"/>
    <cellStyle name="Normal 9 2 2 3 2 6 2" xfId="6948" xr:uid="{00000000-0005-0000-0000-0000D11E0000}"/>
    <cellStyle name="Normal 9 2 2 3 2 6 2 2" xfId="15390" xr:uid="{FDFE2B84-6B48-47F9-AB8B-40463C29C806}"/>
    <cellStyle name="Normal 9 2 2 3 2 6 3" xfId="11172" xr:uid="{1EC09F86-0DE1-40C3-81EA-D9A70D7856FD}"/>
    <cellStyle name="Normal 9 2 2 3 2 7" xfId="4883" xr:uid="{00000000-0005-0000-0000-0000D21E0000}"/>
    <cellStyle name="Normal 9 2 2 3 2 7 2" xfId="13325" xr:uid="{BBE9806C-9354-49D8-90F5-55D3DE99C511}"/>
    <cellStyle name="Normal 9 2 2 3 2 8" xfId="9107" xr:uid="{C764663F-0547-4DFD-8E1A-83251E4AE4C1}"/>
    <cellStyle name="Normal 9 2 2 3 3" xfId="984" xr:uid="{00000000-0005-0000-0000-0000D31E0000}"/>
    <cellStyle name="Normal 9 2 2 3 3 2" xfId="3217" xr:uid="{00000000-0005-0000-0000-0000D41E0000}"/>
    <cellStyle name="Normal 9 2 2 3 3 2 2" xfId="7440" xr:uid="{00000000-0005-0000-0000-0000D51E0000}"/>
    <cellStyle name="Normal 9 2 2 3 3 2 2 2" xfId="15882" xr:uid="{D70932A1-94B0-41E0-AFB8-2209650B2871}"/>
    <cellStyle name="Normal 9 2 2 3 3 2 3" xfId="11664" xr:uid="{2E4F2A6C-75C4-4FE1-B16A-78332B6876D2}"/>
    <cellStyle name="Normal 9 2 2 3 3 3" xfId="5295" xr:uid="{00000000-0005-0000-0000-0000D61E0000}"/>
    <cellStyle name="Normal 9 2 2 3 3 3 2" xfId="13737" xr:uid="{FE499BE8-FB2E-44A2-AA66-2ACFB79661A6}"/>
    <cellStyle name="Normal 9 2 2 3 3 4" xfId="9519" xr:uid="{B46E55CC-9780-456C-BEA1-9A9160133FF1}"/>
    <cellStyle name="Normal 9 2 2 3 4" xfId="1400" xr:uid="{00000000-0005-0000-0000-0000D71E0000}"/>
    <cellStyle name="Normal 9 2 2 3 4 2" xfId="3630" xr:uid="{00000000-0005-0000-0000-0000D81E0000}"/>
    <cellStyle name="Normal 9 2 2 3 4 2 2" xfId="7853" xr:uid="{00000000-0005-0000-0000-0000D91E0000}"/>
    <cellStyle name="Normal 9 2 2 3 4 2 2 2" xfId="16295" xr:uid="{59ECFC2A-21A5-469D-8456-BDD0EE717827}"/>
    <cellStyle name="Normal 9 2 2 3 4 2 3" xfId="12077" xr:uid="{8B9AC09C-5353-4422-A563-847641E2B6CE}"/>
    <cellStyle name="Normal 9 2 2 3 4 3" xfId="5708" xr:uid="{00000000-0005-0000-0000-0000DA1E0000}"/>
    <cellStyle name="Normal 9 2 2 3 4 3 2" xfId="14150" xr:uid="{70D6E094-F2B3-4A5C-A71B-855375D832EE}"/>
    <cellStyle name="Normal 9 2 2 3 4 4" xfId="9932" xr:uid="{AC234C07-F422-48D7-AA21-76EAF88F7368}"/>
    <cellStyle name="Normal 9 2 2 3 5" xfId="1813" xr:uid="{00000000-0005-0000-0000-0000DB1E0000}"/>
    <cellStyle name="Normal 9 2 2 3 5 2" xfId="4043" xr:uid="{00000000-0005-0000-0000-0000DC1E0000}"/>
    <cellStyle name="Normal 9 2 2 3 5 2 2" xfId="8266" xr:uid="{00000000-0005-0000-0000-0000DD1E0000}"/>
    <cellStyle name="Normal 9 2 2 3 5 2 2 2" xfId="16708" xr:uid="{A8E39597-730C-4F6B-BBD6-1F074E9FD6AB}"/>
    <cellStyle name="Normal 9 2 2 3 5 2 3" xfId="12490" xr:uid="{9DC08B2F-6A27-4B23-8A00-F008779B6048}"/>
    <cellStyle name="Normal 9 2 2 3 5 3" xfId="6121" xr:uid="{00000000-0005-0000-0000-0000DE1E0000}"/>
    <cellStyle name="Normal 9 2 2 3 5 3 2" xfId="14563" xr:uid="{816EE2DD-ABD7-46E2-ABCB-5D13CB9AE570}"/>
    <cellStyle name="Normal 9 2 2 3 5 4" xfId="10345" xr:uid="{904413C4-99B9-4731-8E77-1C6F6D1ABDE2}"/>
    <cellStyle name="Normal 9 2 2 3 6" xfId="2227" xr:uid="{00000000-0005-0000-0000-0000DF1E0000}"/>
    <cellStyle name="Normal 9 2 2 3 6 2" xfId="4456" xr:uid="{00000000-0005-0000-0000-0000E01E0000}"/>
    <cellStyle name="Normal 9 2 2 3 6 2 2" xfId="8679" xr:uid="{00000000-0005-0000-0000-0000E11E0000}"/>
    <cellStyle name="Normal 9 2 2 3 6 2 2 2" xfId="17121" xr:uid="{8BD22941-32D2-4451-A01B-7AAF1B9AD14C}"/>
    <cellStyle name="Normal 9 2 2 3 6 2 3" xfId="12903" xr:uid="{BA72C928-4C65-4534-8CD6-3636A232CB23}"/>
    <cellStyle name="Normal 9 2 2 3 6 3" xfId="6534" xr:uid="{00000000-0005-0000-0000-0000E21E0000}"/>
    <cellStyle name="Normal 9 2 2 3 6 3 2" xfId="14976" xr:uid="{7EB737B0-0386-4B83-AA5C-799F23BA2F63}"/>
    <cellStyle name="Normal 9 2 2 3 6 4" xfId="10758" xr:uid="{5F3FB91E-E102-48EB-B65C-7A9C211E5E88}"/>
    <cellStyle name="Normal 9 2 2 3 7" xfId="2663" xr:uid="{00000000-0005-0000-0000-0000E31E0000}"/>
    <cellStyle name="Normal 9 2 2 3 7 2" xfId="6947" xr:uid="{00000000-0005-0000-0000-0000E41E0000}"/>
    <cellStyle name="Normal 9 2 2 3 7 2 2" xfId="15389" xr:uid="{9281B28F-DC72-40E5-86EA-4F225D2C19F3}"/>
    <cellStyle name="Normal 9 2 2 3 7 3" xfId="11171" xr:uid="{7625C449-77FB-4BE4-B3ED-8A3127E2B810}"/>
    <cellStyle name="Normal 9 2 2 3 8" xfId="4882" xr:uid="{00000000-0005-0000-0000-0000E51E0000}"/>
    <cellStyle name="Normal 9 2 2 3 8 2" xfId="13324" xr:uid="{9FFE6305-CA38-4A02-87BC-35B75C53058E}"/>
    <cellStyle name="Normal 9 2 2 3 9" xfId="9106" xr:uid="{13CBC50A-0DFE-488C-B853-A4883BB0ABAE}"/>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2 2 2" xfId="15884" xr:uid="{4624FCEF-14C0-48D2-A03D-D59F8009A175}"/>
    <cellStyle name="Normal 9 2 2 4 2 2 3" xfId="11666" xr:uid="{F92658B5-41DF-4B45-84EF-658C00E4DDAD}"/>
    <cellStyle name="Normal 9 2 2 4 2 3" xfId="5297" xr:uid="{00000000-0005-0000-0000-0000EA1E0000}"/>
    <cellStyle name="Normal 9 2 2 4 2 3 2" xfId="13739" xr:uid="{F902C6B6-5943-4972-9CEC-6713A0221EF4}"/>
    <cellStyle name="Normal 9 2 2 4 2 4" xfId="9521" xr:uid="{D1264A41-EE37-4326-A316-212AB41903E6}"/>
    <cellStyle name="Normal 9 2 2 4 3" xfId="1402" xr:uid="{00000000-0005-0000-0000-0000EB1E0000}"/>
    <cellStyle name="Normal 9 2 2 4 3 2" xfId="3632" xr:uid="{00000000-0005-0000-0000-0000EC1E0000}"/>
    <cellStyle name="Normal 9 2 2 4 3 2 2" xfId="7855" xr:uid="{00000000-0005-0000-0000-0000ED1E0000}"/>
    <cellStyle name="Normal 9 2 2 4 3 2 2 2" xfId="16297" xr:uid="{7E7C7C3E-AEC9-4866-A0C4-A96FE1BB33E1}"/>
    <cellStyle name="Normal 9 2 2 4 3 2 3" xfId="12079" xr:uid="{797D56C1-3EF8-4558-95F9-38AF2A4884A2}"/>
    <cellStyle name="Normal 9 2 2 4 3 3" xfId="5710" xr:uid="{00000000-0005-0000-0000-0000EE1E0000}"/>
    <cellStyle name="Normal 9 2 2 4 3 3 2" xfId="14152" xr:uid="{7F512A8C-5C33-478A-BEB5-839A1F151FCA}"/>
    <cellStyle name="Normal 9 2 2 4 3 4" xfId="9934" xr:uid="{E59A7C88-C2C5-491A-8326-3FA7A6ADCF46}"/>
    <cellStyle name="Normal 9 2 2 4 4" xfId="1815" xr:uid="{00000000-0005-0000-0000-0000EF1E0000}"/>
    <cellStyle name="Normal 9 2 2 4 4 2" xfId="4045" xr:uid="{00000000-0005-0000-0000-0000F01E0000}"/>
    <cellStyle name="Normal 9 2 2 4 4 2 2" xfId="8268" xr:uid="{00000000-0005-0000-0000-0000F11E0000}"/>
    <cellStyle name="Normal 9 2 2 4 4 2 2 2" xfId="16710" xr:uid="{06D091CC-A17E-4029-8BAA-6F985EDDB081}"/>
    <cellStyle name="Normal 9 2 2 4 4 2 3" xfId="12492" xr:uid="{799E437D-5460-4123-8D1E-8F5C928E02A4}"/>
    <cellStyle name="Normal 9 2 2 4 4 3" xfId="6123" xr:uid="{00000000-0005-0000-0000-0000F21E0000}"/>
    <cellStyle name="Normal 9 2 2 4 4 3 2" xfId="14565" xr:uid="{368A158B-C5EB-4C32-AB64-67F46E8326C8}"/>
    <cellStyle name="Normal 9 2 2 4 4 4" xfId="10347" xr:uid="{9279A428-D0A2-42A7-9BD8-6AC455A8051F}"/>
    <cellStyle name="Normal 9 2 2 4 5" xfId="2229" xr:uid="{00000000-0005-0000-0000-0000F31E0000}"/>
    <cellStyle name="Normal 9 2 2 4 5 2" xfId="4458" xr:uid="{00000000-0005-0000-0000-0000F41E0000}"/>
    <cellStyle name="Normal 9 2 2 4 5 2 2" xfId="8681" xr:uid="{00000000-0005-0000-0000-0000F51E0000}"/>
    <cellStyle name="Normal 9 2 2 4 5 2 2 2" xfId="17123" xr:uid="{7DA97828-BF51-4204-8385-B9D48B7F6D5A}"/>
    <cellStyle name="Normal 9 2 2 4 5 2 3" xfId="12905" xr:uid="{64038000-3F19-4488-8423-2FAE3FD41C50}"/>
    <cellStyle name="Normal 9 2 2 4 5 3" xfId="6536" xr:uid="{00000000-0005-0000-0000-0000F61E0000}"/>
    <cellStyle name="Normal 9 2 2 4 5 3 2" xfId="14978" xr:uid="{FC967BDC-2B7D-47ED-965D-0D4A30A59874}"/>
    <cellStyle name="Normal 9 2 2 4 5 4" xfId="10760" xr:uid="{1B183AA1-A45F-497E-B5FE-6C4CAC907D65}"/>
    <cellStyle name="Normal 9 2 2 4 6" xfId="2665" xr:uid="{00000000-0005-0000-0000-0000F71E0000}"/>
    <cellStyle name="Normal 9 2 2 4 6 2" xfId="6949" xr:uid="{00000000-0005-0000-0000-0000F81E0000}"/>
    <cellStyle name="Normal 9 2 2 4 6 2 2" xfId="15391" xr:uid="{A14E7057-849E-47F6-AEF0-586166DACD33}"/>
    <cellStyle name="Normal 9 2 2 4 6 3" xfId="11173" xr:uid="{CC724323-F40E-4D4D-B4C2-1039485AAFC9}"/>
    <cellStyle name="Normal 9 2 2 4 7" xfId="4884" xr:uid="{00000000-0005-0000-0000-0000F91E0000}"/>
    <cellStyle name="Normal 9 2 2 4 7 2" xfId="13326" xr:uid="{F11453B9-FAB0-489B-A97E-61C7F1389FE9}"/>
    <cellStyle name="Normal 9 2 2 4 8" xfId="9108" xr:uid="{8BA84CC6-DCC6-4939-B722-863AC5088433}"/>
    <cellStyle name="Normal 9 2 2 5" xfId="979" xr:uid="{00000000-0005-0000-0000-0000FA1E0000}"/>
    <cellStyle name="Normal 9 2 2 5 2" xfId="3212" xr:uid="{00000000-0005-0000-0000-0000FB1E0000}"/>
    <cellStyle name="Normal 9 2 2 5 2 2" xfId="7435" xr:uid="{00000000-0005-0000-0000-0000FC1E0000}"/>
    <cellStyle name="Normal 9 2 2 5 2 2 2" xfId="15877" xr:uid="{4A867B7D-0504-46DB-8DE0-A99228405EBF}"/>
    <cellStyle name="Normal 9 2 2 5 2 3" xfId="11659" xr:uid="{34D44C8A-CA28-4B7E-A0B8-4ED337F92236}"/>
    <cellStyle name="Normal 9 2 2 5 3" xfId="5290" xr:uid="{00000000-0005-0000-0000-0000FD1E0000}"/>
    <cellStyle name="Normal 9 2 2 5 3 2" xfId="13732" xr:uid="{E1D9AA12-EF9E-4883-9D24-63188E9903AC}"/>
    <cellStyle name="Normal 9 2 2 5 4" xfId="9514" xr:uid="{E0D41D7E-FB3A-43E6-BBC2-67ED92FE66E5}"/>
    <cellStyle name="Normal 9 2 2 6" xfId="1395" xr:uid="{00000000-0005-0000-0000-0000FE1E0000}"/>
    <cellStyle name="Normal 9 2 2 6 2" xfId="3625" xr:uid="{00000000-0005-0000-0000-0000FF1E0000}"/>
    <cellStyle name="Normal 9 2 2 6 2 2" xfId="7848" xr:uid="{00000000-0005-0000-0000-0000001F0000}"/>
    <cellStyle name="Normal 9 2 2 6 2 2 2" xfId="16290" xr:uid="{972095B7-B173-491F-B248-AD93B02136DC}"/>
    <cellStyle name="Normal 9 2 2 6 2 3" xfId="12072" xr:uid="{8949C906-CA6C-4B5B-9D8B-86B549580FE6}"/>
    <cellStyle name="Normal 9 2 2 6 3" xfId="5703" xr:uid="{00000000-0005-0000-0000-0000011F0000}"/>
    <cellStyle name="Normal 9 2 2 6 3 2" xfId="14145" xr:uid="{9DAC88C6-98A8-4420-BC28-7F9F5AA58AF0}"/>
    <cellStyle name="Normal 9 2 2 6 4" xfId="9927" xr:uid="{D7C20DAD-A26A-4806-B983-0F4F43375741}"/>
    <cellStyle name="Normal 9 2 2 7" xfId="1808" xr:uid="{00000000-0005-0000-0000-0000021F0000}"/>
    <cellStyle name="Normal 9 2 2 7 2" xfId="4038" xr:uid="{00000000-0005-0000-0000-0000031F0000}"/>
    <cellStyle name="Normal 9 2 2 7 2 2" xfId="8261" xr:uid="{00000000-0005-0000-0000-0000041F0000}"/>
    <cellStyle name="Normal 9 2 2 7 2 2 2" xfId="16703" xr:uid="{12605A70-BFBD-49A5-B9AA-34370BDE9FC1}"/>
    <cellStyle name="Normal 9 2 2 7 2 3" xfId="12485" xr:uid="{37D4CB97-CCAA-4375-9EFD-6FC136A80E84}"/>
    <cellStyle name="Normal 9 2 2 7 3" xfId="6116" xr:uid="{00000000-0005-0000-0000-0000051F0000}"/>
    <cellStyle name="Normal 9 2 2 7 3 2" xfId="14558" xr:uid="{5BE775F8-A59B-4E53-8FEF-977B287002CE}"/>
    <cellStyle name="Normal 9 2 2 7 4" xfId="10340" xr:uid="{D01A6795-825C-4E13-B503-07850A3FED5E}"/>
    <cellStyle name="Normal 9 2 2 8" xfId="2222" xr:uid="{00000000-0005-0000-0000-0000061F0000}"/>
    <cellStyle name="Normal 9 2 2 8 2" xfId="4451" xr:uid="{00000000-0005-0000-0000-0000071F0000}"/>
    <cellStyle name="Normal 9 2 2 8 2 2" xfId="8674" xr:uid="{00000000-0005-0000-0000-0000081F0000}"/>
    <cellStyle name="Normal 9 2 2 8 2 2 2" xfId="17116" xr:uid="{FCEC5F5F-02EE-4107-92D3-04F0D073F9C9}"/>
    <cellStyle name="Normal 9 2 2 8 2 3" xfId="12898" xr:uid="{AD4E206E-3A7C-46BA-9DBB-F6FEC4EB35CC}"/>
    <cellStyle name="Normal 9 2 2 8 3" xfId="6529" xr:uid="{00000000-0005-0000-0000-0000091F0000}"/>
    <cellStyle name="Normal 9 2 2 8 3 2" xfId="14971" xr:uid="{7FF2062C-3973-4256-8753-BB20607E356F}"/>
    <cellStyle name="Normal 9 2 2 8 4" xfId="10753" xr:uid="{43507D77-F026-4ABA-8670-D309670B3D48}"/>
    <cellStyle name="Normal 9 2 2 9" xfId="2658" xr:uid="{00000000-0005-0000-0000-00000A1F0000}"/>
    <cellStyle name="Normal 9 2 2 9 2" xfId="6942" xr:uid="{00000000-0005-0000-0000-00000B1F0000}"/>
    <cellStyle name="Normal 9 2 2 9 2 2" xfId="15384" xr:uid="{6D81E0D3-B24F-47E9-8A70-E706405D426D}"/>
    <cellStyle name="Normal 9 2 2 9 3" xfId="11166" xr:uid="{3D442107-431E-4431-AADC-1631755C5A70}"/>
    <cellStyle name="Normal 9 2 3" xfId="520" xr:uid="{00000000-0005-0000-0000-00000C1F0000}"/>
    <cellStyle name="Normal 9 2 3 10" xfId="9109" xr:uid="{993144FB-88C9-40B4-B229-5F5F76A853ED}"/>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2 2 2" xfId="15887" xr:uid="{A759CEB3-30AF-429E-BEA6-DCA77FE485FC}"/>
    <cellStyle name="Normal 9 2 3 2 2 2 2 3" xfId="11669" xr:uid="{BBCFC906-40F2-455D-B604-5C6CB2115A83}"/>
    <cellStyle name="Normal 9 2 3 2 2 2 3" xfId="5300" xr:uid="{00000000-0005-0000-0000-0000121F0000}"/>
    <cellStyle name="Normal 9 2 3 2 2 2 3 2" xfId="13742" xr:uid="{CCC2DCDF-895B-4FAE-80F9-AB55C197FC3E}"/>
    <cellStyle name="Normal 9 2 3 2 2 2 4" xfId="9524" xr:uid="{8447D40F-AAFB-4E27-B569-B1BBBEB46216}"/>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2 2 2" xfId="16300" xr:uid="{282420CD-2A3C-46AD-9217-69A87C1DFB9F}"/>
    <cellStyle name="Normal 9 2 3 2 2 3 2 3" xfId="12082" xr:uid="{F6FB9444-4CD4-4AC6-A61D-B02BC80ACEBE}"/>
    <cellStyle name="Normal 9 2 3 2 2 3 3" xfId="5713" xr:uid="{00000000-0005-0000-0000-0000161F0000}"/>
    <cellStyle name="Normal 9 2 3 2 2 3 3 2" xfId="14155" xr:uid="{9869ECFF-D1B2-41F5-9C96-296AC39F0625}"/>
    <cellStyle name="Normal 9 2 3 2 2 3 4" xfId="9937" xr:uid="{27EEB42D-D4EE-4447-8681-06ACFAFC89F5}"/>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2 2 2" xfId="16713" xr:uid="{65B745E5-3254-4374-9E12-A5EC353F9BDA}"/>
    <cellStyle name="Normal 9 2 3 2 2 4 2 3" xfId="12495" xr:uid="{DE56CB08-FCA7-4074-8292-76916844E75E}"/>
    <cellStyle name="Normal 9 2 3 2 2 4 3" xfId="6126" xr:uid="{00000000-0005-0000-0000-00001A1F0000}"/>
    <cellStyle name="Normal 9 2 3 2 2 4 3 2" xfId="14568" xr:uid="{81533698-814F-4E83-AC46-B5C761D4B7C5}"/>
    <cellStyle name="Normal 9 2 3 2 2 4 4" xfId="10350" xr:uid="{E90BDACD-5E23-496E-82AC-0821DA9A338B}"/>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2 2 2" xfId="17126" xr:uid="{3C377DE4-2F18-485B-B7C0-8D58CD8C80D2}"/>
    <cellStyle name="Normal 9 2 3 2 2 5 2 3" xfId="12908" xr:uid="{C1601F06-5177-41AE-AF3A-4EE94E499EE5}"/>
    <cellStyle name="Normal 9 2 3 2 2 5 3" xfId="6539" xr:uid="{00000000-0005-0000-0000-00001E1F0000}"/>
    <cellStyle name="Normal 9 2 3 2 2 5 3 2" xfId="14981" xr:uid="{42B2C0C3-E94D-4D0E-ADFE-BA0FE93CAE36}"/>
    <cellStyle name="Normal 9 2 3 2 2 5 4" xfId="10763" xr:uid="{739AA601-B201-4FE2-8758-2E82A9C31C71}"/>
    <cellStyle name="Normal 9 2 3 2 2 6" xfId="2668" xr:uid="{00000000-0005-0000-0000-00001F1F0000}"/>
    <cellStyle name="Normal 9 2 3 2 2 6 2" xfId="6952" xr:uid="{00000000-0005-0000-0000-0000201F0000}"/>
    <cellStyle name="Normal 9 2 3 2 2 6 2 2" xfId="15394" xr:uid="{A3A04716-060B-42E0-A560-F6C73055F6FE}"/>
    <cellStyle name="Normal 9 2 3 2 2 6 3" xfId="11176" xr:uid="{418C6670-5C5D-46AF-8022-3CDA734F6A0A}"/>
    <cellStyle name="Normal 9 2 3 2 2 7" xfId="4887" xr:uid="{00000000-0005-0000-0000-0000211F0000}"/>
    <cellStyle name="Normal 9 2 3 2 2 7 2" xfId="13329" xr:uid="{E5ED2858-9AB7-41EF-9363-67639B590E46}"/>
    <cellStyle name="Normal 9 2 3 2 2 8" xfId="9111" xr:uid="{B59A582C-1A26-4BB6-9E81-3CF5A4E8A8A5}"/>
    <cellStyle name="Normal 9 2 3 2 3" xfId="988" xr:uid="{00000000-0005-0000-0000-0000221F0000}"/>
    <cellStyle name="Normal 9 2 3 2 3 2" xfId="3221" xr:uid="{00000000-0005-0000-0000-0000231F0000}"/>
    <cellStyle name="Normal 9 2 3 2 3 2 2" xfId="7444" xr:uid="{00000000-0005-0000-0000-0000241F0000}"/>
    <cellStyle name="Normal 9 2 3 2 3 2 2 2" xfId="15886" xr:uid="{E70656BA-3033-4C39-B9C1-DCC2C83117C3}"/>
    <cellStyle name="Normal 9 2 3 2 3 2 3" xfId="11668" xr:uid="{3DBC16C4-4DCA-4CC2-99B6-404AEB8F67C4}"/>
    <cellStyle name="Normal 9 2 3 2 3 3" xfId="5299" xr:uid="{00000000-0005-0000-0000-0000251F0000}"/>
    <cellStyle name="Normal 9 2 3 2 3 3 2" xfId="13741" xr:uid="{4D75864C-F3C0-4BE2-AA9B-6F7927EB5073}"/>
    <cellStyle name="Normal 9 2 3 2 3 4" xfId="9523" xr:uid="{4298CB4D-9239-47D9-A921-8E07E2774A33}"/>
    <cellStyle name="Normal 9 2 3 2 4" xfId="1404" xr:uid="{00000000-0005-0000-0000-0000261F0000}"/>
    <cellStyle name="Normal 9 2 3 2 4 2" xfId="3634" xr:uid="{00000000-0005-0000-0000-0000271F0000}"/>
    <cellStyle name="Normal 9 2 3 2 4 2 2" xfId="7857" xr:uid="{00000000-0005-0000-0000-0000281F0000}"/>
    <cellStyle name="Normal 9 2 3 2 4 2 2 2" xfId="16299" xr:uid="{262C7DF5-BC71-4A50-AF29-6E270B490B7C}"/>
    <cellStyle name="Normal 9 2 3 2 4 2 3" xfId="12081" xr:uid="{AB44FA9F-D22A-4444-A04B-392BECDEB1B0}"/>
    <cellStyle name="Normal 9 2 3 2 4 3" xfId="5712" xr:uid="{00000000-0005-0000-0000-0000291F0000}"/>
    <cellStyle name="Normal 9 2 3 2 4 3 2" xfId="14154" xr:uid="{1A146DAB-C933-4FBC-ABCC-0E6BA22B0D6F}"/>
    <cellStyle name="Normal 9 2 3 2 4 4" xfId="9936" xr:uid="{2FAF1417-D38D-4786-9216-E15DFB9888B8}"/>
    <cellStyle name="Normal 9 2 3 2 5" xfId="1817" xr:uid="{00000000-0005-0000-0000-00002A1F0000}"/>
    <cellStyle name="Normal 9 2 3 2 5 2" xfId="4047" xr:uid="{00000000-0005-0000-0000-00002B1F0000}"/>
    <cellStyle name="Normal 9 2 3 2 5 2 2" xfId="8270" xr:uid="{00000000-0005-0000-0000-00002C1F0000}"/>
    <cellStyle name="Normal 9 2 3 2 5 2 2 2" xfId="16712" xr:uid="{76B7389A-2399-4992-8665-4B2D2B4DF24E}"/>
    <cellStyle name="Normal 9 2 3 2 5 2 3" xfId="12494" xr:uid="{53905B06-78DA-45D0-846C-0648993E73EB}"/>
    <cellStyle name="Normal 9 2 3 2 5 3" xfId="6125" xr:uid="{00000000-0005-0000-0000-00002D1F0000}"/>
    <cellStyle name="Normal 9 2 3 2 5 3 2" xfId="14567" xr:uid="{9A3E9C21-6169-45C3-99AE-87657F2E383C}"/>
    <cellStyle name="Normal 9 2 3 2 5 4" xfId="10349" xr:uid="{62E41C00-40F7-490D-8058-520470917574}"/>
    <cellStyle name="Normal 9 2 3 2 6" xfId="2231" xr:uid="{00000000-0005-0000-0000-00002E1F0000}"/>
    <cellStyle name="Normal 9 2 3 2 6 2" xfId="4460" xr:uid="{00000000-0005-0000-0000-00002F1F0000}"/>
    <cellStyle name="Normal 9 2 3 2 6 2 2" xfId="8683" xr:uid="{00000000-0005-0000-0000-0000301F0000}"/>
    <cellStyle name="Normal 9 2 3 2 6 2 2 2" xfId="17125" xr:uid="{57AD04D5-FCF2-4304-9869-5E4580E908DD}"/>
    <cellStyle name="Normal 9 2 3 2 6 2 3" xfId="12907" xr:uid="{1ECBE2A6-9A19-4531-BD2F-2B5E4671C072}"/>
    <cellStyle name="Normal 9 2 3 2 6 3" xfId="6538" xr:uid="{00000000-0005-0000-0000-0000311F0000}"/>
    <cellStyle name="Normal 9 2 3 2 6 3 2" xfId="14980" xr:uid="{4384BC33-1CA8-4339-BB59-508391B16383}"/>
    <cellStyle name="Normal 9 2 3 2 6 4" xfId="10762" xr:uid="{38E0E86B-E02C-4EC1-9DFB-319A25F05BBE}"/>
    <cellStyle name="Normal 9 2 3 2 7" xfId="2667" xr:uid="{00000000-0005-0000-0000-0000321F0000}"/>
    <cellStyle name="Normal 9 2 3 2 7 2" xfId="6951" xr:uid="{00000000-0005-0000-0000-0000331F0000}"/>
    <cellStyle name="Normal 9 2 3 2 7 2 2" xfId="15393" xr:uid="{38878AED-8A18-4E7C-A105-F18D0C192C0A}"/>
    <cellStyle name="Normal 9 2 3 2 7 3" xfId="11175" xr:uid="{4366CFBE-E338-4711-B27E-75E2C30077C4}"/>
    <cellStyle name="Normal 9 2 3 2 8" xfId="4886" xr:uid="{00000000-0005-0000-0000-0000341F0000}"/>
    <cellStyle name="Normal 9 2 3 2 8 2" xfId="13328" xr:uid="{455C1A40-2832-47DA-B197-3D5B153D8E97}"/>
    <cellStyle name="Normal 9 2 3 2 9" xfId="9110" xr:uid="{D790567B-912D-4227-A2A6-81DF9D7A0965}"/>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2 2 2" xfId="15888" xr:uid="{6426A9FA-ABF7-4750-951B-F03BF371F921}"/>
    <cellStyle name="Normal 9 2 3 3 2 2 3" xfId="11670" xr:uid="{29AE4551-EAE5-436A-90F6-F992A42E99E4}"/>
    <cellStyle name="Normal 9 2 3 3 2 3" xfId="5301" xr:uid="{00000000-0005-0000-0000-0000391F0000}"/>
    <cellStyle name="Normal 9 2 3 3 2 3 2" xfId="13743" xr:uid="{DC1E0E13-0432-4727-89B8-DDB60FC75AB5}"/>
    <cellStyle name="Normal 9 2 3 3 2 4" xfId="9525" xr:uid="{629F2C80-44F9-4D54-B1D3-8576397C9D04}"/>
    <cellStyle name="Normal 9 2 3 3 3" xfId="1406" xr:uid="{00000000-0005-0000-0000-00003A1F0000}"/>
    <cellStyle name="Normal 9 2 3 3 3 2" xfId="3636" xr:uid="{00000000-0005-0000-0000-00003B1F0000}"/>
    <cellStyle name="Normal 9 2 3 3 3 2 2" xfId="7859" xr:uid="{00000000-0005-0000-0000-00003C1F0000}"/>
    <cellStyle name="Normal 9 2 3 3 3 2 2 2" xfId="16301" xr:uid="{0B8E73DB-2FF1-4C09-80A7-7DB36CD60B87}"/>
    <cellStyle name="Normal 9 2 3 3 3 2 3" xfId="12083" xr:uid="{BB0D7E2A-E07A-4567-A270-2EEA175AB9B4}"/>
    <cellStyle name="Normal 9 2 3 3 3 3" xfId="5714" xr:uid="{00000000-0005-0000-0000-00003D1F0000}"/>
    <cellStyle name="Normal 9 2 3 3 3 3 2" xfId="14156" xr:uid="{20D8B91E-3B28-4616-AC0E-7539789B5EB0}"/>
    <cellStyle name="Normal 9 2 3 3 3 4" xfId="9938" xr:uid="{9D624933-6FEB-4D54-8155-5D61A33BC671}"/>
    <cellStyle name="Normal 9 2 3 3 4" xfId="1819" xr:uid="{00000000-0005-0000-0000-00003E1F0000}"/>
    <cellStyle name="Normal 9 2 3 3 4 2" xfId="4049" xr:uid="{00000000-0005-0000-0000-00003F1F0000}"/>
    <cellStyle name="Normal 9 2 3 3 4 2 2" xfId="8272" xr:uid="{00000000-0005-0000-0000-0000401F0000}"/>
    <cellStyle name="Normal 9 2 3 3 4 2 2 2" xfId="16714" xr:uid="{D110BA3C-2EDD-44C4-BEEE-C2F9D0E03394}"/>
    <cellStyle name="Normal 9 2 3 3 4 2 3" xfId="12496" xr:uid="{FA8A6CB8-8B61-4A40-8819-374E09168184}"/>
    <cellStyle name="Normal 9 2 3 3 4 3" xfId="6127" xr:uid="{00000000-0005-0000-0000-0000411F0000}"/>
    <cellStyle name="Normal 9 2 3 3 4 3 2" xfId="14569" xr:uid="{8B156101-007D-44F6-AD2A-4C2130060AFD}"/>
    <cellStyle name="Normal 9 2 3 3 4 4" xfId="10351" xr:uid="{4A28DAEB-1CFD-4D25-A094-91AA689C9CFC}"/>
    <cellStyle name="Normal 9 2 3 3 5" xfId="2233" xr:uid="{00000000-0005-0000-0000-0000421F0000}"/>
    <cellStyle name="Normal 9 2 3 3 5 2" xfId="4462" xr:uid="{00000000-0005-0000-0000-0000431F0000}"/>
    <cellStyle name="Normal 9 2 3 3 5 2 2" xfId="8685" xr:uid="{00000000-0005-0000-0000-0000441F0000}"/>
    <cellStyle name="Normal 9 2 3 3 5 2 2 2" xfId="17127" xr:uid="{E2E7DAAB-F8CC-428F-B078-2ECEFA5E85B8}"/>
    <cellStyle name="Normal 9 2 3 3 5 2 3" xfId="12909" xr:uid="{205AF221-3086-40A9-AB5C-0E89557DB8AA}"/>
    <cellStyle name="Normal 9 2 3 3 5 3" xfId="6540" xr:uid="{00000000-0005-0000-0000-0000451F0000}"/>
    <cellStyle name="Normal 9 2 3 3 5 3 2" xfId="14982" xr:uid="{43D1F6EC-2453-48AB-AB0C-4391884BCEBE}"/>
    <cellStyle name="Normal 9 2 3 3 5 4" xfId="10764" xr:uid="{F540B7AD-DD14-4068-AECA-323B159DBC61}"/>
    <cellStyle name="Normal 9 2 3 3 6" xfId="2669" xr:uid="{00000000-0005-0000-0000-0000461F0000}"/>
    <cellStyle name="Normal 9 2 3 3 6 2" xfId="6953" xr:uid="{00000000-0005-0000-0000-0000471F0000}"/>
    <cellStyle name="Normal 9 2 3 3 6 2 2" xfId="15395" xr:uid="{F201700B-1525-4E85-B008-23C483C23A5D}"/>
    <cellStyle name="Normal 9 2 3 3 6 3" xfId="11177" xr:uid="{B02CF4DB-4206-4C87-9E8C-5B6464DCFC10}"/>
    <cellStyle name="Normal 9 2 3 3 7" xfId="4888" xr:uid="{00000000-0005-0000-0000-0000481F0000}"/>
    <cellStyle name="Normal 9 2 3 3 7 2" xfId="13330" xr:uid="{6942412C-7336-42CD-B589-E6466181231B}"/>
    <cellStyle name="Normal 9 2 3 3 8" xfId="9112" xr:uid="{C5184A9F-B102-4EA6-AA87-AF244CEAB9EB}"/>
    <cellStyle name="Normal 9 2 3 4" xfId="987" xr:uid="{00000000-0005-0000-0000-0000491F0000}"/>
    <cellStyle name="Normal 9 2 3 4 2" xfId="3220" xr:uid="{00000000-0005-0000-0000-00004A1F0000}"/>
    <cellStyle name="Normal 9 2 3 4 2 2" xfId="7443" xr:uid="{00000000-0005-0000-0000-00004B1F0000}"/>
    <cellStyle name="Normal 9 2 3 4 2 2 2" xfId="15885" xr:uid="{1BD69C9F-68AF-4783-97C2-B0958BC200F5}"/>
    <cellStyle name="Normal 9 2 3 4 2 3" xfId="11667" xr:uid="{E6E9B5A2-4111-4104-AF4C-F1F159CE5835}"/>
    <cellStyle name="Normal 9 2 3 4 3" xfId="5298" xr:uid="{00000000-0005-0000-0000-00004C1F0000}"/>
    <cellStyle name="Normal 9 2 3 4 3 2" xfId="13740" xr:uid="{70CD6059-FA6B-4ACE-BAE3-D147089A307C}"/>
    <cellStyle name="Normal 9 2 3 4 4" xfId="9522" xr:uid="{FF1F1515-ACDA-4F06-AF37-A069318CB7BD}"/>
    <cellStyle name="Normal 9 2 3 5" xfId="1403" xr:uid="{00000000-0005-0000-0000-00004D1F0000}"/>
    <cellStyle name="Normal 9 2 3 5 2" xfId="3633" xr:uid="{00000000-0005-0000-0000-00004E1F0000}"/>
    <cellStyle name="Normal 9 2 3 5 2 2" xfId="7856" xr:uid="{00000000-0005-0000-0000-00004F1F0000}"/>
    <cellStyle name="Normal 9 2 3 5 2 2 2" xfId="16298" xr:uid="{E43FCEF2-3411-40DE-8396-25442AC813F6}"/>
    <cellStyle name="Normal 9 2 3 5 2 3" xfId="12080" xr:uid="{D2E2205E-2936-4A40-81EC-2D0A41B02A5E}"/>
    <cellStyle name="Normal 9 2 3 5 3" xfId="5711" xr:uid="{00000000-0005-0000-0000-0000501F0000}"/>
    <cellStyle name="Normal 9 2 3 5 3 2" xfId="14153" xr:uid="{D8F6847B-4D84-4060-80CD-B09B6E029A49}"/>
    <cellStyle name="Normal 9 2 3 5 4" xfId="9935" xr:uid="{020981B2-4A9B-4581-85F4-ACDF5CD28039}"/>
    <cellStyle name="Normal 9 2 3 6" xfId="1816" xr:uid="{00000000-0005-0000-0000-0000511F0000}"/>
    <cellStyle name="Normal 9 2 3 6 2" xfId="4046" xr:uid="{00000000-0005-0000-0000-0000521F0000}"/>
    <cellStyle name="Normal 9 2 3 6 2 2" xfId="8269" xr:uid="{00000000-0005-0000-0000-0000531F0000}"/>
    <cellStyle name="Normal 9 2 3 6 2 2 2" xfId="16711" xr:uid="{968F7A70-241A-4589-A321-5BB1F6B25672}"/>
    <cellStyle name="Normal 9 2 3 6 2 3" xfId="12493" xr:uid="{785BAA37-31E5-4BEF-A9E0-A1EDFA77582A}"/>
    <cellStyle name="Normal 9 2 3 6 3" xfId="6124" xr:uid="{00000000-0005-0000-0000-0000541F0000}"/>
    <cellStyle name="Normal 9 2 3 6 3 2" xfId="14566" xr:uid="{86ADAC6E-526D-4884-90C1-B9D5E72AA006}"/>
    <cellStyle name="Normal 9 2 3 6 4" xfId="10348" xr:uid="{C6544193-80FD-4D6A-9723-FA51865EFA03}"/>
    <cellStyle name="Normal 9 2 3 7" xfId="2230" xr:uid="{00000000-0005-0000-0000-0000551F0000}"/>
    <cellStyle name="Normal 9 2 3 7 2" xfId="4459" xr:uid="{00000000-0005-0000-0000-0000561F0000}"/>
    <cellStyle name="Normal 9 2 3 7 2 2" xfId="8682" xr:uid="{00000000-0005-0000-0000-0000571F0000}"/>
    <cellStyle name="Normal 9 2 3 7 2 2 2" xfId="17124" xr:uid="{DB11D159-809A-40F5-BD9A-C53A3CF66992}"/>
    <cellStyle name="Normal 9 2 3 7 2 3" xfId="12906" xr:uid="{E164D8D0-7076-4B98-8743-1F42F2846788}"/>
    <cellStyle name="Normal 9 2 3 7 3" xfId="6537" xr:uid="{00000000-0005-0000-0000-0000581F0000}"/>
    <cellStyle name="Normal 9 2 3 7 3 2" xfId="14979" xr:uid="{214ECAE7-5C3E-44A9-8A02-6C896466233F}"/>
    <cellStyle name="Normal 9 2 3 7 4" xfId="10761" xr:uid="{B09EA0C5-8989-4FCA-B935-40E16B8CE325}"/>
    <cellStyle name="Normal 9 2 3 8" xfId="2666" xr:uid="{00000000-0005-0000-0000-0000591F0000}"/>
    <cellStyle name="Normal 9 2 3 8 2" xfId="6950" xr:uid="{00000000-0005-0000-0000-00005A1F0000}"/>
    <cellStyle name="Normal 9 2 3 8 2 2" xfId="15392" xr:uid="{EDD67F74-8B4D-4A44-8CC3-CE8D77ED63AB}"/>
    <cellStyle name="Normal 9 2 3 8 3" xfId="11174" xr:uid="{E71FA410-338B-40A1-8E56-53DD9461B0DC}"/>
    <cellStyle name="Normal 9 2 3 9" xfId="4885" xr:uid="{00000000-0005-0000-0000-00005B1F0000}"/>
    <cellStyle name="Normal 9 2 3 9 2" xfId="13327" xr:uid="{3E795096-0358-453E-9DC8-9B39C3FDCE43}"/>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2 2 2" xfId="15890" xr:uid="{F7C1BB9B-F66D-4500-A34E-13069BE338D2}"/>
    <cellStyle name="Normal 9 2 4 2 2 2 3" xfId="11672" xr:uid="{A7EE9066-9DD3-414A-BFEA-5B198D162B2F}"/>
    <cellStyle name="Normal 9 2 4 2 2 3" xfId="5303" xr:uid="{00000000-0005-0000-0000-0000611F0000}"/>
    <cellStyle name="Normal 9 2 4 2 2 3 2" xfId="13745" xr:uid="{B7A744EB-7DDA-4249-B39A-10CBEAAF175B}"/>
    <cellStyle name="Normal 9 2 4 2 2 4" xfId="9527" xr:uid="{8FBC013A-FB08-4048-A9D5-8E73A73087EB}"/>
    <cellStyle name="Normal 9 2 4 2 3" xfId="1408" xr:uid="{00000000-0005-0000-0000-0000621F0000}"/>
    <cellStyle name="Normal 9 2 4 2 3 2" xfId="3638" xr:uid="{00000000-0005-0000-0000-0000631F0000}"/>
    <cellStyle name="Normal 9 2 4 2 3 2 2" xfId="7861" xr:uid="{00000000-0005-0000-0000-0000641F0000}"/>
    <cellStyle name="Normal 9 2 4 2 3 2 2 2" xfId="16303" xr:uid="{E50D786B-C8A0-4758-8A89-A317215ADD55}"/>
    <cellStyle name="Normal 9 2 4 2 3 2 3" xfId="12085" xr:uid="{EE6C4939-C111-457B-8B0E-F1AA20743590}"/>
    <cellStyle name="Normal 9 2 4 2 3 3" xfId="5716" xr:uid="{00000000-0005-0000-0000-0000651F0000}"/>
    <cellStyle name="Normal 9 2 4 2 3 3 2" xfId="14158" xr:uid="{AD584929-FF60-4B77-A341-78D75DCC80C1}"/>
    <cellStyle name="Normal 9 2 4 2 3 4" xfId="9940" xr:uid="{F98CC6DE-62B2-4F07-81DC-0FC7F6B4039F}"/>
    <cellStyle name="Normal 9 2 4 2 4" xfId="1821" xr:uid="{00000000-0005-0000-0000-0000661F0000}"/>
    <cellStyle name="Normal 9 2 4 2 4 2" xfId="4051" xr:uid="{00000000-0005-0000-0000-0000671F0000}"/>
    <cellStyle name="Normal 9 2 4 2 4 2 2" xfId="8274" xr:uid="{00000000-0005-0000-0000-0000681F0000}"/>
    <cellStyle name="Normal 9 2 4 2 4 2 2 2" xfId="16716" xr:uid="{A5C33767-CB73-4E58-A3DF-DF618A8AC309}"/>
    <cellStyle name="Normal 9 2 4 2 4 2 3" xfId="12498" xr:uid="{45A47F36-16E9-412D-9C7F-FCCD345C3CB2}"/>
    <cellStyle name="Normal 9 2 4 2 4 3" xfId="6129" xr:uid="{00000000-0005-0000-0000-0000691F0000}"/>
    <cellStyle name="Normal 9 2 4 2 4 3 2" xfId="14571" xr:uid="{E17C61FF-412D-4275-AFE7-6A2D48A74624}"/>
    <cellStyle name="Normal 9 2 4 2 4 4" xfId="10353" xr:uid="{0CC82562-B16B-4DC4-9666-A1AE51729B5F}"/>
    <cellStyle name="Normal 9 2 4 2 5" xfId="2235" xr:uid="{00000000-0005-0000-0000-00006A1F0000}"/>
    <cellStyle name="Normal 9 2 4 2 5 2" xfId="4464" xr:uid="{00000000-0005-0000-0000-00006B1F0000}"/>
    <cellStyle name="Normal 9 2 4 2 5 2 2" xfId="8687" xr:uid="{00000000-0005-0000-0000-00006C1F0000}"/>
    <cellStyle name="Normal 9 2 4 2 5 2 2 2" xfId="17129" xr:uid="{B0A9C87F-BBC1-4EE2-911E-0491E7805C0A}"/>
    <cellStyle name="Normal 9 2 4 2 5 2 3" xfId="12911" xr:uid="{4F01B495-F5BA-401A-9D68-7C1CF0DD9DF3}"/>
    <cellStyle name="Normal 9 2 4 2 5 3" xfId="6542" xr:uid="{00000000-0005-0000-0000-00006D1F0000}"/>
    <cellStyle name="Normal 9 2 4 2 5 3 2" xfId="14984" xr:uid="{DE056855-3B95-41DD-BD6B-FB93C10B4ED4}"/>
    <cellStyle name="Normal 9 2 4 2 5 4" xfId="10766" xr:uid="{2E149172-1D56-49DD-8BC1-BB34A83588DC}"/>
    <cellStyle name="Normal 9 2 4 2 6" xfId="2671" xr:uid="{00000000-0005-0000-0000-00006E1F0000}"/>
    <cellStyle name="Normal 9 2 4 2 6 2" xfId="6955" xr:uid="{00000000-0005-0000-0000-00006F1F0000}"/>
    <cellStyle name="Normal 9 2 4 2 6 2 2" xfId="15397" xr:uid="{41ECC352-FB8E-4F55-8746-E56D68674C96}"/>
    <cellStyle name="Normal 9 2 4 2 6 3" xfId="11179" xr:uid="{D9C82084-6A6F-4A66-BE0D-B31A03A334FA}"/>
    <cellStyle name="Normal 9 2 4 2 7" xfId="4890" xr:uid="{00000000-0005-0000-0000-0000701F0000}"/>
    <cellStyle name="Normal 9 2 4 2 7 2" xfId="13332" xr:uid="{4B49BF0D-C8C4-4AE5-9BA0-E38BCEC108BD}"/>
    <cellStyle name="Normal 9 2 4 2 8" xfId="9114" xr:uid="{724D636F-99C6-4549-A4D5-180C0BD9466C}"/>
    <cellStyle name="Normal 9 2 4 3" xfId="991" xr:uid="{00000000-0005-0000-0000-0000711F0000}"/>
    <cellStyle name="Normal 9 2 4 3 2" xfId="3224" xr:uid="{00000000-0005-0000-0000-0000721F0000}"/>
    <cellStyle name="Normal 9 2 4 3 2 2" xfId="7447" xr:uid="{00000000-0005-0000-0000-0000731F0000}"/>
    <cellStyle name="Normal 9 2 4 3 2 2 2" xfId="15889" xr:uid="{158C35E5-81D5-4C9F-B56C-3FA1AA30C6C3}"/>
    <cellStyle name="Normal 9 2 4 3 2 3" xfId="11671" xr:uid="{83E24C82-EEAB-458A-AD55-ECFBC9118379}"/>
    <cellStyle name="Normal 9 2 4 3 3" xfId="5302" xr:uid="{00000000-0005-0000-0000-0000741F0000}"/>
    <cellStyle name="Normal 9 2 4 3 3 2" xfId="13744" xr:uid="{52A474E6-3135-4961-A1F5-981A6056E918}"/>
    <cellStyle name="Normal 9 2 4 3 4" xfId="9526" xr:uid="{2CF85087-AD81-4647-984E-260617280106}"/>
    <cellStyle name="Normal 9 2 4 4" xfId="1407" xr:uid="{00000000-0005-0000-0000-0000751F0000}"/>
    <cellStyle name="Normal 9 2 4 4 2" xfId="3637" xr:uid="{00000000-0005-0000-0000-0000761F0000}"/>
    <cellStyle name="Normal 9 2 4 4 2 2" xfId="7860" xr:uid="{00000000-0005-0000-0000-0000771F0000}"/>
    <cellStyle name="Normal 9 2 4 4 2 2 2" xfId="16302" xr:uid="{A1208972-71DA-4D4E-BC79-07D265080036}"/>
    <cellStyle name="Normal 9 2 4 4 2 3" xfId="12084" xr:uid="{A570D6C9-350A-42EB-9FC3-CC7D53378073}"/>
    <cellStyle name="Normal 9 2 4 4 3" xfId="5715" xr:uid="{00000000-0005-0000-0000-0000781F0000}"/>
    <cellStyle name="Normal 9 2 4 4 3 2" xfId="14157" xr:uid="{5C58904A-9C3A-4305-9AC8-07BF6B7B86A3}"/>
    <cellStyle name="Normal 9 2 4 4 4" xfId="9939" xr:uid="{7AA1928A-EDFF-4C19-B00D-CEAED43CCE5A}"/>
    <cellStyle name="Normal 9 2 4 5" xfId="1820" xr:uid="{00000000-0005-0000-0000-0000791F0000}"/>
    <cellStyle name="Normal 9 2 4 5 2" xfId="4050" xr:uid="{00000000-0005-0000-0000-00007A1F0000}"/>
    <cellStyle name="Normal 9 2 4 5 2 2" xfId="8273" xr:uid="{00000000-0005-0000-0000-00007B1F0000}"/>
    <cellStyle name="Normal 9 2 4 5 2 2 2" xfId="16715" xr:uid="{733A566C-B204-4A60-8914-5945ABC7C46B}"/>
    <cellStyle name="Normal 9 2 4 5 2 3" xfId="12497" xr:uid="{A535D170-6664-45C7-9402-05C52B4E7947}"/>
    <cellStyle name="Normal 9 2 4 5 3" xfId="6128" xr:uid="{00000000-0005-0000-0000-00007C1F0000}"/>
    <cellStyle name="Normal 9 2 4 5 3 2" xfId="14570" xr:uid="{98332FD2-A4C1-4F83-85B1-8696BBC64CAD}"/>
    <cellStyle name="Normal 9 2 4 5 4" xfId="10352" xr:uid="{E1C01794-AE18-45E9-8F54-9FF2E943A550}"/>
    <cellStyle name="Normal 9 2 4 6" xfId="2234" xr:uid="{00000000-0005-0000-0000-00007D1F0000}"/>
    <cellStyle name="Normal 9 2 4 6 2" xfId="4463" xr:uid="{00000000-0005-0000-0000-00007E1F0000}"/>
    <cellStyle name="Normal 9 2 4 6 2 2" xfId="8686" xr:uid="{00000000-0005-0000-0000-00007F1F0000}"/>
    <cellStyle name="Normal 9 2 4 6 2 2 2" xfId="17128" xr:uid="{03016AD7-0593-4E85-93A4-F3B4A079F6EF}"/>
    <cellStyle name="Normal 9 2 4 6 2 3" xfId="12910" xr:uid="{D4B0C9C1-AE31-492A-9956-0B9E572A840A}"/>
    <cellStyle name="Normal 9 2 4 6 3" xfId="6541" xr:uid="{00000000-0005-0000-0000-0000801F0000}"/>
    <cellStyle name="Normal 9 2 4 6 3 2" xfId="14983" xr:uid="{C3FE7A4A-331C-4979-8DF0-E74EE8309BF9}"/>
    <cellStyle name="Normal 9 2 4 6 4" xfId="10765" xr:uid="{B8291456-88E3-47DF-A165-CCC53E97C3E8}"/>
    <cellStyle name="Normal 9 2 4 7" xfId="2670" xr:uid="{00000000-0005-0000-0000-0000811F0000}"/>
    <cellStyle name="Normal 9 2 4 7 2" xfId="6954" xr:uid="{00000000-0005-0000-0000-0000821F0000}"/>
    <cellStyle name="Normal 9 2 4 7 2 2" xfId="15396" xr:uid="{D45774B2-ABA5-4A84-B66B-8CA1A568E5E5}"/>
    <cellStyle name="Normal 9 2 4 7 3" xfId="11178" xr:uid="{A1ED04F5-D990-41D6-A92B-BC97BA15A077}"/>
    <cellStyle name="Normal 9 2 4 8" xfId="4889" xr:uid="{00000000-0005-0000-0000-0000831F0000}"/>
    <cellStyle name="Normal 9 2 4 8 2" xfId="13331" xr:uid="{A2C628ED-FB2B-4FB5-A12F-4A9FDCA8868C}"/>
    <cellStyle name="Normal 9 2 4 9" xfId="9113" xr:uid="{1EEF5BB3-5309-4154-9F7B-554EA70E6DC3}"/>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2 2 2" xfId="15891" xr:uid="{304D6ACD-88D8-43AF-9440-CF56849CE4BF}"/>
    <cellStyle name="Normal 9 2 5 2 2 3" xfId="11673" xr:uid="{E509F3C2-3280-418C-9371-8E3B0342F82D}"/>
    <cellStyle name="Normal 9 2 5 2 3" xfId="5304" xr:uid="{00000000-0005-0000-0000-0000881F0000}"/>
    <cellStyle name="Normal 9 2 5 2 3 2" xfId="13746" xr:uid="{79A1F64C-8C4D-4F68-A913-315151DBBB7A}"/>
    <cellStyle name="Normal 9 2 5 2 4" xfId="9528" xr:uid="{B2EA7E88-EA20-4EEF-843B-70CCF724416C}"/>
    <cellStyle name="Normal 9 2 5 3" xfId="1409" xr:uid="{00000000-0005-0000-0000-0000891F0000}"/>
    <cellStyle name="Normal 9 2 5 3 2" xfId="3639" xr:uid="{00000000-0005-0000-0000-00008A1F0000}"/>
    <cellStyle name="Normal 9 2 5 3 2 2" xfId="7862" xr:uid="{00000000-0005-0000-0000-00008B1F0000}"/>
    <cellStyle name="Normal 9 2 5 3 2 2 2" xfId="16304" xr:uid="{68A61818-6556-4E27-ABB8-83E12041587F}"/>
    <cellStyle name="Normal 9 2 5 3 2 3" xfId="12086" xr:uid="{87CD1F09-3920-442A-9BBB-D5634140B167}"/>
    <cellStyle name="Normal 9 2 5 3 3" xfId="5717" xr:uid="{00000000-0005-0000-0000-00008C1F0000}"/>
    <cellStyle name="Normal 9 2 5 3 3 2" xfId="14159" xr:uid="{67D030B9-73FF-42CD-92BA-C41F63046F6E}"/>
    <cellStyle name="Normal 9 2 5 3 4" xfId="9941" xr:uid="{7CBD2742-B26A-4A63-9418-B6BC2C2293E8}"/>
    <cellStyle name="Normal 9 2 5 4" xfId="1822" xr:uid="{00000000-0005-0000-0000-00008D1F0000}"/>
    <cellStyle name="Normal 9 2 5 4 2" xfId="4052" xr:uid="{00000000-0005-0000-0000-00008E1F0000}"/>
    <cellStyle name="Normal 9 2 5 4 2 2" xfId="8275" xr:uid="{00000000-0005-0000-0000-00008F1F0000}"/>
    <cellStyle name="Normal 9 2 5 4 2 2 2" xfId="16717" xr:uid="{5EF0C35D-C6DC-46D1-8650-B57BB74D801F}"/>
    <cellStyle name="Normal 9 2 5 4 2 3" xfId="12499" xr:uid="{F835BB7A-553F-49E3-B97C-C1E7617FAEFA}"/>
    <cellStyle name="Normal 9 2 5 4 3" xfId="6130" xr:uid="{00000000-0005-0000-0000-0000901F0000}"/>
    <cellStyle name="Normal 9 2 5 4 3 2" xfId="14572" xr:uid="{FB4E45B5-7F75-4CAD-A437-7C1F7C6BE264}"/>
    <cellStyle name="Normal 9 2 5 4 4" xfId="10354" xr:uid="{7AFB8639-5F13-4C14-A453-D20087B9AC8A}"/>
    <cellStyle name="Normal 9 2 5 5" xfId="2236" xr:uid="{00000000-0005-0000-0000-0000911F0000}"/>
    <cellStyle name="Normal 9 2 5 5 2" xfId="4465" xr:uid="{00000000-0005-0000-0000-0000921F0000}"/>
    <cellStyle name="Normal 9 2 5 5 2 2" xfId="8688" xr:uid="{00000000-0005-0000-0000-0000931F0000}"/>
    <cellStyle name="Normal 9 2 5 5 2 2 2" xfId="17130" xr:uid="{0FCD1D06-8911-46CE-B0A3-12CA12123CAF}"/>
    <cellStyle name="Normal 9 2 5 5 2 3" xfId="12912" xr:uid="{0E8F1A1B-7C79-4EAE-92FB-AEBD93BC0168}"/>
    <cellStyle name="Normal 9 2 5 5 3" xfId="6543" xr:uid="{00000000-0005-0000-0000-0000941F0000}"/>
    <cellStyle name="Normal 9 2 5 5 3 2" xfId="14985" xr:uid="{9765D914-C929-44D9-B449-2B2B8F3107AF}"/>
    <cellStyle name="Normal 9 2 5 5 4" xfId="10767" xr:uid="{66447CFE-B9ED-4931-9FC6-5B92090FBE57}"/>
    <cellStyle name="Normal 9 2 5 6" xfId="2672" xr:uid="{00000000-0005-0000-0000-0000951F0000}"/>
    <cellStyle name="Normal 9 2 5 6 2" xfId="6956" xr:uid="{00000000-0005-0000-0000-0000961F0000}"/>
    <cellStyle name="Normal 9 2 5 6 2 2" xfId="15398" xr:uid="{04F985BF-7A98-4B32-A785-F6F49B15BD06}"/>
    <cellStyle name="Normal 9 2 5 6 3" xfId="11180" xr:uid="{D0C8F458-3298-48BF-BE03-800E151C4548}"/>
    <cellStyle name="Normal 9 2 5 7" xfId="4891" xr:uid="{00000000-0005-0000-0000-0000971F0000}"/>
    <cellStyle name="Normal 9 2 5 7 2" xfId="13333" xr:uid="{05072CDC-23C8-4F7A-A86D-7B0407C67CD1}"/>
    <cellStyle name="Normal 9 2 5 8" xfId="9115" xr:uid="{10B1F065-9CE9-43A8-8594-F13A6A472F0D}"/>
    <cellStyle name="Normal 9 2 6" xfId="978" xr:uid="{00000000-0005-0000-0000-0000981F0000}"/>
    <cellStyle name="Normal 9 2 6 2" xfId="3211" xr:uid="{00000000-0005-0000-0000-0000991F0000}"/>
    <cellStyle name="Normal 9 2 6 2 2" xfId="7434" xr:uid="{00000000-0005-0000-0000-00009A1F0000}"/>
    <cellStyle name="Normal 9 2 6 2 2 2" xfId="15876" xr:uid="{AD4D6180-6A19-4C8C-A4D9-83E69FDAAE4F}"/>
    <cellStyle name="Normal 9 2 6 2 3" xfId="11658" xr:uid="{931A6A62-F6FD-4A05-883B-03B2BE978B9B}"/>
    <cellStyle name="Normal 9 2 6 3" xfId="5289" xr:uid="{00000000-0005-0000-0000-00009B1F0000}"/>
    <cellStyle name="Normal 9 2 6 3 2" xfId="13731" xr:uid="{42B20FE7-15C5-44CC-9FB4-FF7333CE9507}"/>
    <cellStyle name="Normal 9 2 6 4" xfId="9513" xr:uid="{C76F7C49-66B8-417E-9CAC-37EA8CC394AD}"/>
    <cellStyle name="Normal 9 2 7" xfId="1394" xr:uid="{00000000-0005-0000-0000-00009C1F0000}"/>
    <cellStyle name="Normal 9 2 7 2" xfId="3624" xr:uid="{00000000-0005-0000-0000-00009D1F0000}"/>
    <cellStyle name="Normal 9 2 7 2 2" xfId="7847" xr:uid="{00000000-0005-0000-0000-00009E1F0000}"/>
    <cellStyle name="Normal 9 2 7 2 2 2" xfId="16289" xr:uid="{DED11109-DDDC-42A2-BB41-27EE0750EA38}"/>
    <cellStyle name="Normal 9 2 7 2 3" xfId="12071" xr:uid="{977E728A-D8AB-437A-AF1A-FE547ADB5E14}"/>
    <cellStyle name="Normal 9 2 7 3" xfId="5702" xr:uid="{00000000-0005-0000-0000-00009F1F0000}"/>
    <cellStyle name="Normal 9 2 7 3 2" xfId="14144" xr:uid="{4FB00851-B289-4529-A68A-8A6D753556B6}"/>
    <cellStyle name="Normal 9 2 7 4" xfId="9926" xr:uid="{FC69B3B6-493C-43AA-B4D3-3234996F7841}"/>
    <cellStyle name="Normal 9 2 8" xfId="1807" xr:uid="{00000000-0005-0000-0000-0000A01F0000}"/>
    <cellStyle name="Normal 9 2 8 2" xfId="4037" xr:uid="{00000000-0005-0000-0000-0000A11F0000}"/>
    <cellStyle name="Normal 9 2 8 2 2" xfId="8260" xr:uid="{00000000-0005-0000-0000-0000A21F0000}"/>
    <cellStyle name="Normal 9 2 8 2 2 2" xfId="16702" xr:uid="{8A323382-E31D-42FD-B388-C252F6BA7021}"/>
    <cellStyle name="Normal 9 2 8 2 3" xfId="12484" xr:uid="{DEA395B4-616B-4577-B397-E31454A0C593}"/>
    <cellStyle name="Normal 9 2 8 3" xfId="6115" xr:uid="{00000000-0005-0000-0000-0000A31F0000}"/>
    <cellStyle name="Normal 9 2 8 3 2" xfId="14557" xr:uid="{58319452-A36E-456B-AC34-08AAC1823DF6}"/>
    <cellStyle name="Normal 9 2 8 4" xfId="10339" xr:uid="{F3147A09-F852-4FD8-B284-1146DA20AA92}"/>
    <cellStyle name="Normal 9 2 9" xfId="2221" xr:uid="{00000000-0005-0000-0000-0000A41F0000}"/>
    <cellStyle name="Normal 9 2 9 2" xfId="4450" xr:uid="{00000000-0005-0000-0000-0000A51F0000}"/>
    <cellStyle name="Normal 9 2 9 2 2" xfId="8673" xr:uid="{00000000-0005-0000-0000-0000A61F0000}"/>
    <cellStyle name="Normal 9 2 9 2 2 2" xfId="17115" xr:uid="{B50BCB19-92DC-4A3F-9339-86A4E223919D}"/>
    <cellStyle name="Normal 9 2 9 2 3" xfId="12897" xr:uid="{AA593738-C605-42F9-AF6D-14D48783E15F}"/>
    <cellStyle name="Normal 9 2 9 3" xfId="6528" xr:uid="{00000000-0005-0000-0000-0000A71F0000}"/>
    <cellStyle name="Normal 9 2 9 3 2" xfId="14970" xr:uid="{27B80F1D-0779-47AA-B7F4-5495671A7F71}"/>
    <cellStyle name="Normal 9 2 9 4" xfId="10752" xr:uid="{1DBEAE04-5000-4154-886F-8C904E0E069E}"/>
    <cellStyle name="Normal 9 3" xfId="527" xr:uid="{00000000-0005-0000-0000-0000A81F0000}"/>
    <cellStyle name="Normal 9 3 10" xfId="4892" xr:uid="{00000000-0005-0000-0000-0000A91F0000}"/>
    <cellStyle name="Normal 9 3 10 2" xfId="13334" xr:uid="{C41EEDB6-BF05-4FEF-AC2B-E11591B0E2E8}"/>
    <cellStyle name="Normal 9 3 11" xfId="9116" xr:uid="{514B7D2C-DB1C-47B2-A48D-F8147CDF0AEC}"/>
    <cellStyle name="Normal 9 3 2" xfId="528" xr:uid="{00000000-0005-0000-0000-0000AA1F0000}"/>
    <cellStyle name="Normal 9 3 2 10" xfId="9117" xr:uid="{210BDE1C-337F-4251-99D0-DC2A16193A9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2 2 2" xfId="15895" xr:uid="{0DD2E5FA-1231-4237-9C3C-E68C2BA5D26D}"/>
    <cellStyle name="Normal 9 3 2 2 2 2 2 3" xfId="11677" xr:uid="{B089A47F-587A-4C35-A77F-B0AF001EC1D2}"/>
    <cellStyle name="Normal 9 3 2 2 2 2 3" xfId="5308" xr:uid="{00000000-0005-0000-0000-0000B01F0000}"/>
    <cellStyle name="Normal 9 3 2 2 2 2 3 2" xfId="13750" xr:uid="{A1BC8F29-7DF1-4DB7-8A2E-7C8D8DE8E46B}"/>
    <cellStyle name="Normal 9 3 2 2 2 2 4" xfId="9532" xr:uid="{7A802174-C9F0-4591-AED3-DD9AC31B8291}"/>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2 2 2" xfId="16308" xr:uid="{1E40159B-4E91-4D4B-97B7-CAA712A166ED}"/>
    <cellStyle name="Normal 9 3 2 2 2 3 2 3" xfId="12090" xr:uid="{93894029-98F0-43AC-B4BF-19ADA15E39C1}"/>
    <cellStyle name="Normal 9 3 2 2 2 3 3" xfId="5721" xr:uid="{00000000-0005-0000-0000-0000B41F0000}"/>
    <cellStyle name="Normal 9 3 2 2 2 3 3 2" xfId="14163" xr:uid="{68719D78-033D-4975-90D5-35CAC646D3A7}"/>
    <cellStyle name="Normal 9 3 2 2 2 3 4" xfId="9945" xr:uid="{58E9557A-5790-45BD-96FF-5A7890FE65E2}"/>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2 2 2" xfId="16721" xr:uid="{95AF207B-27D7-43D0-B9D4-9B705976C347}"/>
    <cellStyle name="Normal 9 3 2 2 2 4 2 3" xfId="12503" xr:uid="{C8EDD9E4-6AB5-4E38-AB0C-C585CDEA1713}"/>
    <cellStyle name="Normal 9 3 2 2 2 4 3" xfId="6134" xr:uid="{00000000-0005-0000-0000-0000B81F0000}"/>
    <cellStyle name="Normal 9 3 2 2 2 4 3 2" xfId="14576" xr:uid="{77376A45-2178-4C16-8C24-CDA79EE3F695}"/>
    <cellStyle name="Normal 9 3 2 2 2 4 4" xfId="10358" xr:uid="{032C70FF-D8D6-48D4-91BA-F58764CB6165}"/>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2 2 2" xfId="17134" xr:uid="{8B49E8B9-5A72-416F-BC38-76D38F190F2D}"/>
    <cellStyle name="Normal 9 3 2 2 2 5 2 3" xfId="12916" xr:uid="{F35A392A-FDEE-4DA0-943B-58640E096DC4}"/>
    <cellStyle name="Normal 9 3 2 2 2 5 3" xfId="6547" xr:uid="{00000000-0005-0000-0000-0000BC1F0000}"/>
    <cellStyle name="Normal 9 3 2 2 2 5 3 2" xfId="14989" xr:uid="{9B08D4B5-00AA-4199-82AA-B117891F2AF7}"/>
    <cellStyle name="Normal 9 3 2 2 2 5 4" xfId="10771" xr:uid="{685C5E47-7143-4230-9F42-F8DCE791A3BE}"/>
    <cellStyle name="Normal 9 3 2 2 2 6" xfId="2676" xr:uid="{00000000-0005-0000-0000-0000BD1F0000}"/>
    <cellStyle name="Normal 9 3 2 2 2 6 2" xfId="6960" xr:uid="{00000000-0005-0000-0000-0000BE1F0000}"/>
    <cellStyle name="Normal 9 3 2 2 2 6 2 2" xfId="15402" xr:uid="{4A0A7C34-7DF7-4F71-8B4F-09119C9DB7B3}"/>
    <cellStyle name="Normal 9 3 2 2 2 6 3" xfId="11184" xr:uid="{5A9E8339-5330-4AEA-AA38-31E3640D711B}"/>
    <cellStyle name="Normal 9 3 2 2 2 7" xfId="4895" xr:uid="{00000000-0005-0000-0000-0000BF1F0000}"/>
    <cellStyle name="Normal 9 3 2 2 2 7 2" xfId="13337" xr:uid="{48767E49-9FC5-42A5-9F1F-B4C2E0507C3E}"/>
    <cellStyle name="Normal 9 3 2 2 2 8" xfId="9119" xr:uid="{4C497F49-5BED-4485-B1AB-46A62EEAF3B8}"/>
    <cellStyle name="Normal 9 3 2 2 3" xfId="996" xr:uid="{00000000-0005-0000-0000-0000C01F0000}"/>
    <cellStyle name="Normal 9 3 2 2 3 2" xfId="3229" xr:uid="{00000000-0005-0000-0000-0000C11F0000}"/>
    <cellStyle name="Normal 9 3 2 2 3 2 2" xfId="7452" xr:uid="{00000000-0005-0000-0000-0000C21F0000}"/>
    <cellStyle name="Normal 9 3 2 2 3 2 2 2" xfId="15894" xr:uid="{2B8953EA-E74F-4D39-9F40-9E83CE0425AA}"/>
    <cellStyle name="Normal 9 3 2 2 3 2 3" xfId="11676" xr:uid="{92DE2581-FE3C-422A-B707-97BE5E5E9D1C}"/>
    <cellStyle name="Normal 9 3 2 2 3 3" xfId="5307" xr:uid="{00000000-0005-0000-0000-0000C31F0000}"/>
    <cellStyle name="Normal 9 3 2 2 3 3 2" xfId="13749" xr:uid="{F4B140B1-2E78-4F4F-BEB3-76246354513F}"/>
    <cellStyle name="Normal 9 3 2 2 3 4" xfId="9531" xr:uid="{6E63CCEF-F1EF-4876-8BB8-7A0EA50437FF}"/>
    <cellStyle name="Normal 9 3 2 2 4" xfId="1412" xr:uid="{00000000-0005-0000-0000-0000C41F0000}"/>
    <cellStyle name="Normal 9 3 2 2 4 2" xfId="3642" xr:uid="{00000000-0005-0000-0000-0000C51F0000}"/>
    <cellStyle name="Normal 9 3 2 2 4 2 2" xfId="7865" xr:uid="{00000000-0005-0000-0000-0000C61F0000}"/>
    <cellStyle name="Normal 9 3 2 2 4 2 2 2" xfId="16307" xr:uid="{C51AE138-973E-423F-94CE-DFA3E1649BCB}"/>
    <cellStyle name="Normal 9 3 2 2 4 2 3" xfId="12089" xr:uid="{999C7C06-63BD-4638-B33B-8F35E6C7D1FC}"/>
    <cellStyle name="Normal 9 3 2 2 4 3" xfId="5720" xr:uid="{00000000-0005-0000-0000-0000C71F0000}"/>
    <cellStyle name="Normal 9 3 2 2 4 3 2" xfId="14162" xr:uid="{43A48EEE-909C-49FB-A35A-AA9DCA19CD19}"/>
    <cellStyle name="Normal 9 3 2 2 4 4" xfId="9944" xr:uid="{0A7C7D20-3EC4-478B-84DD-AD6245EA5B99}"/>
    <cellStyle name="Normal 9 3 2 2 5" xfId="1825" xr:uid="{00000000-0005-0000-0000-0000C81F0000}"/>
    <cellStyle name="Normal 9 3 2 2 5 2" xfId="4055" xr:uid="{00000000-0005-0000-0000-0000C91F0000}"/>
    <cellStyle name="Normal 9 3 2 2 5 2 2" xfId="8278" xr:uid="{00000000-0005-0000-0000-0000CA1F0000}"/>
    <cellStyle name="Normal 9 3 2 2 5 2 2 2" xfId="16720" xr:uid="{32251CF4-7532-45F1-BF4B-7A026506C976}"/>
    <cellStyle name="Normal 9 3 2 2 5 2 3" xfId="12502" xr:uid="{F8FEA415-9A5A-43E8-9444-F92EF708895E}"/>
    <cellStyle name="Normal 9 3 2 2 5 3" xfId="6133" xr:uid="{00000000-0005-0000-0000-0000CB1F0000}"/>
    <cellStyle name="Normal 9 3 2 2 5 3 2" xfId="14575" xr:uid="{8DAA4832-E7E1-4AD6-B201-3FBCA78BB44F}"/>
    <cellStyle name="Normal 9 3 2 2 5 4" xfId="10357" xr:uid="{D049D401-0ACA-4603-869B-6DA2005995D9}"/>
    <cellStyle name="Normal 9 3 2 2 6" xfId="2239" xr:uid="{00000000-0005-0000-0000-0000CC1F0000}"/>
    <cellStyle name="Normal 9 3 2 2 6 2" xfId="4468" xr:uid="{00000000-0005-0000-0000-0000CD1F0000}"/>
    <cellStyle name="Normal 9 3 2 2 6 2 2" xfId="8691" xr:uid="{00000000-0005-0000-0000-0000CE1F0000}"/>
    <cellStyle name="Normal 9 3 2 2 6 2 2 2" xfId="17133" xr:uid="{DA4892B9-FEE5-4C14-868E-C881619813E7}"/>
    <cellStyle name="Normal 9 3 2 2 6 2 3" xfId="12915" xr:uid="{456F5798-057C-411E-845A-871A723781B7}"/>
    <cellStyle name="Normal 9 3 2 2 6 3" xfId="6546" xr:uid="{00000000-0005-0000-0000-0000CF1F0000}"/>
    <cellStyle name="Normal 9 3 2 2 6 3 2" xfId="14988" xr:uid="{A05BF33D-5136-482F-BB76-8F263E7B7D7B}"/>
    <cellStyle name="Normal 9 3 2 2 6 4" xfId="10770" xr:uid="{62901156-EA97-49CB-90BC-CF138B91A26A}"/>
    <cellStyle name="Normal 9 3 2 2 7" xfId="2675" xr:uid="{00000000-0005-0000-0000-0000D01F0000}"/>
    <cellStyle name="Normal 9 3 2 2 7 2" xfId="6959" xr:uid="{00000000-0005-0000-0000-0000D11F0000}"/>
    <cellStyle name="Normal 9 3 2 2 7 2 2" xfId="15401" xr:uid="{ACC7B7E4-F44A-4803-AF3B-FA65D644700B}"/>
    <cellStyle name="Normal 9 3 2 2 7 3" xfId="11183" xr:uid="{7CE05513-928D-4965-A6C4-86B610948CB3}"/>
    <cellStyle name="Normal 9 3 2 2 8" xfId="4894" xr:uid="{00000000-0005-0000-0000-0000D21F0000}"/>
    <cellStyle name="Normal 9 3 2 2 8 2" xfId="13336" xr:uid="{C377760F-F5CC-4269-A047-A70FAF072409}"/>
    <cellStyle name="Normal 9 3 2 2 9" xfId="9118" xr:uid="{4D4E0287-7D68-43E1-AF34-C2310D34A328}"/>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2 2 2" xfId="15896" xr:uid="{DB04940A-9F04-4EEE-A6FF-0C5C29D57AA5}"/>
    <cellStyle name="Normal 9 3 2 3 2 2 3" xfId="11678" xr:uid="{2CFFAA27-37C3-409E-8E90-0EE7C46F1FCD}"/>
    <cellStyle name="Normal 9 3 2 3 2 3" xfId="5309" xr:uid="{00000000-0005-0000-0000-0000D71F0000}"/>
    <cellStyle name="Normal 9 3 2 3 2 3 2" xfId="13751" xr:uid="{C934C300-A637-41C7-8C25-78DE64EA143C}"/>
    <cellStyle name="Normal 9 3 2 3 2 4" xfId="9533" xr:uid="{62769BD0-7A5E-4CE8-954B-03852034D026}"/>
    <cellStyle name="Normal 9 3 2 3 3" xfId="1414" xr:uid="{00000000-0005-0000-0000-0000D81F0000}"/>
    <cellStyle name="Normal 9 3 2 3 3 2" xfId="3644" xr:uid="{00000000-0005-0000-0000-0000D91F0000}"/>
    <cellStyle name="Normal 9 3 2 3 3 2 2" xfId="7867" xr:uid="{00000000-0005-0000-0000-0000DA1F0000}"/>
    <cellStyle name="Normal 9 3 2 3 3 2 2 2" xfId="16309" xr:uid="{8F2346AA-858D-425B-B28E-7A7CB1B6B9BF}"/>
    <cellStyle name="Normal 9 3 2 3 3 2 3" xfId="12091" xr:uid="{A90B6648-F614-4962-A296-BA00B72DC06B}"/>
    <cellStyle name="Normal 9 3 2 3 3 3" xfId="5722" xr:uid="{00000000-0005-0000-0000-0000DB1F0000}"/>
    <cellStyle name="Normal 9 3 2 3 3 3 2" xfId="14164" xr:uid="{AAC5ED71-D6A2-4E3C-83CE-6B4178D1A1CB}"/>
    <cellStyle name="Normal 9 3 2 3 3 4" xfId="9946" xr:uid="{C1883B80-5C76-4A5A-BE85-E340772C0FE5}"/>
    <cellStyle name="Normal 9 3 2 3 4" xfId="1827" xr:uid="{00000000-0005-0000-0000-0000DC1F0000}"/>
    <cellStyle name="Normal 9 3 2 3 4 2" xfId="4057" xr:uid="{00000000-0005-0000-0000-0000DD1F0000}"/>
    <cellStyle name="Normal 9 3 2 3 4 2 2" xfId="8280" xr:uid="{00000000-0005-0000-0000-0000DE1F0000}"/>
    <cellStyle name="Normal 9 3 2 3 4 2 2 2" xfId="16722" xr:uid="{C0338D98-4C3E-45A6-A880-E52A738AF3D5}"/>
    <cellStyle name="Normal 9 3 2 3 4 2 3" xfId="12504" xr:uid="{06A4DD72-D14D-4605-B69D-FDD6A289EA1A}"/>
    <cellStyle name="Normal 9 3 2 3 4 3" xfId="6135" xr:uid="{00000000-0005-0000-0000-0000DF1F0000}"/>
    <cellStyle name="Normal 9 3 2 3 4 3 2" xfId="14577" xr:uid="{90C96CE2-938A-4A5B-9CA9-AC9D6A10315B}"/>
    <cellStyle name="Normal 9 3 2 3 4 4" xfId="10359" xr:uid="{08EDC1F9-F912-4C61-90A3-7ADC6D9905BB}"/>
    <cellStyle name="Normal 9 3 2 3 5" xfId="2241" xr:uid="{00000000-0005-0000-0000-0000E01F0000}"/>
    <cellStyle name="Normal 9 3 2 3 5 2" xfId="4470" xr:uid="{00000000-0005-0000-0000-0000E11F0000}"/>
    <cellStyle name="Normal 9 3 2 3 5 2 2" xfId="8693" xr:uid="{00000000-0005-0000-0000-0000E21F0000}"/>
    <cellStyle name="Normal 9 3 2 3 5 2 2 2" xfId="17135" xr:uid="{522834A4-E5D4-43C4-9505-8D2CE443FEEE}"/>
    <cellStyle name="Normal 9 3 2 3 5 2 3" xfId="12917" xr:uid="{458A327D-6090-4ED9-8F93-9ACCFD17361A}"/>
    <cellStyle name="Normal 9 3 2 3 5 3" xfId="6548" xr:uid="{00000000-0005-0000-0000-0000E31F0000}"/>
    <cellStyle name="Normal 9 3 2 3 5 3 2" xfId="14990" xr:uid="{EC083FB8-4778-4427-97A5-0B799B3B2A41}"/>
    <cellStyle name="Normal 9 3 2 3 5 4" xfId="10772" xr:uid="{2C714A0D-1BA6-4C03-886D-D1EDA5C99320}"/>
    <cellStyle name="Normal 9 3 2 3 6" xfId="2677" xr:uid="{00000000-0005-0000-0000-0000E41F0000}"/>
    <cellStyle name="Normal 9 3 2 3 6 2" xfId="6961" xr:uid="{00000000-0005-0000-0000-0000E51F0000}"/>
    <cellStyle name="Normal 9 3 2 3 6 2 2" xfId="15403" xr:uid="{AD268D7E-5A43-469D-BA6D-6821E18D4A41}"/>
    <cellStyle name="Normal 9 3 2 3 6 3" xfId="11185" xr:uid="{A1975CEC-2BC9-470E-9457-3FA9B73BED5D}"/>
    <cellStyle name="Normal 9 3 2 3 7" xfId="4896" xr:uid="{00000000-0005-0000-0000-0000E61F0000}"/>
    <cellStyle name="Normal 9 3 2 3 7 2" xfId="13338" xr:uid="{AF55B225-9937-4CC9-AD7A-C949F4A2C065}"/>
    <cellStyle name="Normal 9 3 2 3 8" xfId="9120" xr:uid="{E131DEFF-3A62-4108-B8A7-FF269664D835}"/>
    <cellStyle name="Normal 9 3 2 4" xfId="995" xr:uid="{00000000-0005-0000-0000-0000E71F0000}"/>
    <cellStyle name="Normal 9 3 2 4 2" xfId="3228" xr:uid="{00000000-0005-0000-0000-0000E81F0000}"/>
    <cellStyle name="Normal 9 3 2 4 2 2" xfId="7451" xr:uid="{00000000-0005-0000-0000-0000E91F0000}"/>
    <cellStyle name="Normal 9 3 2 4 2 2 2" xfId="15893" xr:uid="{585A4B94-865F-4328-AF5D-2C7DE3AEC5A8}"/>
    <cellStyle name="Normal 9 3 2 4 2 3" xfId="11675" xr:uid="{488C43F6-4519-444E-8D38-6A6ABC3C59C8}"/>
    <cellStyle name="Normal 9 3 2 4 3" xfId="5306" xr:uid="{00000000-0005-0000-0000-0000EA1F0000}"/>
    <cellStyle name="Normal 9 3 2 4 3 2" xfId="13748" xr:uid="{21CF15EB-F767-487E-B768-97039F51781E}"/>
    <cellStyle name="Normal 9 3 2 4 4" xfId="9530" xr:uid="{121BC933-E9BD-48D6-BE1B-C7863B6C56E9}"/>
    <cellStyle name="Normal 9 3 2 5" xfId="1411" xr:uid="{00000000-0005-0000-0000-0000EB1F0000}"/>
    <cellStyle name="Normal 9 3 2 5 2" xfId="3641" xr:uid="{00000000-0005-0000-0000-0000EC1F0000}"/>
    <cellStyle name="Normal 9 3 2 5 2 2" xfId="7864" xr:uid="{00000000-0005-0000-0000-0000ED1F0000}"/>
    <cellStyle name="Normal 9 3 2 5 2 2 2" xfId="16306" xr:uid="{25C2E669-1430-4657-A230-C8C37F8D8C15}"/>
    <cellStyle name="Normal 9 3 2 5 2 3" xfId="12088" xr:uid="{A0DD22CF-6377-491E-81D8-B0DAD620513B}"/>
    <cellStyle name="Normal 9 3 2 5 3" xfId="5719" xr:uid="{00000000-0005-0000-0000-0000EE1F0000}"/>
    <cellStyle name="Normal 9 3 2 5 3 2" xfId="14161" xr:uid="{1BD03782-CDE6-430A-8AC9-5D8AE3A00508}"/>
    <cellStyle name="Normal 9 3 2 5 4" xfId="9943" xr:uid="{455833F8-C11D-4862-A87D-F7CF9E1B93B7}"/>
    <cellStyle name="Normal 9 3 2 6" xfId="1824" xr:uid="{00000000-0005-0000-0000-0000EF1F0000}"/>
    <cellStyle name="Normal 9 3 2 6 2" xfId="4054" xr:uid="{00000000-0005-0000-0000-0000F01F0000}"/>
    <cellStyle name="Normal 9 3 2 6 2 2" xfId="8277" xr:uid="{00000000-0005-0000-0000-0000F11F0000}"/>
    <cellStyle name="Normal 9 3 2 6 2 2 2" xfId="16719" xr:uid="{2B12F786-2936-48F0-B894-44BAA24A12F0}"/>
    <cellStyle name="Normal 9 3 2 6 2 3" xfId="12501" xr:uid="{9775C2D0-690B-4510-9FB6-C8F0A0F16397}"/>
    <cellStyle name="Normal 9 3 2 6 3" xfId="6132" xr:uid="{00000000-0005-0000-0000-0000F21F0000}"/>
    <cellStyle name="Normal 9 3 2 6 3 2" xfId="14574" xr:uid="{234453A9-F528-46EE-BE66-642AF0C1EC86}"/>
    <cellStyle name="Normal 9 3 2 6 4" xfId="10356" xr:uid="{FB6728C9-E9C2-4F62-AAB1-6D4F19617613}"/>
    <cellStyle name="Normal 9 3 2 7" xfId="2238" xr:uid="{00000000-0005-0000-0000-0000F31F0000}"/>
    <cellStyle name="Normal 9 3 2 7 2" xfId="4467" xr:uid="{00000000-0005-0000-0000-0000F41F0000}"/>
    <cellStyle name="Normal 9 3 2 7 2 2" xfId="8690" xr:uid="{00000000-0005-0000-0000-0000F51F0000}"/>
    <cellStyle name="Normal 9 3 2 7 2 2 2" xfId="17132" xr:uid="{2853E456-2EAD-4E1B-9A92-579699477E73}"/>
    <cellStyle name="Normal 9 3 2 7 2 3" xfId="12914" xr:uid="{DAE0A63B-9874-4102-A012-29C704B9DB77}"/>
    <cellStyle name="Normal 9 3 2 7 3" xfId="6545" xr:uid="{00000000-0005-0000-0000-0000F61F0000}"/>
    <cellStyle name="Normal 9 3 2 7 3 2" xfId="14987" xr:uid="{05ECCE5C-7170-4648-98A1-76C9215AE2B9}"/>
    <cellStyle name="Normal 9 3 2 7 4" xfId="10769" xr:uid="{D5AE9028-9075-4F8A-8DAC-B93814470840}"/>
    <cellStyle name="Normal 9 3 2 8" xfId="2674" xr:uid="{00000000-0005-0000-0000-0000F71F0000}"/>
    <cellStyle name="Normal 9 3 2 8 2" xfId="6958" xr:uid="{00000000-0005-0000-0000-0000F81F0000}"/>
    <cellStyle name="Normal 9 3 2 8 2 2" xfId="15400" xr:uid="{3B3AB26A-B40C-4835-8200-A08331E66582}"/>
    <cellStyle name="Normal 9 3 2 8 3" xfId="11182" xr:uid="{662D0148-D518-48C9-9F94-D8D870641FCF}"/>
    <cellStyle name="Normal 9 3 2 9" xfId="4893" xr:uid="{00000000-0005-0000-0000-0000F91F0000}"/>
    <cellStyle name="Normal 9 3 2 9 2" xfId="13335" xr:uid="{3BD54381-C286-4C4E-B602-8BA202403FE5}"/>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2 2 2" xfId="15898" xr:uid="{84548306-8A12-405E-9320-F98BA7D91171}"/>
    <cellStyle name="Normal 9 3 3 2 2 2 3" xfId="11680" xr:uid="{4E469076-AB63-4678-87F1-6BC8B1CC24BC}"/>
    <cellStyle name="Normal 9 3 3 2 2 3" xfId="5311" xr:uid="{00000000-0005-0000-0000-0000FF1F0000}"/>
    <cellStyle name="Normal 9 3 3 2 2 3 2" xfId="13753" xr:uid="{6E23ECD5-7A42-4B93-A0BB-7F043605DF04}"/>
    <cellStyle name="Normal 9 3 3 2 2 4" xfId="9535" xr:uid="{D8F436EE-A3E5-4BDE-BB9F-5B546174408F}"/>
    <cellStyle name="Normal 9 3 3 2 3" xfId="1416" xr:uid="{00000000-0005-0000-0000-000000200000}"/>
    <cellStyle name="Normal 9 3 3 2 3 2" xfId="3646" xr:uid="{00000000-0005-0000-0000-000001200000}"/>
    <cellStyle name="Normal 9 3 3 2 3 2 2" xfId="7869" xr:uid="{00000000-0005-0000-0000-000002200000}"/>
    <cellStyle name="Normal 9 3 3 2 3 2 2 2" xfId="16311" xr:uid="{EBDF030F-DF44-42CC-B8CE-3F0EDF2FA09C}"/>
    <cellStyle name="Normal 9 3 3 2 3 2 3" xfId="12093" xr:uid="{AEADB40A-66C7-4325-ACB9-8C610A20C091}"/>
    <cellStyle name="Normal 9 3 3 2 3 3" xfId="5724" xr:uid="{00000000-0005-0000-0000-000003200000}"/>
    <cellStyle name="Normal 9 3 3 2 3 3 2" xfId="14166" xr:uid="{D2F6BCE4-33FC-4C5C-B2D0-BA348678BAD0}"/>
    <cellStyle name="Normal 9 3 3 2 3 4" xfId="9948" xr:uid="{AD28256F-C752-49C3-86A4-75B838A59054}"/>
    <cellStyle name="Normal 9 3 3 2 4" xfId="1829" xr:uid="{00000000-0005-0000-0000-000004200000}"/>
    <cellStyle name="Normal 9 3 3 2 4 2" xfId="4059" xr:uid="{00000000-0005-0000-0000-000005200000}"/>
    <cellStyle name="Normal 9 3 3 2 4 2 2" xfId="8282" xr:uid="{00000000-0005-0000-0000-000006200000}"/>
    <cellStyle name="Normal 9 3 3 2 4 2 2 2" xfId="16724" xr:uid="{93424CF8-1C52-48FA-B9E1-A5BEFCAFC69E}"/>
    <cellStyle name="Normal 9 3 3 2 4 2 3" xfId="12506" xr:uid="{C063AA81-31A3-497C-B7DB-61379E7C5F1A}"/>
    <cellStyle name="Normal 9 3 3 2 4 3" xfId="6137" xr:uid="{00000000-0005-0000-0000-000007200000}"/>
    <cellStyle name="Normal 9 3 3 2 4 3 2" xfId="14579" xr:uid="{31B54FBC-4CBF-4DA4-8E9B-9D5FCC1F9F0F}"/>
    <cellStyle name="Normal 9 3 3 2 4 4" xfId="10361" xr:uid="{3E777A04-FE58-40B6-BDEC-DB474CA60126}"/>
    <cellStyle name="Normal 9 3 3 2 5" xfId="2243" xr:uid="{00000000-0005-0000-0000-000008200000}"/>
    <cellStyle name="Normal 9 3 3 2 5 2" xfId="4472" xr:uid="{00000000-0005-0000-0000-000009200000}"/>
    <cellStyle name="Normal 9 3 3 2 5 2 2" xfId="8695" xr:uid="{00000000-0005-0000-0000-00000A200000}"/>
    <cellStyle name="Normal 9 3 3 2 5 2 2 2" xfId="17137" xr:uid="{74197E03-8B92-46FE-BD8E-F15A87004153}"/>
    <cellStyle name="Normal 9 3 3 2 5 2 3" xfId="12919" xr:uid="{3BA95C4F-3382-42B0-86D0-1E1D9D59C9A8}"/>
    <cellStyle name="Normal 9 3 3 2 5 3" xfId="6550" xr:uid="{00000000-0005-0000-0000-00000B200000}"/>
    <cellStyle name="Normal 9 3 3 2 5 3 2" xfId="14992" xr:uid="{D4338C68-0071-4B90-B6B3-5B9F22A82380}"/>
    <cellStyle name="Normal 9 3 3 2 5 4" xfId="10774" xr:uid="{EC159E69-170D-4CAA-AB3B-8841D4BDAEAB}"/>
    <cellStyle name="Normal 9 3 3 2 6" xfId="2679" xr:uid="{00000000-0005-0000-0000-00000C200000}"/>
    <cellStyle name="Normal 9 3 3 2 6 2" xfId="6963" xr:uid="{00000000-0005-0000-0000-00000D200000}"/>
    <cellStyle name="Normal 9 3 3 2 6 2 2" xfId="15405" xr:uid="{494406D4-7766-4DB3-9350-74887C747367}"/>
    <cellStyle name="Normal 9 3 3 2 6 3" xfId="11187" xr:uid="{A3FE8EE0-8FAC-4702-B3D9-F8390CC9455C}"/>
    <cellStyle name="Normal 9 3 3 2 7" xfId="4898" xr:uid="{00000000-0005-0000-0000-00000E200000}"/>
    <cellStyle name="Normal 9 3 3 2 7 2" xfId="13340" xr:uid="{A03FAB8C-1F45-489F-B150-E9303D896677}"/>
    <cellStyle name="Normal 9 3 3 2 8" xfId="9122" xr:uid="{C9F9E03F-8164-4114-BEEC-9EF223558852}"/>
    <cellStyle name="Normal 9 3 3 3" xfId="999" xr:uid="{00000000-0005-0000-0000-00000F200000}"/>
    <cellStyle name="Normal 9 3 3 3 2" xfId="3232" xr:uid="{00000000-0005-0000-0000-000010200000}"/>
    <cellStyle name="Normal 9 3 3 3 2 2" xfId="7455" xr:uid="{00000000-0005-0000-0000-000011200000}"/>
    <cellStyle name="Normal 9 3 3 3 2 2 2" xfId="15897" xr:uid="{244872E3-0EE4-4E52-AE35-CD4C0FD5CAB4}"/>
    <cellStyle name="Normal 9 3 3 3 2 3" xfId="11679" xr:uid="{099B471D-562F-442A-AFCA-817EAFAF4DDD}"/>
    <cellStyle name="Normal 9 3 3 3 3" xfId="5310" xr:uid="{00000000-0005-0000-0000-000012200000}"/>
    <cellStyle name="Normal 9 3 3 3 3 2" xfId="13752" xr:uid="{7DCA6C55-6821-44A2-876B-75999C3626BD}"/>
    <cellStyle name="Normal 9 3 3 3 4" xfId="9534" xr:uid="{38C449ED-BB80-4B60-9BAF-C5D2366525C5}"/>
    <cellStyle name="Normal 9 3 3 4" xfId="1415" xr:uid="{00000000-0005-0000-0000-000013200000}"/>
    <cellStyle name="Normal 9 3 3 4 2" xfId="3645" xr:uid="{00000000-0005-0000-0000-000014200000}"/>
    <cellStyle name="Normal 9 3 3 4 2 2" xfId="7868" xr:uid="{00000000-0005-0000-0000-000015200000}"/>
    <cellStyle name="Normal 9 3 3 4 2 2 2" xfId="16310" xr:uid="{87212717-C28B-45F6-B132-45CF15F92B5F}"/>
    <cellStyle name="Normal 9 3 3 4 2 3" xfId="12092" xr:uid="{A7DA3EB5-F9C9-45C1-A5C6-0CFD7F6E12E4}"/>
    <cellStyle name="Normal 9 3 3 4 3" xfId="5723" xr:uid="{00000000-0005-0000-0000-000016200000}"/>
    <cellStyle name="Normal 9 3 3 4 3 2" xfId="14165" xr:uid="{8950397A-B417-4BC9-ABFD-F6BDC4253D5B}"/>
    <cellStyle name="Normal 9 3 3 4 4" xfId="9947" xr:uid="{4B86CD51-32FC-4837-93D7-08A48F4A7E6E}"/>
    <cellStyle name="Normal 9 3 3 5" xfId="1828" xr:uid="{00000000-0005-0000-0000-000017200000}"/>
    <cellStyle name="Normal 9 3 3 5 2" xfId="4058" xr:uid="{00000000-0005-0000-0000-000018200000}"/>
    <cellStyle name="Normal 9 3 3 5 2 2" xfId="8281" xr:uid="{00000000-0005-0000-0000-000019200000}"/>
    <cellStyle name="Normal 9 3 3 5 2 2 2" xfId="16723" xr:uid="{B34B2648-20C8-4515-8758-3B0B4816E639}"/>
    <cellStyle name="Normal 9 3 3 5 2 3" xfId="12505" xr:uid="{5564C3A2-FAFD-4717-AEDB-9B136FA7021E}"/>
    <cellStyle name="Normal 9 3 3 5 3" xfId="6136" xr:uid="{00000000-0005-0000-0000-00001A200000}"/>
    <cellStyle name="Normal 9 3 3 5 3 2" xfId="14578" xr:uid="{4D72748C-6676-4CFA-91B7-A00C5B7AB8AA}"/>
    <cellStyle name="Normal 9 3 3 5 4" xfId="10360" xr:uid="{496D0EF2-93BE-446A-BD39-52EAA8EF5FEB}"/>
    <cellStyle name="Normal 9 3 3 6" xfId="2242" xr:uid="{00000000-0005-0000-0000-00001B200000}"/>
    <cellStyle name="Normal 9 3 3 6 2" xfId="4471" xr:uid="{00000000-0005-0000-0000-00001C200000}"/>
    <cellStyle name="Normal 9 3 3 6 2 2" xfId="8694" xr:uid="{00000000-0005-0000-0000-00001D200000}"/>
    <cellStyle name="Normal 9 3 3 6 2 2 2" xfId="17136" xr:uid="{B1D5069C-F465-458D-88F7-6AD1ABFBFFB7}"/>
    <cellStyle name="Normal 9 3 3 6 2 3" xfId="12918" xr:uid="{B3E3152D-8799-4A2A-B6D9-9D96B048E7C6}"/>
    <cellStyle name="Normal 9 3 3 6 3" xfId="6549" xr:uid="{00000000-0005-0000-0000-00001E200000}"/>
    <cellStyle name="Normal 9 3 3 6 3 2" xfId="14991" xr:uid="{F86B7553-8F11-4ABA-A392-098AAA6AB300}"/>
    <cellStyle name="Normal 9 3 3 6 4" xfId="10773" xr:uid="{65B3B4CF-BA69-4094-AA9F-2710B5A77943}"/>
    <cellStyle name="Normal 9 3 3 7" xfId="2678" xr:uid="{00000000-0005-0000-0000-00001F200000}"/>
    <cellStyle name="Normal 9 3 3 7 2" xfId="6962" xr:uid="{00000000-0005-0000-0000-000020200000}"/>
    <cellStyle name="Normal 9 3 3 7 2 2" xfId="15404" xr:uid="{9BA8C3C1-F395-496D-BA77-E299A6C5AE0D}"/>
    <cellStyle name="Normal 9 3 3 7 3" xfId="11186" xr:uid="{2B86BB03-D090-4A5D-98CB-90BEC0377910}"/>
    <cellStyle name="Normal 9 3 3 8" xfId="4897" xr:uid="{00000000-0005-0000-0000-000021200000}"/>
    <cellStyle name="Normal 9 3 3 8 2" xfId="13339" xr:uid="{CA415D4A-5A9D-4826-9A9A-E059B73CEF00}"/>
    <cellStyle name="Normal 9 3 3 9" xfId="9121" xr:uid="{63AF66F2-EDA3-4DA2-953C-F0B10EEA5855}"/>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2 2 2" xfId="15899" xr:uid="{B53ECE9B-F90C-4C67-8E13-28AB310FC7AE}"/>
    <cellStyle name="Normal 9 3 4 2 2 3" xfId="11681" xr:uid="{EA24010B-4152-48F3-ACAA-FE477C5A23CB}"/>
    <cellStyle name="Normal 9 3 4 2 3" xfId="5312" xr:uid="{00000000-0005-0000-0000-000026200000}"/>
    <cellStyle name="Normal 9 3 4 2 3 2" xfId="13754" xr:uid="{BCF7B555-2CCC-4748-BCE1-DA50AFADA24F}"/>
    <cellStyle name="Normal 9 3 4 2 4" xfId="9536" xr:uid="{777B08F3-21FA-4EAF-9E22-4C0A836A991F}"/>
    <cellStyle name="Normal 9 3 4 3" xfId="1417" xr:uid="{00000000-0005-0000-0000-000027200000}"/>
    <cellStyle name="Normal 9 3 4 3 2" xfId="3647" xr:uid="{00000000-0005-0000-0000-000028200000}"/>
    <cellStyle name="Normal 9 3 4 3 2 2" xfId="7870" xr:uid="{00000000-0005-0000-0000-000029200000}"/>
    <cellStyle name="Normal 9 3 4 3 2 2 2" xfId="16312" xr:uid="{E5C5B7EF-EA02-4AD5-984C-DA2D8FED7C21}"/>
    <cellStyle name="Normal 9 3 4 3 2 3" xfId="12094" xr:uid="{10FCA9CD-F1AE-4DC1-A3E5-07B7C36D6477}"/>
    <cellStyle name="Normal 9 3 4 3 3" xfId="5725" xr:uid="{00000000-0005-0000-0000-00002A200000}"/>
    <cellStyle name="Normal 9 3 4 3 3 2" xfId="14167" xr:uid="{4EF1F1AF-9DBB-40ED-9346-5EC620D22199}"/>
    <cellStyle name="Normal 9 3 4 3 4" xfId="9949" xr:uid="{EC1291B6-16C9-4D54-8D0E-8EC3C4EE0AAB}"/>
    <cellStyle name="Normal 9 3 4 4" xfId="1830" xr:uid="{00000000-0005-0000-0000-00002B200000}"/>
    <cellStyle name="Normal 9 3 4 4 2" xfId="4060" xr:uid="{00000000-0005-0000-0000-00002C200000}"/>
    <cellStyle name="Normal 9 3 4 4 2 2" xfId="8283" xr:uid="{00000000-0005-0000-0000-00002D200000}"/>
    <cellStyle name="Normal 9 3 4 4 2 2 2" xfId="16725" xr:uid="{60BD7F0A-85DF-41E1-8968-2F3FCF643EA8}"/>
    <cellStyle name="Normal 9 3 4 4 2 3" xfId="12507" xr:uid="{02A0A62D-F769-4DCC-94B5-961AC71E3BD1}"/>
    <cellStyle name="Normal 9 3 4 4 3" xfId="6138" xr:uid="{00000000-0005-0000-0000-00002E200000}"/>
    <cellStyle name="Normal 9 3 4 4 3 2" xfId="14580" xr:uid="{F7207D62-FBA4-4B0F-8F1D-C5458322AB53}"/>
    <cellStyle name="Normal 9 3 4 4 4" xfId="10362" xr:uid="{5A9AB180-1271-4DA8-AF88-9369DB7F6A14}"/>
    <cellStyle name="Normal 9 3 4 5" xfId="2244" xr:uid="{00000000-0005-0000-0000-00002F200000}"/>
    <cellStyle name="Normal 9 3 4 5 2" xfId="4473" xr:uid="{00000000-0005-0000-0000-000030200000}"/>
    <cellStyle name="Normal 9 3 4 5 2 2" xfId="8696" xr:uid="{00000000-0005-0000-0000-000031200000}"/>
    <cellStyle name="Normal 9 3 4 5 2 2 2" xfId="17138" xr:uid="{E2A17F64-6146-4D3B-B7D4-A065624AAADC}"/>
    <cellStyle name="Normal 9 3 4 5 2 3" xfId="12920" xr:uid="{14F2A9B4-2A63-4665-BA02-026D7CC656F1}"/>
    <cellStyle name="Normal 9 3 4 5 3" xfId="6551" xr:uid="{00000000-0005-0000-0000-000032200000}"/>
    <cellStyle name="Normal 9 3 4 5 3 2" xfId="14993" xr:uid="{5024A885-EED4-43BB-8C03-0A74560B453F}"/>
    <cellStyle name="Normal 9 3 4 5 4" xfId="10775" xr:uid="{550F1834-30D6-48AE-AA18-F8FBE4A77B82}"/>
    <cellStyle name="Normal 9 3 4 6" xfId="2680" xr:uid="{00000000-0005-0000-0000-000033200000}"/>
    <cellStyle name="Normal 9 3 4 6 2" xfId="6964" xr:uid="{00000000-0005-0000-0000-000034200000}"/>
    <cellStyle name="Normal 9 3 4 6 2 2" xfId="15406" xr:uid="{992F13EB-A9F7-414C-8308-AE465493D7E0}"/>
    <cellStyle name="Normal 9 3 4 6 3" xfId="11188" xr:uid="{0ED1A258-60E7-473D-91B0-67A335553361}"/>
    <cellStyle name="Normal 9 3 4 7" xfId="4899" xr:uid="{00000000-0005-0000-0000-000035200000}"/>
    <cellStyle name="Normal 9 3 4 7 2" xfId="13341" xr:uid="{06C12C99-4597-4BC4-AE26-6CA750B8323E}"/>
    <cellStyle name="Normal 9 3 4 8" xfId="9123" xr:uid="{844D6566-972E-44BB-9279-CB78DA5D5FD7}"/>
    <cellStyle name="Normal 9 3 5" xfId="994" xr:uid="{00000000-0005-0000-0000-000036200000}"/>
    <cellStyle name="Normal 9 3 5 2" xfId="3227" xr:uid="{00000000-0005-0000-0000-000037200000}"/>
    <cellStyle name="Normal 9 3 5 2 2" xfId="7450" xr:uid="{00000000-0005-0000-0000-000038200000}"/>
    <cellStyle name="Normal 9 3 5 2 2 2" xfId="15892" xr:uid="{ADBF6CAA-11AA-49F2-8731-9416DCAF1AB5}"/>
    <cellStyle name="Normal 9 3 5 2 3" xfId="11674" xr:uid="{A7C76E30-86F7-454D-A8E6-94D16FCE4F0B}"/>
    <cellStyle name="Normal 9 3 5 3" xfId="5305" xr:uid="{00000000-0005-0000-0000-000039200000}"/>
    <cellStyle name="Normal 9 3 5 3 2" xfId="13747" xr:uid="{C221BFFF-752C-4ACB-9577-297A41C6D795}"/>
    <cellStyle name="Normal 9 3 5 4" xfId="9529" xr:uid="{30A13A7E-50CA-4785-965C-A1FC0AF52481}"/>
    <cellStyle name="Normal 9 3 6" xfId="1410" xr:uid="{00000000-0005-0000-0000-00003A200000}"/>
    <cellStyle name="Normal 9 3 6 2" xfId="3640" xr:uid="{00000000-0005-0000-0000-00003B200000}"/>
    <cellStyle name="Normal 9 3 6 2 2" xfId="7863" xr:uid="{00000000-0005-0000-0000-00003C200000}"/>
    <cellStyle name="Normal 9 3 6 2 2 2" xfId="16305" xr:uid="{311A6A17-DECD-45A0-AFF2-10AFFB24B4D3}"/>
    <cellStyle name="Normal 9 3 6 2 3" xfId="12087" xr:uid="{03808088-646F-4842-A0FB-B79B176C7551}"/>
    <cellStyle name="Normal 9 3 6 3" xfId="5718" xr:uid="{00000000-0005-0000-0000-00003D200000}"/>
    <cellStyle name="Normal 9 3 6 3 2" xfId="14160" xr:uid="{7646435A-5D1E-4205-8C4E-AD54F332A6E9}"/>
    <cellStyle name="Normal 9 3 6 4" xfId="9942" xr:uid="{2DB5C5FC-1E67-41E5-9719-47F6C5D3941B}"/>
    <cellStyle name="Normal 9 3 7" xfId="1823" xr:uid="{00000000-0005-0000-0000-00003E200000}"/>
    <cellStyle name="Normal 9 3 7 2" xfId="4053" xr:uid="{00000000-0005-0000-0000-00003F200000}"/>
    <cellStyle name="Normal 9 3 7 2 2" xfId="8276" xr:uid="{00000000-0005-0000-0000-000040200000}"/>
    <cellStyle name="Normal 9 3 7 2 2 2" xfId="16718" xr:uid="{A48F4376-D0EB-49CF-900F-78370993871E}"/>
    <cellStyle name="Normal 9 3 7 2 3" xfId="12500" xr:uid="{1BBCC6A3-9596-4094-8E2A-403F012678DC}"/>
    <cellStyle name="Normal 9 3 7 3" xfId="6131" xr:uid="{00000000-0005-0000-0000-000041200000}"/>
    <cellStyle name="Normal 9 3 7 3 2" xfId="14573" xr:uid="{028BA8C3-5982-430D-932E-82A8718ADF5B}"/>
    <cellStyle name="Normal 9 3 7 4" xfId="10355" xr:uid="{909221D8-8CA3-4E06-9F49-8A444AE4EE2C}"/>
    <cellStyle name="Normal 9 3 8" xfId="2237" xr:uid="{00000000-0005-0000-0000-000042200000}"/>
    <cellStyle name="Normal 9 3 8 2" xfId="4466" xr:uid="{00000000-0005-0000-0000-000043200000}"/>
    <cellStyle name="Normal 9 3 8 2 2" xfId="8689" xr:uid="{00000000-0005-0000-0000-000044200000}"/>
    <cellStyle name="Normal 9 3 8 2 2 2" xfId="17131" xr:uid="{49C5F46A-A126-4118-A6D2-1BAF6F732B89}"/>
    <cellStyle name="Normal 9 3 8 2 3" xfId="12913" xr:uid="{B9F354B5-1C04-4F8F-923F-CFAA24E43F72}"/>
    <cellStyle name="Normal 9 3 8 3" xfId="6544" xr:uid="{00000000-0005-0000-0000-000045200000}"/>
    <cellStyle name="Normal 9 3 8 3 2" xfId="14986" xr:uid="{DE3E743A-BF9B-4B73-BC53-3A39599C7A53}"/>
    <cellStyle name="Normal 9 3 8 4" xfId="10768" xr:uid="{752CF610-B927-4C51-AA30-BEB9755297B1}"/>
    <cellStyle name="Normal 9 3 9" xfId="2673" xr:uid="{00000000-0005-0000-0000-000046200000}"/>
    <cellStyle name="Normal 9 3 9 2" xfId="6957" xr:uid="{00000000-0005-0000-0000-000047200000}"/>
    <cellStyle name="Normal 9 3 9 2 2" xfId="15399" xr:uid="{244E72E9-9230-4F22-B1D8-CDF366CFED28}"/>
    <cellStyle name="Normal 9 3 9 3" xfId="11181" xr:uid="{F1C243C4-0B51-4391-8724-8ED49F69357D}"/>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2 2 2" xfId="15901" xr:uid="{F6F2DD32-B681-4EA7-B6E7-BA8D2850F0A4}"/>
    <cellStyle name="Normal 9 5 2 2 2 3" xfId="11683" xr:uid="{979D7318-9D2A-44C6-900A-F0962D393DA8}"/>
    <cellStyle name="Normal 9 5 2 2 3" xfId="5314" xr:uid="{00000000-0005-0000-0000-00004F200000}"/>
    <cellStyle name="Normal 9 5 2 2 3 2" xfId="13756" xr:uid="{4230F221-6248-4823-A729-1D576A6F7658}"/>
    <cellStyle name="Normal 9 5 2 2 4" xfId="9538" xr:uid="{8512384F-1D18-4D9C-BEF8-62929F791DAA}"/>
    <cellStyle name="Normal 9 5 2 3" xfId="1419" xr:uid="{00000000-0005-0000-0000-000050200000}"/>
    <cellStyle name="Normal 9 5 2 3 2" xfId="3649" xr:uid="{00000000-0005-0000-0000-000051200000}"/>
    <cellStyle name="Normal 9 5 2 3 2 2" xfId="7872" xr:uid="{00000000-0005-0000-0000-000052200000}"/>
    <cellStyle name="Normal 9 5 2 3 2 2 2" xfId="16314" xr:uid="{2EA2AF29-7E81-4477-9B0D-B78FC76A1CE6}"/>
    <cellStyle name="Normal 9 5 2 3 2 3" xfId="12096" xr:uid="{925A4DC5-C8E9-4E71-BC03-D40858BD08BD}"/>
    <cellStyle name="Normal 9 5 2 3 3" xfId="5727" xr:uid="{00000000-0005-0000-0000-000053200000}"/>
    <cellStyle name="Normal 9 5 2 3 3 2" xfId="14169" xr:uid="{EAF87FCD-0013-4BA6-B8C3-A7F3873078E0}"/>
    <cellStyle name="Normal 9 5 2 3 4" xfId="9951" xr:uid="{DFB1C445-F84C-411F-A70E-1226C5C3E66A}"/>
    <cellStyle name="Normal 9 5 2 4" xfId="1832" xr:uid="{00000000-0005-0000-0000-000054200000}"/>
    <cellStyle name="Normal 9 5 2 4 2" xfId="4062" xr:uid="{00000000-0005-0000-0000-000055200000}"/>
    <cellStyle name="Normal 9 5 2 4 2 2" xfId="8285" xr:uid="{00000000-0005-0000-0000-000056200000}"/>
    <cellStyle name="Normal 9 5 2 4 2 2 2" xfId="16727" xr:uid="{12B932CE-271C-4D91-AE8A-69205771A44F}"/>
    <cellStyle name="Normal 9 5 2 4 2 3" xfId="12509" xr:uid="{DA9573F6-F12B-4376-AB01-5CED060A7A33}"/>
    <cellStyle name="Normal 9 5 2 4 3" xfId="6140" xr:uid="{00000000-0005-0000-0000-000057200000}"/>
    <cellStyle name="Normal 9 5 2 4 3 2" xfId="14582" xr:uid="{92F6557E-030B-40B3-9260-618120FE9045}"/>
    <cellStyle name="Normal 9 5 2 4 4" xfId="10364" xr:uid="{F54C0124-27B7-4EC7-9228-A86C9A17E3F4}"/>
    <cellStyle name="Normal 9 5 2 5" xfId="2246" xr:uid="{00000000-0005-0000-0000-000058200000}"/>
    <cellStyle name="Normal 9 5 2 5 2" xfId="4475" xr:uid="{00000000-0005-0000-0000-000059200000}"/>
    <cellStyle name="Normal 9 5 2 5 2 2" xfId="8698" xr:uid="{00000000-0005-0000-0000-00005A200000}"/>
    <cellStyle name="Normal 9 5 2 5 2 2 2" xfId="17140" xr:uid="{BD897C77-AB3F-4FAF-B80B-7A715B65C2DB}"/>
    <cellStyle name="Normal 9 5 2 5 2 3" xfId="12922" xr:uid="{58FED46B-C825-4DF8-B1FD-2B4FDE198BB1}"/>
    <cellStyle name="Normal 9 5 2 5 3" xfId="6553" xr:uid="{00000000-0005-0000-0000-00005B200000}"/>
    <cellStyle name="Normal 9 5 2 5 3 2" xfId="14995" xr:uid="{E1F955F0-2EC4-4A70-B086-B266F1C5AEE8}"/>
    <cellStyle name="Normal 9 5 2 5 4" xfId="10777" xr:uid="{CA6DAAB6-56A2-4997-AE2B-C529A918CD61}"/>
    <cellStyle name="Normal 9 5 2 6" xfId="2682" xr:uid="{00000000-0005-0000-0000-00005C200000}"/>
    <cellStyle name="Normal 9 5 2 6 2" xfId="6966" xr:uid="{00000000-0005-0000-0000-00005D200000}"/>
    <cellStyle name="Normal 9 5 2 6 2 2" xfId="15408" xr:uid="{A3CF1C31-4945-4DFE-86B7-68C23E611C8B}"/>
    <cellStyle name="Normal 9 5 2 6 3" xfId="11190" xr:uid="{A045E6C6-6AF9-439C-888C-E722166E3A5D}"/>
    <cellStyle name="Normal 9 5 2 7" xfId="4901" xr:uid="{00000000-0005-0000-0000-00005E200000}"/>
    <cellStyle name="Normal 9 5 2 7 2" xfId="13343" xr:uid="{3757CDA2-A699-4ADD-A684-F4B83910F1D5}"/>
    <cellStyle name="Normal 9 5 2 8" xfId="9125" xr:uid="{00D2B3CE-23D8-4204-8388-D60A49DB0704}"/>
    <cellStyle name="Normal 9 5 3" xfId="1003" xr:uid="{00000000-0005-0000-0000-00005F200000}"/>
    <cellStyle name="Normal 9 5 3 2" xfId="3235" xr:uid="{00000000-0005-0000-0000-000060200000}"/>
    <cellStyle name="Normal 9 5 3 2 2" xfId="7458" xr:uid="{00000000-0005-0000-0000-000061200000}"/>
    <cellStyle name="Normal 9 5 3 2 2 2" xfId="15900" xr:uid="{6E8C45BB-4342-4233-917D-619165DC2D96}"/>
    <cellStyle name="Normal 9 5 3 2 3" xfId="11682" xr:uid="{90863E10-5128-4E92-A3DC-E07937DD2B8E}"/>
    <cellStyle name="Normal 9 5 3 3" xfId="5313" xr:uid="{00000000-0005-0000-0000-000062200000}"/>
    <cellStyle name="Normal 9 5 3 3 2" xfId="13755" xr:uid="{5CF93EC8-1849-4197-85EF-0BEDD064874A}"/>
    <cellStyle name="Normal 9 5 3 4" xfId="9537" xr:uid="{12F7B7B2-085F-43D6-B2F2-D82C47F15691}"/>
    <cellStyle name="Normal 9 5 4" xfId="1418" xr:uid="{00000000-0005-0000-0000-000063200000}"/>
    <cellStyle name="Normal 9 5 4 2" xfId="3648" xr:uid="{00000000-0005-0000-0000-000064200000}"/>
    <cellStyle name="Normal 9 5 4 2 2" xfId="7871" xr:uid="{00000000-0005-0000-0000-000065200000}"/>
    <cellStyle name="Normal 9 5 4 2 2 2" xfId="16313" xr:uid="{F72BCF34-1CAD-48E9-BEA0-823DF108044E}"/>
    <cellStyle name="Normal 9 5 4 2 3" xfId="12095" xr:uid="{806B428A-5BDC-443E-9196-83BAB9D45932}"/>
    <cellStyle name="Normal 9 5 4 3" xfId="5726" xr:uid="{00000000-0005-0000-0000-000066200000}"/>
    <cellStyle name="Normal 9 5 4 3 2" xfId="14168" xr:uid="{1477135D-6D2D-46B6-BEF0-DD78415BF9AF}"/>
    <cellStyle name="Normal 9 5 4 4" xfId="9950" xr:uid="{6E20B068-2F5D-4D98-B19F-E9C7232CFB49}"/>
    <cellStyle name="Normal 9 5 5" xfId="1831" xr:uid="{00000000-0005-0000-0000-000067200000}"/>
    <cellStyle name="Normal 9 5 5 2" xfId="4061" xr:uid="{00000000-0005-0000-0000-000068200000}"/>
    <cellStyle name="Normal 9 5 5 2 2" xfId="8284" xr:uid="{00000000-0005-0000-0000-000069200000}"/>
    <cellStyle name="Normal 9 5 5 2 2 2" xfId="16726" xr:uid="{AC384133-9F73-41C5-8372-3E76D853AAF7}"/>
    <cellStyle name="Normal 9 5 5 2 3" xfId="12508" xr:uid="{45B0D9FF-4F97-4268-A279-85501FD66A05}"/>
    <cellStyle name="Normal 9 5 5 3" xfId="6139" xr:uid="{00000000-0005-0000-0000-00006A200000}"/>
    <cellStyle name="Normal 9 5 5 3 2" xfId="14581" xr:uid="{EE767F37-0E61-42A5-BCE2-83BEC1110192}"/>
    <cellStyle name="Normal 9 5 5 4" xfId="10363" xr:uid="{9B1A5DCC-87C8-43D2-B8CD-D2F73A5D9A34}"/>
    <cellStyle name="Normal 9 5 6" xfId="2245" xr:uid="{00000000-0005-0000-0000-00006B200000}"/>
    <cellStyle name="Normal 9 5 6 2" xfId="4474" xr:uid="{00000000-0005-0000-0000-00006C200000}"/>
    <cellStyle name="Normal 9 5 6 2 2" xfId="8697" xr:uid="{00000000-0005-0000-0000-00006D200000}"/>
    <cellStyle name="Normal 9 5 6 2 2 2" xfId="17139" xr:uid="{0A321CE8-6D92-49EF-86A1-F3C5ED526D57}"/>
    <cellStyle name="Normal 9 5 6 2 3" xfId="12921" xr:uid="{6C356390-A21F-4F8D-AF2F-58CE84A30875}"/>
    <cellStyle name="Normal 9 5 6 3" xfId="6552" xr:uid="{00000000-0005-0000-0000-00006E200000}"/>
    <cellStyle name="Normal 9 5 6 3 2" xfId="14994" xr:uid="{627C0979-38C9-4A55-AEFB-A5AF6F784EF3}"/>
    <cellStyle name="Normal 9 5 6 4" xfId="10776" xr:uid="{DFE6FE7D-3100-42BC-A52A-E395BDFC5DDF}"/>
    <cellStyle name="Normal 9 5 7" xfId="2681" xr:uid="{00000000-0005-0000-0000-00006F200000}"/>
    <cellStyle name="Normal 9 5 7 2" xfId="6965" xr:uid="{00000000-0005-0000-0000-000070200000}"/>
    <cellStyle name="Normal 9 5 7 2 2" xfId="15407" xr:uid="{1C9A0E51-8C44-41AA-9B10-62ECE0BE261A}"/>
    <cellStyle name="Normal 9 5 7 3" xfId="11189" xr:uid="{3F604CD0-6CBE-4F08-BB3A-206732D6646E}"/>
    <cellStyle name="Normal 9 5 8" xfId="4900" xr:uid="{00000000-0005-0000-0000-000071200000}"/>
    <cellStyle name="Normal 9 5 8 2" xfId="13342" xr:uid="{E3E9EDD3-194F-4BCB-AEE4-52D58F3C696F}"/>
    <cellStyle name="Normal 9 5 9" xfId="9124" xr:uid="{2A777FD8-7A1F-458E-93BB-62CC8E713752}"/>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2 2 2" xfId="15902" xr:uid="{B0D36D07-C991-4543-A0A7-0A2A402B0326}"/>
    <cellStyle name="Normal 9 6 2 2 3" xfId="11684" xr:uid="{E1FC4445-6FC6-4689-B2E8-DFDAFEEB6DBC}"/>
    <cellStyle name="Normal 9 6 2 3" xfId="5315" xr:uid="{00000000-0005-0000-0000-000076200000}"/>
    <cellStyle name="Normal 9 6 2 3 2" xfId="13757" xr:uid="{561425B9-E502-4DE6-A5B1-CA76E864D0C8}"/>
    <cellStyle name="Normal 9 6 2 4" xfId="9539" xr:uid="{D4AE6720-F194-4029-9AD4-11473DE8C0D6}"/>
    <cellStyle name="Normal 9 6 3" xfId="1420" xr:uid="{00000000-0005-0000-0000-000077200000}"/>
    <cellStyle name="Normal 9 6 3 2" xfId="3650" xr:uid="{00000000-0005-0000-0000-000078200000}"/>
    <cellStyle name="Normal 9 6 3 2 2" xfId="7873" xr:uid="{00000000-0005-0000-0000-000079200000}"/>
    <cellStyle name="Normal 9 6 3 2 2 2" xfId="16315" xr:uid="{B689298E-547E-4790-B446-7C6A739AC52F}"/>
    <cellStyle name="Normal 9 6 3 2 3" xfId="12097" xr:uid="{DAEC8A93-2F41-440F-9041-6FE6AC04F1CC}"/>
    <cellStyle name="Normal 9 6 3 3" xfId="5728" xr:uid="{00000000-0005-0000-0000-00007A200000}"/>
    <cellStyle name="Normal 9 6 3 3 2" xfId="14170" xr:uid="{5C508F49-7BC1-4C3D-ABDB-F8CB3D5E6DFE}"/>
    <cellStyle name="Normal 9 6 3 4" xfId="9952" xr:uid="{D16E1760-97CB-4BE0-AEAC-3D21D6212913}"/>
    <cellStyle name="Normal 9 6 4" xfId="1833" xr:uid="{00000000-0005-0000-0000-00007B200000}"/>
    <cellStyle name="Normal 9 6 4 2" xfId="4063" xr:uid="{00000000-0005-0000-0000-00007C200000}"/>
    <cellStyle name="Normal 9 6 4 2 2" xfId="8286" xr:uid="{00000000-0005-0000-0000-00007D200000}"/>
    <cellStyle name="Normal 9 6 4 2 2 2" xfId="16728" xr:uid="{2A679EFF-A01F-4328-80DF-79038481F26A}"/>
    <cellStyle name="Normal 9 6 4 2 3" xfId="12510" xr:uid="{CE1CCD16-43AE-497B-B398-CC0A65FA38CF}"/>
    <cellStyle name="Normal 9 6 4 3" xfId="6141" xr:uid="{00000000-0005-0000-0000-00007E200000}"/>
    <cellStyle name="Normal 9 6 4 3 2" xfId="14583" xr:uid="{DDA45195-79F4-479B-8769-9555C29888B3}"/>
    <cellStyle name="Normal 9 6 4 4" xfId="10365" xr:uid="{95A3AAE5-B46A-4710-BA89-21A93A55BEFC}"/>
    <cellStyle name="Normal 9 6 5" xfId="2247" xr:uid="{00000000-0005-0000-0000-00007F200000}"/>
    <cellStyle name="Normal 9 6 5 2" xfId="4476" xr:uid="{00000000-0005-0000-0000-000080200000}"/>
    <cellStyle name="Normal 9 6 5 2 2" xfId="8699" xr:uid="{00000000-0005-0000-0000-000081200000}"/>
    <cellStyle name="Normal 9 6 5 2 2 2" xfId="17141" xr:uid="{8144610A-DF66-4368-B28B-E7FB65856E50}"/>
    <cellStyle name="Normal 9 6 5 2 3" xfId="12923" xr:uid="{78A5F6FA-B638-42D5-AD40-4E79886F529A}"/>
    <cellStyle name="Normal 9 6 5 3" xfId="6554" xr:uid="{00000000-0005-0000-0000-000082200000}"/>
    <cellStyle name="Normal 9 6 5 3 2" xfId="14996" xr:uid="{7BBB0D9F-F3C9-45EB-9CA5-37D921F5EFFE}"/>
    <cellStyle name="Normal 9 6 5 4" xfId="10778" xr:uid="{7F36D021-AA44-489B-BBEA-FD176D3D8BB7}"/>
    <cellStyle name="Normal 9 6 6" xfId="2683" xr:uid="{00000000-0005-0000-0000-000083200000}"/>
    <cellStyle name="Normal 9 6 6 2" xfId="6967" xr:uid="{00000000-0005-0000-0000-000084200000}"/>
    <cellStyle name="Normal 9 6 6 2 2" xfId="15409" xr:uid="{2388960E-211C-487A-B291-79E24E3AC76D}"/>
    <cellStyle name="Normal 9 6 6 3" xfId="11191" xr:uid="{C6F370F4-4A6F-4D82-B350-EAA290D4D9D5}"/>
    <cellStyle name="Normal 9 6 7" xfId="4902" xr:uid="{00000000-0005-0000-0000-000085200000}"/>
    <cellStyle name="Normal 9 6 7 2" xfId="13344" xr:uid="{51B807CD-B2C2-448D-9502-D222BC5A17B2}"/>
    <cellStyle name="Normal 9 6 8" xfId="9126" xr:uid="{896617B0-62EC-40E1-9374-0A375CF43638}"/>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0 2 2" xfId="15490" xr:uid="{E2142306-F7D2-44B8-8F9C-976F55A9E6CC}"/>
    <cellStyle name="Note 2 2 10 3" xfId="11272" xr:uid="{349D6370-D16B-418C-A513-47CF3DCEEE40}"/>
    <cellStyle name="Note 2 2 11" xfId="4903" xr:uid="{00000000-0005-0000-0000-000094200000}"/>
    <cellStyle name="Note 2 2 11 2" xfId="13345" xr:uid="{A3E7260E-DE3D-418D-9A81-008EFBFB375D}"/>
    <cellStyle name="Note 2 2 12" xfId="9127" xr:uid="{29FD8508-2A10-4823-A300-F263E14B68FE}"/>
    <cellStyle name="Note 2 2 2" xfId="546" xr:uid="{00000000-0005-0000-0000-000095200000}"/>
    <cellStyle name="Note 2 2 2 10" xfId="4904" xr:uid="{00000000-0005-0000-0000-000096200000}"/>
    <cellStyle name="Note 2 2 2 10 2" xfId="13346" xr:uid="{25786AC2-5332-4663-89F1-E8D4873E281D}"/>
    <cellStyle name="Note 2 2 2 11" xfId="9128" xr:uid="{F540F878-C7B5-4760-AF49-92C87C248C56}"/>
    <cellStyle name="Note 2 2 2 2" xfId="547" xr:uid="{00000000-0005-0000-0000-000097200000}"/>
    <cellStyle name="Note 2 2 2 2 10" xfId="9129" xr:uid="{E317BCC4-A79D-46EB-A875-E1B1C6059AFC}"/>
    <cellStyle name="Note 2 2 2 2 2" xfId="1008" xr:uid="{00000000-0005-0000-0000-000098200000}"/>
    <cellStyle name="Note 2 2 2 2 2 2" xfId="3240" xr:uid="{00000000-0005-0000-0000-000099200000}"/>
    <cellStyle name="Note 2 2 2 2 2 2 2" xfId="7463" xr:uid="{00000000-0005-0000-0000-00009A200000}"/>
    <cellStyle name="Note 2 2 2 2 2 2 2 2" xfId="15905" xr:uid="{C2A5DB17-7609-4648-AD49-CA80D28D63E7}"/>
    <cellStyle name="Note 2 2 2 2 2 2 3" xfId="11687" xr:uid="{0D4EC816-0EC9-45CB-8FD5-E6069D832EA8}"/>
    <cellStyle name="Note 2 2 2 2 2 3" xfId="5318" xr:uid="{00000000-0005-0000-0000-00009B200000}"/>
    <cellStyle name="Note 2 2 2 2 2 3 2" xfId="13760" xr:uid="{FED3D556-802F-48C5-8E63-15CF0A528C90}"/>
    <cellStyle name="Note 2 2 2 2 2 4" xfId="9542" xr:uid="{047DD048-2DD9-40EA-AB31-57D0C5E8D6D6}"/>
    <cellStyle name="Note 2 2 2 2 3" xfId="1423" xr:uid="{00000000-0005-0000-0000-00009C200000}"/>
    <cellStyle name="Note 2 2 2 2 3 2" xfId="3653" xr:uid="{00000000-0005-0000-0000-00009D200000}"/>
    <cellStyle name="Note 2 2 2 2 3 2 2" xfId="7876" xr:uid="{00000000-0005-0000-0000-00009E200000}"/>
    <cellStyle name="Note 2 2 2 2 3 2 2 2" xfId="16318" xr:uid="{200C4C08-584D-4AC1-B99D-13909A16337A}"/>
    <cellStyle name="Note 2 2 2 2 3 2 3" xfId="12100" xr:uid="{8BF7A236-54B4-45F1-895C-D78A2B262CD6}"/>
    <cellStyle name="Note 2 2 2 2 3 3" xfId="5731" xr:uid="{00000000-0005-0000-0000-00009F200000}"/>
    <cellStyle name="Note 2 2 2 2 3 3 2" xfId="14173" xr:uid="{CE2EAB01-E375-4367-A209-88256E8260F1}"/>
    <cellStyle name="Note 2 2 2 2 3 4" xfId="9955" xr:uid="{E23B32BF-E8BF-4BE2-8A4B-C8DCA49654F7}"/>
    <cellStyle name="Note 2 2 2 2 4" xfId="1837" xr:uid="{00000000-0005-0000-0000-0000A0200000}"/>
    <cellStyle name="Note 2 2 2 2 4 2" xfId="4066" xr:uid="{00000000-0005-0000-0000-0000A1200000}"/>
    <cellStyle name="Note 2 2 2 2 4 2 2" xfId="8289" xr:uid="{00000000-0005-0000-0000-0000A2200000}"/>
    <cellStyle name="Note 2 2 2 2 4 2 2 2" xfId="16731" xr:uid="{7FE2A5E3-1A94-4652-B712-BB179255CE90}"/>
    <cellStyle name="Note 2 2 2 2 4 2 3" xfId="12513" xr:uid="{B923609F-1C0B-4F0D-86A1-DA8477EA9A76}"/>
    <cellStyle name="Note 2 2 2 2 4 3" xfId="6144" xr:uid="{00000000-0005-0000-0000-0000A3200000}"/>
    <cellStyle name="Note 2 2 2 2 4 3 2" xfId="14586" xr:uid="{D5FFCB8F-515E-4346-B8EB-CF050CC00E8D}"/>
    <cellStyle name="Note 2 2 2 2 4 4" xfId="10368" xr:uid="{5157E293-70C4-4C0C-B8A8-FB427EABADD0}"/>
    <cellStyle name="Note 2 2 2 2 5" xfId="2250" xr:uid="{00000000-0005-0000-0000-0000A4200000}"/>
    <cellStyle name="Note 2 2 2 2 5 2" xfId="4479" xr:uid="{00000000-0005-0000-0000-0000A5200000}"/>
    <cellStyle name="Note 2 2 2 2 5 2 2" xfId="8702" xr:uid="{00000000-0005-0000-0000-0000A6200000}"/>
    <cellStyle name="Note 2 2 2 2 5 2 2 2" xfId="17144" xr:uid="{B2480EAC-774B-4CD1-9D60-6F713339899D}"/>
    <cellStyle name="Note 2 2 2 2 5 2 3" xfId="12926" xr:uid="{B0E72A27-977D-44E9-A688-6D35B69A2395}"/>
    <cellStyle name="Note 2 2 2 2 5 3" xfId="6557" xr:uid="{00000000-0005-0000-0000-0000A7200000}"/>
    <cellStyle name="Note 2 2 2 2 5 3 2" xfId="14999" xr:uid="{608E6788-B4A9-40C5-8681-018891ECE91A}"/>
    <cellStyle name="Note 2 2 2 2 5 4" xfId="10781" xr:uid="{687F3EB9-4D4D-4484-97BF-443264D15E86}"/>
    <cellStyle name="Note 2 2 2 2 6" xfId="2686" xr:uid="{00000000-0005-0000-0000-0000A8200000}"/>
    <cellStyle name="Note 2 2 2 2 6 2" xfId="6970" xr:uid="{00000000-0005-0000-0000-0000A9200000}"/>
    <cellStyle name="Note 2 2 2 2 6 2 2" xfId="15412" xr:uid="{4D2B13F9-3256-43A1-AACC-784CA7604D70}"/>
    <cellStyle name="Note 2 2 2 2 6 3" xfId="11194" xr:uid="{67A13F8D-D4D5-4209-8534-0758E8F8DC42}"/>
    <cellStyle name="Note 2 2 2 2 7" xfId="2745" xr:uid="{00000000-0005-0000-0000-0000AA200000}"/>
    <cellStyle name="Note 2 2 2 2 8" xfId="2826" xr:uid="{00000000-0005-0000-0000-0000AB200000}"/>
    <cellStyle name="Note 2 2 2 2 8 2" xfId="7050" xr:uid="{00000000-0005-0000-0000-0000AC200000}"/>
    <cellStyle name="Note 2 2 2 2 8 2 2" xfId="15492" xr:uid="{DC888F4D-9704-4F87-874D-8F3427F60EB9}"/>
    <cellStyle name="Note 2 2 2 2 8 3" xfId="11274" xr:uid="{951415C4-5F5E-4122-A829-A1211AEE9FC3}"/>
    <cellStyle name="Note 2 2 2 2 9" xfId="4905" xr:uid="{00000000-0005-0000-0000-0000AD200000}"/>
    <cellStyle name="Note 2 2 2 2 9 2" xfId="13347" xr:uid="{712A7D74-39A5-45AD-ABA0-2C22F3B51E49}"/>
    <cellStyle name="Note 2 2 2 3" xfId="1007" xr:uid="{00000000-0005-0000-0000-0000AE200000}"/>
    <cellStyle name="Note 2 2 2 3 2" xfId="3239" xr:uid="{00000000-0005-0000-0000-0000AF200000}"/>
    <cellStyle name="Note 2 2 2 3 2 2" xfId="7462" xr:uid="{00000000-0005-0000-0000-0000B0200000}"/>
    <cellStyle name="Note 2 2 2 3 2 2 2" xfId="15904" xr:uid="{BDE2AD79-6CDA-44D9-8E9F-44967974CAC2}"/>
    <cellStyle name="Note 2 2 2 3 2 3" xfId="11686" xr:uid="{9435C02C-7425-4E7F-9588-942A7F74D54B}"/>
    <cellStyle name="Note 2 2 2 3 3" xfId="5317" xr:uid="{00000000-0005-0000-0000-0000B1200000}"/>
    <cellStyle name="Note 2 2 2 3 3 2" xfId="13759" xr:uid="{63840E3F-824F-4812-9E8B-82B002CC2718}"/>
    <cellStyle name="Note 2 2 2 3 4" xfId="9541" xr:uid="{2B8C2A7A-A0C8-48AF-9047-6AA37E7D17B3}"/>
    <cellStyle name="Note 2 2 2 4" xfId="1422" xr:uid="{00000000-0005-0000-0000-0000B2200000}"/>
    <cellStyle name="Note 2 2 2 4 2" xfId="3652" xr:uid="{00000000-0005-0000-0000-0000B3200000}"/>
    <cellStyle name="Note 2 2 2 4 2 2" xfId="7875" xr:uid="{00000000-0005-0000-0000-0000B4200000}"/>
    <cellStyle name="Note 2 2 2 4 2 2 2" xfId="16317" xr:uid="{C46693C5-4FD2-4BA1-AB15-FB681F2C72A7}"/>
    <cellStyle name="Note 2 2 2 4 2 3" xfId="12099" xr:uid="{42C259A5-AC2E-460B-BC19-103155268EB8}"/>
    <cellStyle name="Note 2 2 2 4 3" xfId="5730" xr:uid="{00000000-0005-0000-0000-0000B5200000}"/>
    <cellStyle name="Note 2 2 2 4 3 2" xfId="14172" xr:uid="{C23F1541-4A74-4C32-86DF-ABAC39901500}"/>
    <cellStyle name="Note 2 2 2 4 4" xfId="9954" xr:uid="{8D3E4795-90A8-4606-A5E9-0A348CB3C80A}"/>
    <cellStyle name="Note 2 2 2 5" xfId="1836" xr:uid="{00000000-0005-0000-0000-0000B6200000}"/>
    <cellStyle name="Note 2 2 2 5 2" xfId="4065" xr:uid="{00000000-0005-0000-0000-0000B7200000}"/>
    <cellStyle name="Note 2 2 2 5 2 2" xfId="8288" xr:uid="{00000000-0005-0000-0000-0000B8200000}"/>
    <cellStyle name="Note 2 2 2 5 2 2 2" xfId="16730" xr:uid="{F39E46EC-C3BC-44B8-B69F-207B87C553FD}"/>
    <cellStyle name="Note 2 2 2 5 2 3" xfId="12512" xr:uid="{769EB823-A0F8-4A81-87A7-0BF93F63C1CA}"/>
    <cellStyle name="Note 2 2 2 5 3" xfId="6143" xr:uid="{00000000-0005-0000-0000-0000B9200000}"/>
    <cellStyle name="Note 2 2 2 5 3 2" xfId="14585" xr:uid="{6F520E61-F6AC-4B23-9EED-C9B406A08497}"/>
    <cellStyle name="Note 2 2 2 5 4" xfId="10367" xr:uid="{353435B7-9365-47D4-8023-24ACD7212616}"/>
    <cellStyle name="Note 2 2 2 6" xfId="2249" xr:uid="{00000000-0005-0000-0000-0000BA200000}"/>
    <cellStyle name="Note 2 2 2 6 2" xfId="4478" xr:uid="{00000000-0005-0000-0000-0000BB200000}"/>
    <cellStyle name="Note 2 2 2 6 2 2" xfId="8701" xr:uid="{00000000-0005-0000-0000-0000BC200000}"/>
    <cellStyle name="Note 2 2 2 6 2 2 2" xfId="17143" xr:uid="{DD4AF79E-6568-4A7B-8F01-AB766A5FB8E3}"/>
    <cellStyle name="Note 2 2 2 6 2 3" xfId="12925" xr:uid="{B1403F50-FE73-447E-BFC1-EEE59A903353}"/>
    <cellStyle name="Note 2 2 2 6 3" xfId="6556" xr:uid="{00000000-0005-0000-0000-0000BD200000}"/>
    <cellStyle name="Note 2 2 2 6 3 2" xfId="14998" xr:uid="{E55B619E-55AA-49E2-BA2E-962B9AF08097}"/>
    <cellStyle name="Note 2 2 2 6 4" xfId="10780" xr:uid="{4FE91A20-AE86-4C2C-B63C-71F5C8D88673}"/>
    <cellStyle name="Note 2 2 2 7" xfId="2685" xr:uid="{00000000-0005-0000-0000-0000BE200000}"/>
    <cellStyle name="Note 2 2 2 7 2" xfId="6969" xr:uid="{00000000-0005-0000-0000-0000BF200000}"/>
    <cellStyle name="Note 2 2 2 7 2 2" xfId="15411" xr:uid="{9FD2C082-9E48-4501-ACEE-B8EDA23806BD}"/>
    <cellStyle name="Note 2 2 2 7 3" xfId="11193" xr:uid="{755735F9-1D15-478F-85AB-BA4F0E408C94}"/>
    <cellStyle name="Note 2 2 2 8" xfId="2744" xr:uid="{00000000-0005-0000-0000-0000C0200000}"/>
    <cellStyle name="Note 2 2 2 9" xfId="2825" xr:uid="{00000000-0005-0000-0000-0000C1200000}"/>
    <cellStyle name="Note 2 2 2 9 2" xfId="7049" xr:uid="{00000000-0005-0000-0000-0000C2200000}"/>
    <cellStyle name="Note 2 2 2 9 2 2" xfId="15491" xr:uid="{92AE71D8-E31A-4559-8564-24EA6547B399}"/>
    <cellStyle name="Note 2 2 2 9 3" xfId="11273" xr:uid="{FBB102D2-523A-4CCD-BB52-2B4E1F20BFEC}"/>
    <cellStyle name="Note 2 2 3" xfId="548" xr:uid="{00000000-0005-0000-0000-0000C3200000}"/>
    <cellStyle name="Note 2 2 3 10" xfId="9130" xr:uid="{B776BD62-C132-4825-9552-1C60DF41C090}"/>
    <cellStyle name="Note 2 2 3 2" xfId="1009" xr:uid="{00000000-0005-0000-0000-0000C4200000}"/>
    <cellStyle name="Note 2 2 3 2 2" xfId="3241" xr:uid="{00000000-0005-0000-0000-0000C5200000}"/>
    <cellStyle name="Note 2 2 3 2 2 2" xfId="7464" xr:uid="{00000000-0005-0000-0000-0000C6200000}"/>
    <cellStyle name="Note 2 2 3 2 2 2 2" xfId="15906" xr:uid="{348909B3-81FF-4FFC-9212-7087D69E1E59}"/>
    <cellStyle name="Note 2 2 3 2 2 3" xfId="11688" xr:uid="{0F85AFB3-ED05-4DD8-A2D0-56550066A739}"/>
    <cellStyle name="Note 2 2 3 2 3" xfId="5319" xr:uid="{00000000-0005-0000-0000-0000C7200000}"/>
    <cellStyle name="Note 2 2 3 2 3 2" xfId="13761" xr:uid="{9A9938BD-00A3-43A5-B29B-A2AE429D08B6}"/>
    <cellStyle name="Note 2 2 3 2 4" xfId="9543" xr:uid="{17A369D6-F9A1-4F0D-AE83-F75AD62C2343}"/>
    <cellStyle name="Note 2 2 3 3" xfId="1424" xr:uid="{00000000-0005-0000-0000-0000C8200000}"/>
    <cellStyle name="Note 2 2 3 3 2" xfId="3654" xr:uid="{00000000-0005-0000-0000-0000C9200000}"/>
    <cellStyle name="Note 2 2 3 3 2 2" xfId="7877" xr:uid="{00000000-0005-0000-0000-0000CA200000}"/>
    <cellStyle name="Note 2 2 3 3 2 2 2" xfId="16319" xr:uid="{585D47BB-64AD-4DFD-97F0-C5A91AC3E2E0}"/>
    <cellStyle name="Note 2 2 3 3 2 3" xfId="12101" xr:uid="{84E4FB77-FB60-48EC-A387-8584129D89E9}"/>
    <cellStyle name="Note 2 2 3 3 3" xfId="5732" xr:uid="{00000000-0005-0000-0000-0000CB200000}"/>
    <cellStyle name="Note 2 2 3 3 3 2" xfId="14174" xr:uid="{8715E1AC-4E23-4E02-BD90-78ECA6E5DF0D}"/>
    <cellStyle name="Note 2 2 3 3 4" xfId="9956" xr:uid="{CFE83350-CFA1-4E96-9787-EAEAC5CF31B4}"/>
    <cellStyle name="Note 2 2 3 4" xfId="1838" xr:uid="{00000000-0005-0000-0000-0000CC200000}"/>
    <cellStyle name="Note 2 2 3 4 2" xfId="4067" xr:uid="{00000000-0005-0000-0000-0000CD200000}"/>
    <cellStyle name="Note 2 2 3 4 2 2" xfId="8290" xr:uid="{00000000-0005-0000-0000-0000CE200000}"/>
    <cellStyle name="Note 2 2 3 4 2 2 2" xfId="16732" xr:uid="{4FD247A3-C1F5-4DA0-80F3-87A9520E7CDE}"/>
    <cellStyle name="Note 2 2 3 4 2 3" xfId="12514" xr:uid="{948986F8-59E7-4727-8A1B-412CD1134565}"/>
    <cellStyle name="Note 2 2 3 4 3" xfId="6145" xr:uid="{00000000-0005-0000-0000-0000CF200000}"/>
    <cellStyle name="Note 2 2 3 4 3 2" xfId="14587" xr:uid="{BF33C5DD-9223-4006-A3BA-9DD61807DA4E}"/>
    <cellStyle name="Note 2 2 3 4 4" xfId="10369" xr:uid="{335AFD28-DFA9-41D9-909F-CB651D3AAA3F}"/>
    <cellStyle name="Note 2 2 3 5" xfId="2251" xr:uid="{00000000-0005-0000-0000-0000D0200000}"/>
    <cellStyle name="Note 2 2 3 5 2" xfId="4480" xr:uid="{00000000-0005-0000-0000-0000D1200000}"/>
    <cellStyle name="Note 2 2 3 5 2 2" xfId="8703" xr:uid="{00000000-0005-0000-0000-0000D2200000}"/>
    <cellStyle name="Note 2 2 3 5 2 2 2" xfId="17145" xr:uid="{DCEB9321-2C1F-4D4E-9B54-FD7735E69D7B}"/>
    <cellStyle name="Note 2 2 3 5 2 3" xfId="12927" xr:uid="{B77D0B36-3A09-4C22-B3DC-3FAA6E07CAB6}"/>
    <cellStyle name="Note 2 2 3 5 3" xfId="6558" xr:uid="{00000000-0005-0000-0000-0000D3200000}"/>
    <cellStyle name="Note 2 2 3 5 3 2" xfId="15000" xr:uid="{90514270-5C98-4E3E-8754-4C46DD2213C8}"/>
    <cellStyle name="Note 2 2 3 5 4" xfId="10782" xr:uid="{0BB79964-2A12-4200-AF0F-F7FFE33CDF0A}"/>
    <cellStyle name="Note 2 2 3 6" xfId="2687" xr:uid="{00000000-0005-0000-0000-0000D4200000}"/>
    <cellStyle name="Note 2 2 3 6 2" xfId="6971" xr:uid="{00000000-0005-0000-0000-0000D5200000}"/>
    <cellStyle name="Note 2 2 3 6 2 2" xfId="15413" xr:uid="{91F7A148-25B1-43EB-A361-C1B08E344CBE}"/>
    <cellStyle name="Note 2 2 3 6 3" xfId="11195" xr:uid="{01E5557F-C534-4138-B091-CA8C407E98CE}"/>
    <cellStyle name="Note 2 2 3 7" xfId="2746" xr:uid="{00000000-0005-0000-0000-0000D6200000}"/>
    <cellStyle name="Note 2 2 3 8" xfId="2827" xr:uid="{00000000-0005-0000-0000-0000D7200000}"/>
    <cellStyle name="Note 2 2 3 8 2" xfId="7051" xr:uid="{00000000-0005-0000-0000-0000D8200000}"/>
    <cellStyle name="Note 2 2 3 8 2 2" xfId="15493" xr:uid="{14C03566-1622-4C6B-983A-F9043DE3ADA4}"/>
    <cellStyle name="Note 2 2 3 8 3" xfId="11275" xr:uid="{ABA712B5-6129-49B1-AB06-6126313E52AE}"/>
    <cellStyle name="Note 2 2 3 9" xfId="4906" xr:uid="{00000000-0005-0000-0000-0000D9200000}"/>
    <cellStyle name="Note 2 2 3 9 2" xfId="13348" xr:uid="{B33CAAF9-717A-4B4B-8005-15A969EB2085}"/>
    <cellStyle name="Note 2 2 4" xfId="1006" xr:uid="{00000000-0005-0000-0000-0000DA200000}"/>
    <cellStyle name="Note 2 2 4 2" xfId="3238" xr:uid="{00000000-0005-0000-0000-0000DB200000}"/>
    <cellStyle name="Note 2 2 4 2 2" xfId="7461" xr:uid="{00000000-0005-0000-0000-0000DC200000}"/>
    <cellStyle name="Note 2 2 4 2 2 2" xfId="15903" xr:uid="{FC016025-DCC1-45F0-83BC-A444C281D5E0}"/>
    <cellStyle name="Note 2 2 4 2 3" xfId="11685" xr:uid="{8EC7D7AD-F4CC-4FCB-9D54-B5AA1D091DE7}"/>
    <cellStyle name="Note 2 2 4 3" xfId="5316" xr:uid="{00000000-0005-0000-0000-0000DD200000}"/>
    <cellStyle name="Note 2 2 4 3 2" xfId="13758" xr:uid="{FB3BA735-54CE-4E72-B325-D6F9A491F9E3}"/>
    <cellStyle name="Note 2 2 4 4" xfId="9540" xr:uid="{BC43DD74-5623-4475-96C6-1486A3ADA955}"/>
    <cellStyle name="Note 2 2 5" xfId="1421" xr:uid="{00000000-0005-0000-0000-0000DE200000}"/>
    <cellStyle name="Note 2 2 5 2" xfId="3651" xr:uid="{00000000-0005-0000-0000-0000DF200000}"/>
    <cellStyle name="Note 2 2 5 2 2" xfId="7874" xr:uid="{00000000-0005-0000-0000-0000E0200000}"/>
    <cellStyle name="Note 2 2 5 2 2 2" xfId="16316" xr:uid="{2C1528E9-5220-47A3-97A4-76D6204CC850}"/>
    <cellStyle name="Note 2 2 5 2 3" xfId="12098" xr:uid="{0DCBBC57-8909-4E9D-B9A8-CF9D20E919D0}"/>
    <cellStyle name="Note 2 2 5 3" xfId="5729" xr:uid="{00000000-0005-0000-0000-0000E1200000}"/>
    <cellStyle name="Note 2 2 5 3 2" xfId="14171" xr:uid="{8A2472F1-C13F-439D-8E3B-F6BA16798C8E}"/>
    <cellStyle name="Note 2 2 5 4" xfId="9953" xr:uid="{B6368D81-4D33-4291-8D3C-CF7ECFB2F805}"/>
    <cellStyle name="Note 2 2 6" xfId="1835" xr:uid="{00000000-0005-0000-0000-0000E2200000}"/>
    <cellStyle name="Note 2 2 6 2" xfId="4064" xr:uid="{00000000-0005-0000-0000-0000E3200000}"/>
    <cellStyle name="Note 2 2 6 2 2" xfId="8287" xr:uid="{00000000-0005-0000-0000-0000E4200000}"/>
    <cellStyle name="Note 2 2 6 2 2 2" xfId="16729" xr:uid="{AABBAECC-6325-413C-BFFB-AF5DF180723F}"/>
    <cellStyle name="Note 2 2 6 2 3" xfId="12511" xr:uid="{424DEF09-B453-40E7-A64E-72261B27A558}"/>
    <cellStyle name="Note 2 2 6 3" xfId="6142" xr:uid="{00000000-0005-0000-0000-0000E5200000}"/>
    <cellStyle name="Note 2 2 6 3 2" xfId="14584" xr:uid="{ADAC61DD-4A28-4903-AF5E-124DD5BBCEEA}"/>
    <cellStyle name="Note 2 2 6 4" xfId="10366" xr:uid="{8C9F0A40-E260-4EC1-973F-1EA49DC25F3C}"/>
    <cellStyle name="Note 2 2 7" xfId="2248" xr:uid="{00000000-0005-0000-0000-0000E6200000}"/>
    <cellStyle name="Note 2 2 7 2" xfId="4477" xr:uid="{00000000-0005-0000-0000-0000E7200000}"/>
    <cellStyle name="Note 2 2 7 2 2" xfId="8700" xr:uid="{00000000-0005-0000-0000-0000E8200000}"/>
    <cellStyle name="Note 2 2 7 2 2 2" xfId="17142" xr:uid="{484D157B-93C3-43B3-82D6-56E14A536B4E}"/>
    <cellStyle name="Note 2 2 7 2 3" xfId="12924" xr:uid="{08B9DE4D-DBC4-4854-8F4C-3AD6D0394B76}"/>
    <cellStyle name="Note 2 2 7 3" xfId="6555" xr:uid="{00000000-0005-0000-0000-0000E9200000}"/>
    <cellStyle name="Note 2 2 7 3 2" xfId="14997" xr:uid="{4443C6CB-3E89-4A34-8D08-F14BFA45C861}"/>
    <cellStyle name="Note 2 2 7 4" xfId="10779" xr:uid="{3A7A470A-B7C5-4A04-B4CE-1BE67E76E527}"/>
    <cellStyle name="Note 2 2 8" xfId="2684" xr:uid="{00000000-0005-0000-0000-0000EA200000}"/>
    <cellStyle name="Note 2 2 8 2" xfId="6968" xr:uid="{00000000-0005-0000-0000-0000EB200000}"/>
    <cellStyle name="Note 2 2 8 2 2" xfId="15410" xr:uid="{8DB00881-4354-4E46-9C30-2F409A94BF3E}"/>
    <cellStyle name="Note 2 2 8 3" xfId="11192" xr:uid="{0EC694EB-2BFC-4D70-8BC6-02D24B4B1165}"/>
    <cellStyle name="Note 2 2 9" xfId="2743" xr:uid="{00000000-0005-0000-0000-0000EC200000}"/>
    <cellStyle name="Note 2 3" xfId="549" xr:uid="{00000000-0005-0000-0000-0000ED200000}"/>
    <cellStyle name="Note 2 3 10" xfId="4907" xr:uid="{00000000-0005-0000-0000-0000EE200000}"/>
    <cellStyle name="Note 2 3 10 2" xfId="13349" xr:uid="{6EA42EE5-C42B-4F20-A3EA-4F7756AAE893}"/>
    <cellStyle name="Note 2 3 11" xfId="9131" xr:uid="{9E61E2E5-612A-4204-BB9B-5FC9ADE7FC64}"/>
    <cellStyle name="Note 2 3 2" xfId="550" xr:uid="{00000000-0005-0000-0000-0000EF200000}"/>
    <cellStyle name="Note 2 3 2 10" xfId="9132" xr:uid="{F6E1D621-A3C4-48FA-A960-DE02A2B59C8C}"/>
    <cellStyle name="Note 2 3 2 2" xfId="1011" xr:uid="{00000000-0005-0000-0000-0000F0200000}"/>
    <cellStyle name="Note 2 3 2 2 2" xfId="3243" xr:uid="{00000000-0005-0000-0000-0000F1200000}"/>
    <cellStyle name="Note 2 3 2 2 2 2" xfId="7466" xr:uid="{00000000-0005-0000-0000-0000F2200000}"/>
    <cellStyle name="Note 2 3 2 2 2 2 2" xfId="15908" xr:uid="{4452A153-1B9A-4C0D-A7C7-68879761AA3B}"/>
    <cellStyle name="Note 2 3 2 2 2 3" xfId="11690" xr:uid="{BD26F0F6-8967-4DBD-9FDE-23BAFB6EE954}"/>
    <cellStyle name="Note 2 3 2 2 3" xfId="5321" xr:uid="{00000000-0005-0000-0000-0000F3200000}"/>
    <cellStyle name="Note 2 3 2 2 3 2" xfId="13763" xr:uid="{417A2FC2-1E8F-41C7-850D-009856BEF8FD}"/>
    <cellStyle name="Note 2 3 2 2 4" xfId="9545" xr:uid="{A19B0D96-0656-4BED-8E8F-B8B78F87E3F4}"/>
    <cellStyle name="Note 2 3 2 3" xfId="1426" xr:uid="{00000000-0005-0000-0000-0000F4200000}"/>
    <cellStyle name="Note 2 3 2 3 2" xfId="3656" xr:uid="{00000000-0005-0000-0000-0000F5200000}"/>
    <cellStyle name="Note 2 3 2 3 2 2" xfId="7879" xr:uid="{00000000-0005-0000-0000-0000F6200000}"/>
    <cellStyle name="Note 2 3 2 3 2 2 2" xfId="16321" xr:uid="{FB6636E2-9784-4A6A-AD20-EAFB3E6CA3EA}"/>
    <cellStyle name="Note 2 3 2 3 2 3" xfId="12103" xr:uid="{8FE031FF-3B05-4CE7-BEBA-F30B17258FE3}"/>
    <cellStyle name="Note 2 3 2 3 3" xfId="5734" xr:uid="{00000000-0005-0000-0000-0000F7200000}"/>
    <cellStyle name="Note 2 3 2 3 3 2" xfId="14176" xr:uid="{35977C67-4F76-44AF-B5C6-61E45658D70D}"/>
    <cellStyle name="Note 2 3 2 3 4" xfId="9958" xr:uid="{4BB8D375-7A2D-4CDA-B9D3-351A2D769CF1}"/>
    <cellStyle name="Note 2 3 2 4" xfId="1840" xr:uid="{00000000-0005-0000-0000-0000F8200000}"/>
    <cellStyle name="Note 2 3 2 4 2" xfId="4069" xr:uid="{00000000-0005-0000-0000-0000F9200000}"/>
    <cellStyle name="Note 2 3 2 4 2 2" xfId="8292" xr:uid="{00000000-0005-0000-0000-0000FA200000}"/>
    <cellStyle name="Note 2 3 2 4 2 2 2" xfId="16734" xr:uid="{F86CD958-1025-4243-998B-E8B078160E88}"/>
    <cellStyle name="Note 2 3 2 4 2 3" xfId="12516" xr:uid="{289113A5-D0E6-430A-A34A-A6E6D160E9E5}"/>
    <cellStyle name="Note 2 3 2 4 3" xfId="6147" xr:uid="{00000000-0005-0000-0000-0000FB200000}"/>
    <cellStyle name="Note 2 3 2 4 3 2" xfId="14589" xr:uid="{5A552116-7E91-4CA4-93B4-DB29C2919897}"/>
    <cellStyle name="Note 2 3 2 4 4" xfId="10371" xr:uid="{259A486A-F2E9-4D4D-B2A0-5FADEDD6F52F}"/>
    <cellStyle name="Note 2 3 2 5" xfId="2253" xr:uid="{00000000-0005-0000-0000-0000FC200000}"/>
    <cellStyle name="Note 2 3 2 5 2" xfId="4482" xr:uid="{00000000-0005-0000-0000-0000FD200000}"/>
    <cellStyle name="Note 2 3 2 5 2 2" xfId="8705" xr:uid="{00000000-0005-0000-0000-0000FE200000}"/>
    <cellStyle name="Note 2 3 2 5 2 2 2" xfId="17147" xr:uid="{C392FB68-023F-4CF7-9375-D1D20A25790B}"/>
    <cellStyle name="Note 2 3 2 5 2 3" xfId="12929" xr:uid="{24D8F197-9462-4885-9DBA-75AB4B157E4F}"/>
    <cellStyle name="Note 2 3 2 5 3" xfId="6560" xr:uid="{00000000-0005-0000-0000-0000FF200000}"/>
    <cellStyle name="Note 2 3 2 5 3 2" xfId="15002" xr:uid="{F37996B8-15A1-4D2E-9A8F-8EDB2D80891D}"/>
    <cellStyle name="Note 2 3 2 5 4" xfId="10784" xr:uid="{115F3FC7-01FE-4D8D-BE35-D87C6DF17570}"/>
    <cellStyle name="Note 2 3 2 6" xfId="2689" xr:uid="{00000000-0005-0000-0000-000000210000}"/>
    <cellStyle name="Note 2 3 2 6 2" xfId="6973" xr:uid="{00000000-0005-0000-0000-000001210000}"/>
    <cellStyle name="Note 2 3 2 6 2 2" xfId="15415" xr:uid="{1D500E11-751F-4BFA-8001-0C70BB5FE54D}"/>
    <cellStyle name="Note 2 3 2 6 3" xfId="11197" xr:uid="{3C2A4844-581A-4982-84EB-A30521869E40}"/>
    <cellStyle name="Note 2 3 2 7" xfId="2748" xr:uid="{00000000-0005-0000-0000-000002210000}"/>
    <cellStyle name="Note 2 3 2 8" xfId="2829" xr:uid="{00000000-0005-0000-0000-000003210000}"/>
    <cellStyle name="Note 2 3 2 8 2" xfId="7053" xr:uid="{00000000-0005-0000-0000-000004210000}"/>
    <cellStyle name="Note 2 3 2 8 2 2" xfId="15495" xr:uid="{1E0F1187-FEC7-4C6D-8064-5CA83BE1071C}"/>
    <cellStyle name="Note 2 3 2 8 3" xfId="11277" xr:uid="{0D518DD9-0702-41A1-BE66-DEF2765D7635}"/>
    <cellStyle name="Note 2 3 2 9" xfId="4908" xr:uid="{00000000-0005-0000-0000-000005210000}"/>
    <cellStyle name="Note 2 3 2 9 2" xfId="13350" xr:uid="{79387CE4-FCF8-4913-8DF7-2AF5D37D5154}"/>
    <cellStyle name="Note 2 3 3" xfId="1010" xr:uid="{00000000-0005-0000-0000-000006210000}"/>
    <cellStyle name="Note 2 3 3 2" xfId="3242" xr:uid="{00000000-0005-0000-0000-000007210000}"/>
    <cellStyle name="Note 2 3 3 2 2" xfId="7465" xr:uid="{00000000-0005-0000-0000-000008210000}"/>
    <cellStyle name="Note 2 3 3 2 2 2" xfId="15907" xr:uid="{B3F88A99-F859-4726-9C1B-EA77DD0BC0A1}"/>
    <cellStyle name="Note 2 3 3 2 3" xfId="11689" xr:uid="{811EE6C7-EC5C-4433-A14A-6C28C453B7D5}"/>
    <cellStyle name="Note 2 3 3 3" xfId="5320" xr:uid="{00000000-0005-0000-0000-000009210000}"/>
    <cellStyle name="Note 2 3 3 3 2" xfId="13762" xr:uid="{E9866DC5-D53A-49B2-A814-AEF047062B0D}"/>
    <cellStyle name="Note 2 3 3 4" xfId="9544" xr:uid="{080EFBE5-5E1B-4049-BD0A-FFA699D08D4E}"/>
    <cellStyle name="Note 2 3 4" xfId="1425" xr:uid="{00000000-0005-0000-0000-00000A210000}"/>
    <cellStyle name="Note 2 3 4 2" xfId="3655" xr:uid="{00000000-0005-0000-0000-00000B210000}"/>
    <cellStyle name="Note 2 3 4 2 2" xfId="7878" xr:uid="{00000000-0005-0000-0000-00000C210000}"/>
    <cellStyle name="Note 2 3 4 2 2 2" xfId="16320" xr:uid="{B8779480-AC0C-4F34-8B83-B60021BBB76F}"/>
    <cellStyle name="Note 2 3 4 2 3" xfId="12102" xr:uid="{A3F320B4-4701-4641-B481-0D7344933669}"/>
    <cellStyle name="Note 2 3 4 3" xfId="5733" xr:uid="{00000000-0005-0000-0000-00000D210000}"/>
    <cellStyle name="Note 2 3 4 3 2" xfId="14175" xr:uid="{6C05AC91-911D-4A04-94BC-4BF6BABE4819}"/>
    <cellStyle name="Note 2 3 4 4" xfId="9957" xr:uid="{EF350E24-FB9A-41E0-958C-1D3B1DE0CB3B}"/>
    <cellStyle name="Note 2 3 5" xfId="1839" xr:uid="{00000000-0005-0000-0000-00000E210000}"/>
    <cellStyle name="Note 2 3 5 2" xfId="4068" xr:uid="{00000000-0005-0000-0000-00000F210000}"/>
    <cellStyle name="Note 2 3 5 2 2" xfId="8291" xr:uid="{00000000-0005-0000-0000-000010210000}"/>
    <cellStyle name="Note 2 3 5 2 2 2" xfId="16733" xr:uid="{C0F373D1-D7D5-42C4-9433-9A46951E9EE4}"/>
    <cellStyle name="Note 2 3 5 2 3" xfId="12515" xr:uid="{ACBF7105-A8B8-4B54-879D-65BB476CAD42}"/>
    <cellStyle name="Note 2 3 5 3" xfId="6146" xr:uid="{00000000-0005-0000-0000-000011210000}"/>
    <cellStyle name="Note 2 3 5 3 2" xfId="14588" xr:uid="{6CB57CF5-3FB3-4BC3-92BF-DBFA55EF9BFE}"/>
    <cellStyle name="Note 2 3 5 4" xfId="10370" xr:uid="{FD142F2D-307E-4B16-90A8-4910D042F71B}"/>
    <cellStyle name="Note 2 3 6" xfId="2252" xr:uid="{00000000-0005-0000-0000-000012210000}"/>
    <cellStyle name="Note 2 3 6 2" xfId="4481" xr:uid="{00000000-0005-0000-0000-000013210000}"/>
    <cellStyle name="Note 2 3 6 2 2" xfId="8704" xr:uid="{00000000-0005-0000-0000-000014210000}"/>
    <cellStyle name="Note 2 3 6 2 2 2" xfId="17146" xr:uid="{BB102E7C-2E53-4239-8C46-73109EC4C8E2}"/>
    <cellStyle name="Note 2 3 6 2 3" xfId="12928" xr:uid="{78A355F0-6838-46A1-B15D-4F205960E7A9}"/>
    <cellStyle name="Note 2 3 6 3" xfId="6559" xr:uid="{00000000-0005-0000-0000-000015210000}"/>
    <cellStyle name="Note 2 3 6 3 2" xfId="15001" xr:uid="{59AD1DD5-F047-4DEB-8B9D-4549CECEBAB6}"/>
    <cellStyle name="Note 2 3 6 4" xfId="10783" xr:uid="{4A994A2D-D6E9-45DA-BE4A-D91ECCE82A67}"/>
    <cellStyle name="Note 2 3 7" xfId="2688" xr:uid="{00000000-0005-0000-0000-000016210000}"/>
    <cellStyle name="Note 2 3 7 2" xfId="6972" xr:uid="{00000000-0005-0000-0000-000017210000}"/>
    <cellStyle name="Note 2 3 7 2 2" xfId="15414" xr:uid="{A2F0F569-48C7-4D60-9F15-C9F9662EDA1B}"/>
    <cellStyle name="Note 2 3 7 3" xfId="11196" xr:uid="{B4345318-2BF7-448F-9DCA-878D97E9F0E9}"/>
    <cellStyle name="Note 2 3 8" xfId="2747" xr:uid="{00000000-0005-0000-0000-000018210000}"/>
    <cellStyle name="Note 2 3 9" xfId="2828" xr:uid="{00000000-0005-0000-0000-000019210000}"/>
    <cellStyle name="Note 2 3 9 2" xfId="7052" xr:uid="{00000000-0005-0000-0000-00001A210000}"/>
    <cellStyle name="Note 2 3 9 2 2" xfId="15494" xr:uid="{C60343E6-7E72-4B70-B702-A9581C4215A2}"/>
    <cellStyle name="Note 2 3 9 3" xfId="11276" xr:uid="{7B3EAE44-CE1C-4C69-87A6-C484703DA083}"/>
    <cellStyle name="Note 2 4" xfId="551" xr:uid="{00000000-0005-0000-0000-00001B210000}"/>
    <cellStyle name="Note 2 4 10" xfId="9133" xr:uid="{A8D382FD-C633-4CDA-AF59-2147D840E3C9}"/>
    <cellStyle name="Note 2 4 2" xfId="1012" xr:uid="{00000000-0005-0000-0000-00001C210000}"/>
    <cellStyle name="Note 2 4 2 2" xfId="3244" xr:uid="{00000000-0005-0000-0000-00001D210000}"/>
    <cellStyle name="Note 2 4 2 2 2" xfId="7467" xr:uid="{00000000-0005-0000-0000-00001E210000}"/>
    <cellStyle name="Note 2 4 2 2 2 2" xfId="15909" xr:uid="{D72718BE-E954-485A-B9DC-1FC61BF19D1A}"/>
    <cellStyle name="Note 2 4 2 2 3" xfId="11691" xr:uid="{3C300FCA-C7CB-4581-A6AC-8BCE2E5EEB18}"/>
    <cellStyle name="Note 2 4 2 3" xfId="5322" xr:uid="{00000000-0005-0000-0000-00001F210000}"/>
    <cellStyle name="Note 2 4 2 3 2" xfId="13764" xr:uid="{A0CD9677-858C-4D27-9E38-0600F43659AA}"/>
    <cellStyle name="Note 2 4 2 4" xfId="9546" xr:uid="{FF51C1FC-C9A0-4596-9930-DB5ED411913D}"/>
    <cellStyle name="Note 2 4 3" xfId="1427" xr:uid="{00000000-0005-0000-0000-000020210000}"/>
    <cellStyle name="Note 2 4 3 2" xfId="3657" xr:uid="{00000000-0005-0000-0000-000021210000}"/>
    <cellStyle name="Note 2 4 3 2 2" xfId="7880" xr:uid="{00000000-0005-0000-0000-000022210000}"/>
    <cellStyle name="Note 2 4 3 2 2 2" xfId="16322" xr:uid="{54CFA4AC-EE58-442A-B277-2804208157C7}"/>
    <cellStyle name="Note 2 4 3 2 3" xfId="12104" xr:uid="{7E700BE2-EF3B-4BC3-B4E9-DA9FF4DD6E91}"/>
    <cellStyle name="Note 2 4 3 3" xfId="5735" xr:uid="{00000000-0005-0000-0000-000023210000}"/>
    <cellStyle name="Note 2 4 3 3 2" xfId="14177" xr:uid="{71CE1516-3DFA-4ADC-8893-EC5DB94F7A8C}"/>
    <cellStyle name="Note 2 4 3 4" xfId="9959" xr:uid="{38741C0A-04B9-42A6-B313-D6E516027ABD}"/>
    <cellStyle name="Note 2 4 4" xfId="1841" xr:uid="{00000000-0005-0000-0000-000024210000}"/>
    <cellStyle name="Note 2 4 4 2" xfId="4070" xr:uid="{00000000-0005-0000-0000-000025210000}"/>
    <cellStyle name="Note 2 4 4 2 2" xfId="8293" xr:uid="{00000000-0005-0000-0000-000026210000}"/>
    <cellStyle name="Note 2 4 4 2 2 2" xfId="16735" xr:uid="{02BF4DB4-4BE0-4819-A04C-F9745A59E870}"/>
    <cellStyle name="Note 2 4 4 2 3" xfId="12517" xr:uid="{48AA86E5-C500-4174-9443-D983C881B091}"/>
    <cellStyle name="Note 2 4 4 3" xfId="6148" xr:uid="{00000000-0005-0000-0000-000027210000}"/>
    <cellStyle name="Note 2 4 4 3 2" xfId="14590" xr:uid="{5F3E44A9-2BA7-48FF-A3B9-92B41F663D70}"/>
    <cellStyle name="Note 2 4 4 4" xfId="10372" xr:uid="{6CDBCB65-855A-4F4C-B439-EB0EFA3DE81F}"/>
    <cellStyle name="Note 2 4 5" xfId="2254" xr:uid="{00000000-0005-0000-0000-000028210000}"/>
    <cellStyle name="Note 2 4 5 2" xfId="4483" xr:uid="{00000000-0005-0000-0000-000029210000}"/>
    <cellStyle name="Note 2 4 5 2 2" xfId="8706" xr:uid="{00000000-0005-0000-0000-00002A210000}"/>
    <cellStyle name="Note 2 4 5 2 2 2" xfId="17148" xr:uid="{D5A3388D-47A1-4D91-A1FB-2F9A06D83152}"/>
    <cellStyle name="Note 2 4 5 2 3" xfId="12930" xr:uid="{5CAA52EA-E465-40E3-802C-B920E2FC6504}"/>
    <cellStyle name="Note 2 4 5 3" xfId="6561" xr:uid="{00000000-0005-0000-0000-00002B210000}"/>
    <cellStyle name="Note 2 4 5 3 2" xfId="15003" xr:uid="{E8948A0B-987B-400D-AED5-3825B94CD99B}"/>
    <cellStyle name="Note 2 4 5 4" xfId="10785" xr:uid="{498F1ACF-3D1E-48CE-8C0D-BB7543743A51}"/>
    <cellStyle name="Note 2 4 6" xfId="2690" xr:uid="{00000000-0005-0000-0000-00002C210000}"/>
    <cellStyle name="Note 2 4 6 2" xfId="6974" xr:uid="{00000000-0005-0000-0000-00002D210000}"/>
    <cellStyle name="Note 2 4 6 2 2" xfId="15416" xr:uid="{64BB21AD-46D1-4850-924E-2EEAE059BCD7}"/>
    <cellStyle name="Note 2 4 6 3" xfId="11198" xr:uid="{6D77E56C-2827-44D7-9245-1EC3958CC417}"/>
    <cellStyle name="Note 2 4 7" xfId="2749" xr:uid="{00000000-0005-0000-0000-00002E210000}"/>
    <cellStyle name="Note 2 4 8" xfId="2830" xr:uid="{00000000-0005-0000-0000-00002F210000}"/>
    <cellStyle name="Note 2 4 8 2" xfId="7054" xr:uid="{00000000-0005-0000-0000-000030210000}"/>
    <cellStyle name="Note 2 4 8 2 2" xfId="15496" xr:uid="{AD658429-AFBF-497E-B6B9-AE6500DF7EFF}"/>
    <cellStyle name="Note 2 4 8 3" xfId="11278" xr:uid="{A33166EA-E72C-470E-A3D0-3E6F3FFEA920}"/>
    <cellStyle name="Note 2 4 9" xfId="4909" xr:uid="{00000000-0005-0000-0000-000031210000}"/>
    <cellStyle name="Note 2 4 9 2" xfId="13351" xr:uid="{5A564727-82B9-4ED1-ABB1-EDAE3EB4B3CE}"/>
    <cellStyle name="Note 2 5" xfId="552" xr:uid="{00000000-0005-0000-0000-000032210000}"/>
    <cellStyle name="Note 2 5 10" xfId="9134" xr:uid="{3FF9A00A-71B6-4DD7-80BD-DD1038976E40}"/>
    <cellStyle name="Note 2 5 2" xfId="1013" xr:uid="{00000000-0005-0000-0000-000033210000}"/>
    <cellStyle name="Note 2 5 2 2" xfId="3245" xr:uid="{00000000-0005-0000-0000-000034210000}"/>
    <cellStyle name="Note 2 5 2 2 2" xfId="7468" xr:uid="{00000000-0005-0000-0000-000035210000}"/>
    <cellStyle name="Note 2 5 2 2 2 2" xfId="15910" xr:uid="{0BA64208-50D8-4449-9F50-3BDB24081609}"/>
    <cellStyle name="Note 2 5 2 2 3" xfId="11692" xr:uid="{8AA85785-C1DC-4633-A1FF-1B60509AB292}"/>
    <cellStyle name="Note 2 5 2 3" xfId="5323" xr:uid="{00000000-0005-0000-0000-000036210000}"/>
    <cellStyle name="Note 2 5 2 3 2" xfId="13765" xr:uid="{02B1DC33-3C23-49B7-A2B5-F29D2A0ECF4F}"/>
    <cellStyle name="Note 2 5 2 4" xfId="9547" xr:uid="{38DB6FC2-0D91-42A3-8F7B-CB9D0F28964A}"/>
    <cellStyle name="Note 2 5 3" xfId="1428" xr:uid="{00000000-0005-0000-0000-000037210000}"/>
    <cellStyle name="Note 2 5 3 2" xfId="3658" xr:uid="{00000000-0005-0000-0000-000038210000}"/>
    <cellStyle name="Note 2 5 3 2 2" xfId="7881" xr:uid="{00000000-0005-0000-0000-000039210000}"/>
    <cellStyle name="Note 2 5 3 2 2 2" xfId="16323" xr:uid="{1F0E0B65-A52F-4E9B-8466-24129D6BAB91}"/>
    <cellStyle name="Note 2 5 3 2 3" xfId="12105" xr:uid="{4077B99E-9C21-4EDC-A9EA-447905D4D91B}"/>
    <cellStyle name="Note 2 5 3 3" xfId="5736" xr:uid="{00000000-0005-0000-0000-00003A210000}"/>
    <cellStyle name="Note 2 5 3 3 2" xfId="14178" xr:uid="{50F0ECF0-C560-4282-8E4F-B0DFB08A98AE}"/>
    <cellStyle name="Note 2 5 3 4" xfId="9960" xr:uid="{AAC51FC6-ECE6-45B4-9874-E40A58B24518}"/>
    <cellStyle name="Note 2 5 4" xfId="1842" xr:uid="{00000000-0005-0000-0000-00003B210000}"/>
    <cellStyle name="Note 2 5 4 2" xfId="4071" xr:uid="{00000000-0005-0000-0000-00003C210000}"/>
    <cellStyle name="Note 2 5 4 2 2" xfId="8294" xr:uid="{00000000-0005-0000-0000-00003D210000}"/>
    <cellStyle name="Note 2 5 4 2 2 2" xfId="16736" xr:uid="{9C27078D-0E21-47E7-AB17-00F045F87BA4}"/>
    <cellStyle name="Note 2 5 4 2 3" xfId="12518" xr:uid="{8C5A79A0-F832-4228-87C0-CAF59D5E1950}"/>
    <cellStyle name="Note 2 5 4 3" xfId="6149" xr:uid="{00000000-0005-0000-0000-00003E210000}"/>
    <cellStyle name="Note 2 5 4 3 2" xfId="14591" xr:uid="{86FD45F9-ECB2-4552-BA8D-471822B3F01E}"/>
    <cellStyle name="Note 2 5 4 4" xfId="10373" xr:uid="{9084334E-DB26-4E30-AF7F-B37652D07346}"/>
    <cellStyle name="Note 2 5 5" xfId="2255" xr:uid="{00000000-0005-0000-0000-00003F210000}"/>
    <cellStyle name="Note 2 5 5 2" xfId="4484" xr:uid="{00000000-0005-0000-0000-000040210000}"/>
    <cellStyle name="Note 2 5 5 2 2" xfId="8707" xr:uid="{00000000-0005-0000-0000-000041210000}"/>
    <cellStyle name="Note 2 5 5 2 2 2" xfId="17149" xr:uid="{A4BB448C-BFB7-4FCE-9BB9-A0976E7C32E4}"/>
    <cellStyle name="Note 2 5 5 2 3" xfId="12931" xr:uid="{0F920515-9A1C-4183-A2B4-A63BD5E97F79}"/>
    <cellStyle name="Note 2 5 5 3" xfId="6562" xr:uid="{00000000-0005-0000-0000-000042210000}"/>
    <cellStyle name="Note 2 5 5 3 2" xfId="15004" xr:uid="{FDFDBA93-545F-4BCD-BC06-93DFCDE30C1B}"/>
    <cellStyle name="Note 2 5 5 4" xfId="10786" xr:uid="{19D21127-F2A8-497D-BCD6-16DC24139D27}"/>
    <cellStyle name="Note 2 5 6" xfId="2691" xr:uid="{00000000-0005-0000-0000-000043210000}"/>
    <cellStyle name="Note 2 5 6 2" xfId="6975" xr:uid="{00000000-0005-0000-0000-000044210000}"/>
    <cellStyle name="Note 2 5 6 2 2" xfId="15417" xr:uid="{D2F446BF-7946-4481-AF1E-A2F00BB0AE5F}"/>
    <cellStyle name="Note 2 5 6 3" xfId="11199" xr:uid="{A69ED553-AA9D-4C33-977E-47D3E6CDC5B2}"/>
    <cellStyle name="Note 2 5 7" xfId="2750" xr:uid="{00000000-0005-0000-0000-000045210000}"/>
    <cellStyle name="Note 2 5 8" xfId="2831" xr:uid="{00000000-0005-0000-0000-000046210000}"/>
    <cellStyle name="Note 2 5 8 2" xfId="7055" xr:uid="{00000000-0005-0000-0000-000047210000}"/>
    <cellStyle name="Note 2 5 8 2 2" xfId="15497" xr:uid="{ED3489BE-4429-4569-B098-419D85D31AF2}"/>
    <cellStyle name="Note 2 5 8 3" xfId="11279" xr:uid="{B94B0DA0-230A-4EED-92B3-9935A35BAD2E}"/>
    <cellStyle name="Note 2 5 9" xfId="4910" xr:uid="{00000000-0005-0000-0000-000048210000}"/>
    <cellStyle name="Note 2 5 9 2" xfId="13352" xr:uid="{C685189A-3E63-4EF8-9B84-CD7FEF24A1BC}"/>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0 2 2" xfId="15498" xr:uid="{AC1CEBD5-04B3-4A44-98D7-DA7F259C4519}"/>
    <cellStyle name="Note 3 2 10 3" xfId="11280" xr:uid="{A00C59B1-37E4-40E7-99FC-D54A24AAB4D1}"/>
    <cellStyle name="Note 3 2 11" xfId="4911" xr:uid="{00000000-0005-0000-0000-00004D210000}"/>
    <cellStyle name="Note 3 2 11 2" xfId="13353" xr:uid="{90E16457-92A9-47D4-BEE6-DC4ACD417F5D}"/>
    <cellStyle name="Note 3 2 12" xfId="9135" xr:uid="{E9BA87F7-FA36-47B6-B937-666EAA8EF493}"/>
    <cellStyle name="Note 3 2 2" xfId="555" xr:uid="{00000000-0005-0000-0000-00004E210000}"/>
    <cellStyle name="Note 3 2 2 10" xfId="4912" xr:uid="{00000000-0005-0000-0000-00004F210000}"/>
    <cellStyle name="Note 3 2 2 10 2" xfId="13354" xr:uid="{F46BE9E1-BBC8-4F4E-B7D0-CB6243A61731}"/>
    <cellStyle name="Note 3 2 2 11" xfId="9136" xr:uid="{818E9E23-98CC-47AF-8453-72CBD8F26260}"/>
    <cellStyle name="Note 3 2 2 2" xfId="556" xr:uid="{00000000-0005-0000-0000-000050210000}"/>
    <cellStyle name="Note 3 2 2 2 10" xfId="9137" xr:uid="{352A5511-3493-4325-939D-5BF3F1FE186F}"/>
    <cellStyle name="Note 3 2 2 2 2" xfId="1016" xr:uid="{00000000-0005-0000-0000-000051210000}"/>
    <cellStyle name="Note 3 2 2 2 2 2" xfId="3248" xr:uid="{00000000-0005-0000-0000-000052210000}"/>
    <cellStyle name="Note 3 2 2 2 2 2 2" xfId="7471" xr:uid="{00000000-0005-0000-0000-000053210000}"/>
    <cellStyle name="Note 3 2 2 2 2 2 2 2" xfId="15913" xr:uid="{F6B284E0-E3F4-446C-9371-1573CA6604AF}"/>
    <cellStyle name="Note 3 2 2 2 2 2 3" xfId="11695" xr:uid="{85D24059-47D9-4087-A060-6D6294230B84}"/>
    <cellStyle name="Note 3 2 2 2 2 3" xfId="5326" xr:uid="{00000000-0005-0000-0000-000054210000}"/>
    <cellStyle name="Note 3 2 2 2 2 3 2" xfId="13768" xr:uid="{8F67C4B9-117D-460A-A830-516DD4D72094}"/>
    <cellStyle name="Note 3 2 2 2 2 4" xfId="9550" xr:uid="{40FD9996-E71A-49EB-8E74-3B394521DA17}"/>
    <cellStyle name="Note 3 2 2 2 3" xfId="1431" xr:uid="{00000000-0005-0000-0000-000055210000}"/>
    <cellStyle name="Note 3 2 2 2 3 2" xfId="3661" xr:uid="{00000000-0005-0000-0000-000056210000}"/>
    <cellStyle name="Note 3 2 2 2 3 2 2" xfId="7884" xr:uid="{00000000-0005-0000-0000-000057210000}"/>
    <cellStyle name="Note 3 2 2 2 3 2 2 2" xfId="16326" xr:uid="{A607FA2F-0E97-4069-B0F1-3A46E969BC92}"/>
    <cellStyle name="Note 3 2 2 2 3 2 3" xfId="12108" xr:uid="{5BA1E8C6-C177-4853-916D-C25560F2500F}"/>
    <cellStyle name="Note 3 2 2 2 3 3" xfId="5739" xr:uid="{00000000-0005-0000-0000-000058210000}"/>
    <cellStyle name="Note 3 2 2 2 3 3 2" xfId="14181" xr:uid="{8CD6636B-E0C2-4770-809B-F9B67643C86B}"/>
    <cellStyle name="Note 3 2 2 2 3 4" xfId="9963" xr:uid="{270158D7-B11B-416B-9FF4-98DDA4BCA32F}"/>
    <cellStyle name="Note 3 2 2 2 4" xfId="1845" xr:uid="{00000000-0005-0000-0000-000059210000}"/>
    <cellStyle name="Note 3 2 2 2 4 2" xfId="4074" xr:uid="{00000000-0005-0000-0000-00005A210000}"/>
    <cellStyle name="Note 3 2 2 2 4 2 2" xfId="8297" xr:uid="{00000000-0005-0000-0000-00005B210000}"/>
    <cellStyle name="Note 3 2 2 2 4 2 2 2" xfId="16739" xr:uid="{0E62B628-C4A3-4997-8E69-C033F35C9FC0}"/>
    <cellStyle name="Note 3 2 2 2 4 2 3" xfId="12521" xr:uid="{C115B577-A6FC-417F-9DE4-3C8EF0180C05}"/>
    <cellStyle name="Note 3 2 2 2 4 3" xfId="6152" xr:uid="{00000000-0005-0000-0000-00005C210000}"/>
    <cellStyle name="Note 3 2 2 2 4 3 2" xfId="14594" xr:uid="{B4BA0FBE-52B5-43E9-A0D9-EC06915D238E}"/>
    <cellStyle name="Note 3 2 2 2 4 4" xfId="10376" xr:uid="{BA6DA39C-12E8-415F-8B29-5FDE10699655}"/>
    <cellStyle name="Note 3 2 2 2 5" xfId="2258" xr:uid="{00000000-0005-0000-0000-00005D210000}"/>
    <cellStyle name="Note 3 2 2 2 5 2" xfId="4487" xr:uid="{00000000-0005-0000-0000-00005E210000}"/>
    <cellStyle name="Note 3 2 2 2 5 2 2" xfId="8710" xr:uid="{00000000-0005-0000-0000-00005F210000}"/>
    <cellStyle name="Note 3 2 2 2 5 2 2 2" xfId="17152" xr:uid="{F3C73786-C574-4EBC-BA66-8FBE4F26B523}"/>
    <cellStyle name="Note 3 2 2 2 5 2 3" xfId="12934" xr:uid="{E356D4DA-716B-4A7A-B482-111EF9BEBA93}"/>
    <cellStyle name="Note 3 2 2 2 5 3" xfId="6565" xr:uid="{00000000-0005-0000-0000-000060210000}"/>
    <cellStyle name="Note 3 2 2 2 5 3 2" xfId="15007" xr:uid="{1F272DA0-BCC6-428D-8E43-503980060AB2}"/>
    <cellStyle name="Note 3 2 2 2 5 4" xfId="10789" xr:uid="{BF3F5FB1-2273-48B8-B112-A0C8F4D7349A}"/>
    <cellStyle name="Note 3 2 2 2 6" xfId="2694" xr:uid="{00000000-0005-0000-0000-000061210000}"/>
    <cellStyle name="Note 3 2 2 2 6 2" xfId="6978" xr:uid="{00000000-0005-0000-0000-000062210000}"/>
    <cellStyle name="Note 3 2 2 2 6 2 2" xfId="15420" xr:uid="{AAC1BC7B-4B2B-4CC8-8F68-0519071B5549}"/>
    <cellStyle name="Note 3 2 2 2 6 3" xfId="11202" xr:uid="{E5F712FD-C536-4369-BDC8-C375824A137F}"/>
    <cellStyle name="Note 3 2 2 2 7" xfId="2753" xr:uid="{00000000-0005-0000-0000-000063210000}"/>
    <cellStyle name="Note 3 2 2 2 8" xfId="2834" xr:uid="{00000000-0005-0000-0000-000064210000}"/>
    <cellStyle name="Note 3 2 2 2 8 2" xfId="7058" xr:uid="{00000000-0005-0000-0000-000065210000}"/>
    <cellStyle name="Note 3 2 2 2 8 2 2" xfId="15500" xr:uid="{B072F6B0-EF25-4511-BD66-41934888FDD1}"/>
    <cellStyle name="Note 3 2 2 2 8 3" xfId="11282" xr:uid="{D22B5056-2023-455B-AAAA-5BB374B6B555}"/>
    <cellStyle name="Note 3 2 2 2 9" xfId="4913" xr:uid="{00000000-0005-0000-0000-000066210000}"/>
    <cellStyle name="Note 3 2 2 2 9 2" xfId="13355" xr:uid="{F5A266F3-FD6F-4B12-AD5A-888C43D21D6F}"/>
    <cellStyle name="Note 3 2 2 3" xfId="1015" xr:uid="{00000000-0005-0000-0000-000067210000}"/>
    <cellStyle name="Note 3 2 2 3 2" xfId="3247" xr:uid="{00000000-0005-0000-0000-000068210000}"/>
    <cellStyle name="Note 3 2 2 3 2 2" xfId="7470" xr:uid="{00000000-0005-0000-0000-000069210000}"/>
    <cellStyle name="Note 3 2 2 3 2 2 2" xfId="15912" xr:uid="{05723B0B-EC3C-4EE6-BD4F-C26DE6D919B3}"/>
    <cellStyle name="Note 3 2 2 3 2 3" xfId="11694" xr:uid="{D86E8F43-FDA9-4012-9A3B-14F64798B486}"/>
    <cellStyle name="Note 3 2 2 3 3" xfId="5325" xr:uid="{00000000-0005-0000-0000-00006A210000}"/>
    <cellStyle name="Note 3 2 2 3 3 2" xfId="13767" xr:uid="{6DC3839B-3206-4263-98A1-2E346C811261}"/>
    <cellStyle name="Note 3 2 2 3 4" xfId="9549" xr:uid="{78F2D1CA-1E0D-4B2D-8B98-3F42CC929DFD}"/>
    <cellStyle name="Note 3 2 2 4" xfId="1430" xr:uid="{00000000-0005-0000-0000-00006B210000}"/>
    <cellStyle name="Note 3 2 2 4 2" xfId="3660" xr:uid="{00000000-0005-0000-0000-00006C210000}"/>
    <cellStyle name="Note 3 2 2 4 2 2" xfId="7883" xr:uid="{00000000-0005-0000-0000-00006D210000}"/>
    <cellStyle name="Note 3 2 2 4 2 2 2" xfId="16325" xr:uid="{2B8AD83F-23C1-4BBD-BE76-80E663958449}"/>
    <cellStyle name="Note 3 2 2 4 2 3" xfId="12107" xr:uid="{27598BA3-3A3B-41FE-A5E3-CF6B5042D1EB}"/>
    <cellStyle name="Note 3 2 2 4 3" xfId="5738" xr:uid="{00000000-0005-0000-0000-00006E210000}"/>
    <cellStyle name="Note 3 2 2 4 3 2" xfId="14180" xr:uid="{BC76C268-8512-46D4-B75D-FAE88F3582FD}"/>
    <cellStyle name="Note 3 2 2 4 4" xfId="9962" xr:uid="{50EB54F1-66C0-40A6-8DA5-BFBBC251C70B}"/>
    <cellStyle name="Note 3 2 2 5" xfId="1844" xr:uid="{00000000-0005-0000-0000-00006F210000}"/>
    <cellStyle name="Note 3 2 2 5 2" xfId="4073" xr:uid="{00000000-0005-0000-0000-000070210000}"/>
    <cellStyle name="Note 3 2 2 5 2 2" xfId="8296" xr:uid="{00000000-0005-0000-0000-000071210000}"/>
    <cellStyle name="Note 3 2 2 5 2 2 2" xfId="16738" xr:uid="{4135F932-4662-490D-9A57-CB89652BE8F4}"/>
    <cellStyle name="Note 3 2 2 5 2 3" xfId="12520" xr:uid="{F5B7E0EC-B9B9-4C13-846B-9437D5AB737B}"/>
    <cellStyle name="Note 3 2 2 5 3" xfId="6151" xr:uid="{00000000-0005-0000-0000-000072210000}"/>
    <cellStyle name="Note 3 2 2 5 3 2" xfId="14593" xr:uid="{4BDC201C-CA2F-42BB-9B43-0E9F3596498C}"/>
    <cellStyle name="Note 3 2 2 5 4" xfId="10375" xr:uid="{6ED80348-A2B6-455A-9A91-A45C5DA2966A}"/>
    <cellStyle name="Note 3 2 2 6" xfId="2257" xr:uid="{00000000-0005-0000-0000-000073210000}"/>
    <cellStyle name="Note 3 2 2 6 2" xfId="4486" xr:uid="{00000000-0005-0000-0000-000074210000}"/>
    <cellStyle name="Note 3 2 2 6 2 2" xfId="8709" xr:uid="{00000000-0005-0000-0000-000075210000}"/>
    <cellStyle name="Note 3 2 2 6 2 2 2" xfId="17151" xr:uid="{FCE1275C-11BA-4B8F-A938-36EBF4598678}"/>
    <cellStyle name="Note 3 2 2 6 2 3" xfId="12933" xr:uid="{C541B8D4-AD07-41DD-AEAE-FF2629C0D00A}"/>
    <cellStyle name="Note 3 2 2 6 3" xfId="6564" xr:uid="{00000000-0005-0000-0000-000076210000}"/>
    <cellStyle name="Note 3 2 2 6 3 2" xfId="15006" xr:uid="{E747E735-E85A-4153-B339-DFD98EFFC74D}"/>
    <cellStyle name="Note 3 2 2 6 4" xfId="10788" xr:uid="{B8A2FD41-60ED-40E1-A302-896E47716BD5}"/>
    <cellStyle name="Note 3 2 2 7" xfId="2693" xr:uid="{00000000-0005-0000-0000-000077210000}"/>
    <cellStyle name="Note 3 2 2 7 2" xfId="6977" xr:uid="{00000000-0005-0000-0000-000078210000}"/>
    <cellStyle name="Note 3 2 2 7 2 2" xfId="15419" xr:uid="{17049261-8D0B-495B-B7BE-73AA680D9BD8}"/>
    <cellStyle name="Note 3 2 2 7 3" xfId="11201" xr:uid="{7B3D533B-881A-4307-9A64-0E479EC7751C}"/>
    <cellStyle name="Note 3 2 2 8" xfId="2752" xr:uid="{00000000-0005-0000-0000-000079210000}"/>
    <cellStyle name="Note 3 2 2 9" xfId="2833" xr:uid="{00000000-0005-0000-0000-00007A210000}"/>
    <cellStyle name="Note 3 2 2 9 2" xfId="7057" xr:uid="{00000000-0005-0000-0000-00007B210000}"/>
    <cellStyle name="Note 3 2 2 9 2 2" xfId="15499" xr:uid="{3D791EC7-ADD4-4DFA-A9B5-48451ABD63BD}"/>
    <cellStyle name="Note 3 2 2 9 3" xfId="11281" xr:uid="{B801BB92-1753-4807-B37F-DAC84EC40358}"/>
    <cellStyle name="Note 3 2 3" xfId="557" xr:uid="{00000000-0005-0000-0000-00007C210000}"/>
    <cellStyle name="Note 3 2 3 10" xfId="9138" xr:uid="{3FA179B3-EE8C-49A9-B156-9B3CF7352941}"/>
    <cellStyle name="Note 3 2 3 2" xfId="1017" xr:uid="{00000000-0005-0000-0000-00007D210000}"/>
    <cellStyle name="Note 3 2 3 2 2" xfId="3249" xr:uid="{00000000-0005-0000-0000-00007E210000}"/>
    <cellStyle name="Note 3 2 3 2 2 2" xfId="7472" xr:uid="{00000000-0005-0000-0000-00007F210000}"/>
    <cellStyle name="Note 3 2 3 2 2 2 2" xfId="15914" xr:uid="{394C15FA-DCFD-496B-8CA1-5A92D13E0ACB}"/>
    <cellStyle name="Note 3 2 3 2 2 3" xfId="11696" xr:uid="{85CAED6C-41DF-40C9-BBB7-EF8BAA6A541A}"/>
    <cellStyle name="Note 3 2 3 2 3" xfId="5327" xr:uid="{00000000-0005-0000-0000-000080210000}"/>
    <cellStyle name="Note 3 2 3 2 3 2" xfId="13769" xr:uid="{A3B765D9-BB7F-4397-AAA9-46333D401F6D}"/>
    <cellStyle name="Note 3 2 3 2 4" xfId="9551" xr:uid="{486893CA-A7A9-4627-84C3-1C16DC10C36A}"/>
    <cellStyle name="Note 3 2 3 3" xfId="1432" xr:uid="{00000000-0005-0000-0000-000081210000}"/>
    <cellStyle name="Note 3 2 3 3 2" xfId="3662" xr:uid="{00000000-0005-0000-0000-000082210000}"/>
    <cellStyle name="Note 3 2 3 3 2 2" xfId="7885" xr:uid="{00000000-0005-0000-0000-000083210000}"/>
    <cellStyle name="Note 3 2 3 3 2 2 2" xfId="16327" xr:uid="{990D0E81-B829-447A-8362-824D820C74FF}"/>
    <cellStyle name="Note 3 2 3 3 2 3" xfId="12109" xr:uid="{CDEA57F8-89CA-4D72-92DE-69F5BC42AF3B}"/>
    <cellStyle name="Note 3 2 3 3 3" xfId="5740" xr:uid="{00000000-0005-0000-0000-000084210000}"/>
    <cellStyle name="Note 3 2 3 3 3 2" xfId="14182" xr:uid="{F7992306-B623-4ADC-BB54-4DED44FAB156}"/>
    <cellStyle name="Note 3 2 3 3 4" xfId="9964" xr:uid="{B5174B7D-FF60-4410-B443-C52341799EF5}"/>
    <cellStyle name="Note 3 2 3 4" xfId="1846" xr:uid="{00000000-0005-0000-0000-000085210000}"/>
    <cellStyle name="Note 3 2 3 4 2" xfId="4075" xr:uid="{00000000-0005-0000-0000-000086210000}"/>
    <cellStyle name="Note 3 2 3 4 2 2" xfId="8298" xr:uid="{00000000-0005-0000-0000-000087210000}"/>
    <cellStyle name="Note 3 2 3 4 2 2 2" xfId="16740" xr:uid="{100E4308-DD78-44F1-81BF-1161B95DEC2D}"/>
    <cellStyle name="Note 3 2 3 4 2 3" xfId="12522" xr:uid="{41ACE191-A1A2-447E-992B-1B0A63DDFCE2}"/>
    <cellStyle name="Note 3 2 3 4 3" xfId="6153" xr:uid="{00000000-0005-0000-0000-000088210000}"/>
    <cellStyle name="Note 3 2 3 4 3 2" xfId="14595" xr:uid="{FAE4EEB9-1895-46CB-AB86-8C993F28E59B}"/>
    <cellStyle name="Note 3 2 3 4 4" xfId="10377" xr:uid="{A0D60C4B-F135-4B13-991B-D1A2D706D4D1}"/>
    <cellStyle name="Note 3 2 3 5" xfId="2259" xr:uid="{00000000-0005-0000-0000-000089210000}"/>
    <cellStyle name="Note 3 2 3 5 2" xfId="4488" xr:uid="{00000000-0005-0000-0000-00008A210000}"/>
    <cellStyle name="Note 3 2 3 5 2 2" xfId="8711" xr:uid="{00000000-0005-0000-0000-00008B210000}"/>
    <cellStyle name="Note 3 2 3 5 2 2 2" xfId="17153" xr:uid="{31680A2A-8CBE-4ADB-B2CE-E942177C330C}"/>
    <cellStyle name="Note 3 2 3 5 2 3" xfId="12935" xr:uid="{40799D15-C52C-4E46-B69F-2D2196A08157}"/>
    <cellStyle name="Note 3 2 3 5 3" xfId="6566" xr:uid="{00000000-0005-0000-0000-00008C210000}"/>
    <cellStyle name="Note 3 2 3 5 3 2" xfId="15008" xr:uid="{CBABBD4E-211A-4A41-9D4D-E536E5FDF881}"/>
    <cellStyle name="Note 3 2 3 5 4" xfId="10790" xr:uid="{C87A24E5-638F-41D1-8F0A-60267141BA02}"/>
    <cellStyle name="Note 3 2 3 6" xfId="2695" xr:uid="{00000000-0005-0000-0000-00008D210000}"/>
    <cellStyle name="Note 3 2 3 6 2" xfId="6979" xr:uid="{00000000-0005-0000-0000-00008E210000}"/>
    <cellStyle name="Note 3 2 3 6 2 2" xfId="15421" xr:uid="{2DF379DC-FE44-448A-BEB2-E47847175686}"/>
    <cellStyle name="Note 3 2 3 6 3" xfId="11203" xr:uid="{AD58791C-3697-4DDB-A850-23DCD6CECFF1}"/>
    <cellStyle name="Note 3 2 3 7" xfId="2754" xr:uid="{00000000-0005-0000-0000-00008F210000}"/>
    <cellStyle name="Note 3 2 3 8" xfId="2835" xr:uid="{00000000-0005-0000-0000-000090210000}"/>
    <cellStyle name="Note 3 2 3 8 2" xfId="7059" xr:uid="{00000000-0005-0000-0000-000091210000}"/>
    <cellStyle name="Note 3 2 3 8 2 2" xfId="15501" xr:uid="{CC553D67-43CC-447B-B5F4-929A235BA689}"/>
    <cellStyle name="Note 3 2 3 8 3" xfId="11283" xr:uid="{1C8AC730-4E25-4AA9-9AF6-72EF0B074FD4}"/>
    <cellStyle name="Note 3 2 3 9" xfId="4914" xr:uid="{00000000-0005-0000-0000-000092210000}"/>
    <cellStyle name="Note 3 2 3 9 2" xfId="13356" xr:uid="{FEC4457C-53B4-4D8E-A966-DC97BE3D45C8}"/>
    <cellStyle name="Note 3 2 4" xfId="1014" xr:uid="{00000000-0005-0000-0000-000093210000}"/>
    <cellStyle name="Note 3 2 4 2" xfId="3246" xr:uid="{00000000-0005-0000-0000-000094210000}"/>
    <cellStyle name="Note 3 2 4 2 2" xfId="7469" xr:uid="{00000000-0005-0000-0000-000095210000}"/>
    <cellStyle name="Note 3 2 4 2 2 2" xfId="15911" xr:uid="{71A60A6F-E8FA-46A9-826E-3DDC67A1CFAA}"/>
    <cellStyle name="Note 3 2 4 2 3" xfId="11693" xr:uid="{A82DE9E0-5728-44FF-B51B-0276E3F328A0}"/>
    <cellStyle name="Note 3 2 4 3" xfId="5324" xr:uid="{00000000-0005-0000-0000-000096210000}"/>
    <cellStyle name="Note 3 2 4 3 2" xfId="13766" xr:uid="{1EAC9A0D-538A-4EC9-8461-44B7246580DE}"/>
    <cellStyle name="Note 3 2 4 4" xfId="9548" xr:uid="{C5755053-86E5-4FC2-A56A-9A8C7F39A58F}"/>
    <cellStyle name="Note 3 2 5" xfId="1429" xr:uid="{00000000-0005-0000-0000-000097210000}"/>
    <cellStyle name="Note 3 2 5 2" xfId="3659" xr:uid="{00000000-0005-0000-0000-000098210000}"/>
    <cellStyle name="Note 3 2 5 2 2" xfId="7882" xr:uid="{00000000-0005-0000-0000-000099210000}"/>
    <cellStyle name="Note 3 2 5 2 2 2" xfId="16324" xr:uid="{BA3045B6-8FF0-4116-BE75-AA35C0B20021}"/>
    <cellStyle name="Note 3 2 5 2 3" xfId="12106" xr:uid="{7B11A4A3-93DF-481F-BEC5-4285366192DA}"/>
    <cellStyle name="Note 3 2 5 3" xfId="5737" xr:uid="{00000000-0005-0000-0000-00009A210000}"/>
    <cellStyle name="Note 3 2 5 3 2" xfId="14179" xr:uid="{732706C5-AD1E-4575-83A4-4CA11DB7F573}"/>
    <cellStyle name="Note 3 2 5 4" xfId="9961" xr:uid="{54D5DBCA-9A5A-4686-B3A7-DF8D2E39EA9B}"/>
    <cellStyle name="Note 3 2 6" xfId="1843" xr:uid="{00000000-0005-0000-0000-00009B210000}"/>
    <cellStyle name="Note 3 2 6 2" xfId="4072" xr:uid="{00000000-0005-0000-0000-00009C210000}"/>
    <cellStyle name="Note 3 2 6 2 2" xfId="8295" xr:uid="{00000000-0005-0000-0000-00009D210000}"/>
    <cellStyle name="Note 3 2 6 2 2 2" xfId="16737" xr:uid="{FADB14B3-59CC-4963-9E36-2C9B892677B0}"/>
    <cellStyle name="Note 3 2 6 2 3" xfId="12519" xr:uid="{0650F331-84A0-4380-B942-BE267BA7C90A}"/>
    <cellStyle name="Note 3 2 6 3" xfId="6150" xr:uid="{00000000-0005-0000-0000-00009E210000}"/>
    <cellStyle name="Note 3 2 6 3 2" xfId="14592" xr:uid="{83A6022E-2E5C-4F86-8459-1524A61542CC}"/>
    <cellStyle name="Note 3 2 6 4" xfId="10374" xr:uid="{F3A373ED-0BB6-4E85-B682-A1788BB0D6D4}"/>
    <cellStyle name="Note 3 2 7" xfId="2256" xr:uid="{00000000-0005-0000-0000-00009F210000}"/>
    <cellStyle name="Note 3 2 7 2" xfId="4485" xr:uid="{00000000-0005-0000-0000-0000A0210000}"/>
    <cellStyle name="Note 3 2 7 2 2" xfId="8708" xr:uid="{00000000-0005-0000-0000-0000A1210000}"/>
    <cellStyle name="Note 3 2 7 2 2 2" xfId="17150" xr:uid="{142BD27A-7D3E-4C37-83B1-A12C10DE2B66}"/>
    <cellStyle name="Note 3 2 7 2 3" xfId="12932" xr:uid="{5EA05F43-A365-4CC3-96C6-081CB44CC917}"/>
    <cellStyle name="Note 3 2 7 3" xfId="6563" xr:uid="{00000000-0005-0000-0000-0000A2210000}"/>
    <cellStyle name="Note 3 2 7 3 2" xfId="15005" xr:uid="{A877BB5E-5F19-49C6-B822-5AD2BCDC4093}"/>
    <cellStyle name="Note 3 2 7 4" xfId="10787" xr:uid="{1F430C94-2400-4230-9375-1CEF3BA6D495}"/>
    <cellStyle name="Note 3 2 8" xfId="2692" xr:uid="{00000000-0005-0000-0000-0000A3210000}"/>
    <cellStyle name="Note 3 2 8 2" xfId="6976" xr:uid="{00000000-0005-0000-0000-0000A4210000}"/>
    <cellStyle name="Note 3 2 8 2 2" xfId="15418" xr:uid="{65F269B1-7C12-44EF-BFEE-337D7B10C738}"/>
    <cellStyle name="Note 3 2 8 3" xfId="11200" xr:uid="{59746979-9165-4D79-8831-EC3AE7FAFC12}"/>
    <cellStyle name="Note 3 2 9" xfId="2751" xr:uid="{00000000-0005-0000-0000-0000A5210000}"/>
    <cellStyle name="Note 3 3" xfId="558" xr:uid="{00000000-0005-0000-0000-0000A6210000}"/>
    <cellStyle name="Note 3 3 10" xfId="4915" xr:uid="{00000000-0005-0000-0000-0000A7210000}"/>
    <cellStyle name="Note 3 3 10 2" xfId="13357" xr:uid="{83662943-82AB-4E1D-B7B5-C9A450151553}"/>
    <cellStyle name="Note 3 3 11" xfId="9139" xr:uid="{587BCA77-9688-4263-B0D5-CDF8F8EF6CBD}"/>
    <cellStyle name="Note 3 3 2" xfId="559" xr:uid="{00000000-0005-0000-0000-0000A8210000}"/>
    <cellStyle name="Note 3 3 2 10" xfId="9140" xr:uid="{B2201174-032C-4C63-9442-D42C38AC414A}"/>
    <cellStyle name="Note 3 3 2 2" xfId="1019" xr:uid="{00000000-0005-0000-0000-0000A9210000}"/>
    <cellStyle name="Note 3 3 2 2 2" xfId="3251" xr:uid="{00000000-0005-0000-0000-0000AA210000}"/>
    <cellStyle name="Note 3 3 2 2 2 2" xfId="7474" xr:uid="{00000000-0005-0000-0000-0000AB210000}"/>
    <cellStyle name="Note 3 3 2 2 2 2 2" xfId="15916" xr:uid="{E2E0F910-02FB-49A8-ADE5-C263F7E8D8C1}"/>
    <cellStyle name="Note 3 3 2 2 2 3" xfId="11698" xr:uid="{8ABF5933-D56F-4AE7-A743-25AB77819630}"/>
    <cellStyle name="Note 3 3 2 2 3" xfId="5329" xr:uid="{00000000-0005-0000-0000-0000AC210000}"/>
    <cellStyle name="Note 3 3 2 2 3 2" xfId="13771" xr:uid="{9A6AEF28-AFEE-487E-8B3C-91E6730A14E8}"/>
    <cellStyle name="Note 3 3 2 2 4" xfId="9553" xr:uid="{968C3A2C-527E-4BE5-867D-4F5158290BBB}"/>
    <cellStyle name="Note 3 3 2 3" xfId="1434" xr:uid="{00000000-0005-0000-0000-0000AD210000}"/>
    <cellStyle name="Note 3 3 2 3 2" xfId="3664" xr:uid="{00000000-0005-0000-0000-0000AE210000}"/>
    <cellStyle name="Note 3 3 2 3 2 2" xfId="7887" xr:uid="{00000000-0005-0000-0000-0000AF210000}"/>
    <cellStyle name="Note 3 3 2 3 2 2 2" xfId="16329" xr:uid="{B3064D16-8210-4BE6-A4E3-E04C0B969432}"/>
    <cellStyle name="Note 3 3 2 3 2 3" xfId="12111" xr:uid="{3EF31055-D6E4-48A3-961F-ED11F29634BB}"/>
    <cellStyle name="Note 3 3 2 3 3" xfId="5742" xr:uid="{00000000-0005-0000-0000-0000B0210000}"/>
    <cellStyle name="Note 3 3 2 3 3 2" xfId="14184" xr:uid="{69318322-6E93-4B28-A265-EC72802936B6}"/>
    <cellStyle name="Note 3 3 2 3 4" xfId="9966" xr:uid="{57F46AF9-FFDA-42DC-B798-EB4476F669EC}"/>
    <cellStyle name="Note 3 3 2 4" xfId="1848" xr:uid="{00000000-0005-0000-0000-0000B1210000}"/>
    <cellStyle name="Note 3 3 2 4 2" xfId="4077" xr:uid="{00000000-0005-0000-0000-0000B2210000}"/>
    <cellStyle name="Note 3 3 2 4 2 2" xfId="8300" xr:uid="{00000000-0005-0000-0000-0000B3210000}"/>
    <cellStyle name="Note 3 3 2 4 2 2 2" xfId="16742" xr:uid="{73DA3E57-6D35-4BEB-97DD-3E00CD2A1D28}"/>
    <cellStyle name="Note 3 3 2 4 2 3" xfId="12524" xr:uid="{090496EE-6B9F-4F08-9CBC-7F7C08B3EDB3}"/>
    <cellStyle name="Note 3 3 2 4 3" xfId="6155" xr:uid="{00000000-0005-0000-0000-0000B4210000}"/>
    <cellStyle name="Note 3 3 2 4 3 2" xfId="14597" xr:uid="{D443EABB-A646-421F-8954-242976BED21C}"/>
    <cellStyle name="Note 3 3 2 4 4" xfId="10379" xr:uid="{AB1FDBC5-2B6C-4610-B4A3-A97C6CCDBF84}"/>
    <cellStyle name="Note 3 3 2 5" xfId="2261" xr:uid="{00000000-0005-0000-0000-0000B5210000}"/>
    <cellStyle name="Note 3 3 2 5 2" xfId="4490" xr:uid="{00000000-0005-0000-0000-0000B6210000}"/>
    <cellStyle name="Note 3 3 2 5 2 2" xfId="8713" xr:uid="{00000000-0005-0000-0000-0000B7210000}"/>
    <cellStyle name="Note 3 3 2 5 2 2 2" xfId="17155" xr:uid="{E05081DF-D892-4637-8520-22DE552D67EE}"/>
    <cellStyle name="Note 3 3 2 5 2 3" xfId="12937" xr:uid="{149C2064-7E9E-4FEF-82D6-CA2C779FC32A}"/>
    <cellStyle name="Note 3 3 2 5 3" xfId="6568" xr:uid="{00000000-0005-0000-0000-0000B8210000}"/>
    <cellStyle name="Note 3 3 2 5 3 2" xfId="15010" xr:uid="{41895F96-7915-41B0-A4CC-B0A22CED694F}"/>
    <cellStyle name="Note 3 3 2 5 4" xfId="10792" xr:uid="{AB1F52E2-035D-45E9-950D-CDA76CF77642}"/>
    <cellStyle name="Note 3 3 2 6" xfId="2697" xr:uid="{00000000-0005-0000-0000-0000B9210000}"/>
    <cellStyle name="Note 3 3 2 6 2" xfId="6981" xr:uid="{00000000-0005-0000-0000-0000BA210000}"/>
    <cellStyle name="Note 3 3 2 6 2 2" xfId="15423" xr:uid="{AB2F3C3F-81A7-4F35-831F-6E4D522A6459}"/>
    <cellStyle name="Note 3 3 2 6 3" xfId="11205" xr:uid="{A85C3955-AF45-426C-8BA1-851E47EA4C27}"/>
    <cellStyle name="Note 3 3 2 7" xfId="2756" xr:uid="{00000000-0005-0000-0000-0000BB210000}"/>
    <cellStyle name="Note 3 3 2 8" xfId="2837" xr:uid="{00000000-0005-0000-0000-0000BC210000}"/>
    <cellStyle name="Note 3 3 2 8 2" xfId="7061" xr:uid="{00000000-0005-0000-0000-0000BD210000}"/>
    <cellStyle name="Note 3 3 2 8 2 2" xfId="15503" xr:uid="{6D39F24B-240B-4539-9EFC-64415E0129C8}"/>
    <cellStyle name="Note 3 3 2 8 3" xfId="11285" xr:uid="{7E248AA0-D631-437C-99D0-68A0B489E66F}"/>
    <cellStyle name="Note 3 3 2 9" xfId="4916" xr:uid="{00000000-0005-0000-0000-0000BE210000}"/>
    <cellStyle name="Note 3 3 2 9 2" xfId="13358" xr:uid="{A1CB87E4-174D-4D0F-9AA6-30443D40A9DB}"/>
    <cellStyle name="Note 3 3 3" xfId="1018" xr:uid="{00000000-0005-0000-0000-0000BF210000}"/>
    <cellStyle name="Note 3 3 3 2" xfId="3250" xr:uid="{00000000-0005-0000-0000-0000C0210000}"/>
    <cellStyle name="Note 3 3 3 2 2" xfId="7473" xr:uid="{00000000-0005-0000-0000-0000C1210000}"/>
    <cellStyle name="Note 3 3 3 2 2 2" xfId="15915" xr:uid="{512B5C42-F3AC-4241-93EA-59856B4C0F8A}"/>
    <cellStyle name="Note 3 3 3 2 3" xfId="11697" xr:uid="{5A56F346-CEB3-4852-A703-7C8B8F365179}"/>
    <cellStyle name="Note 3 3 3 3" xfId="5328" xr:uid="{00000000-0005-0000-0000-0000C2210000}"/>
    <cellStyle name="Note 3 3 3 3 2" xfId="13770" xr:uid="{890F4639-8A4C-4D94-8B97-D280F328857E}"/>
    <cellStyle name="Note 3 3 3 4" xfId="9552" xr:uid="{D2490465-4AAB-430C-B948-CAA2685B0940}"/>
    <cellStyle name="Note 3 3 4" xfId="1433" xr:uid="{00000000-0005-0000-0000-0000C3210000}"/>
    <cellStyle name="Note 3 3 4 2" xfId="3663" xr:uid="{00000000-0005-0000-0000-0000C4210000}"/>
    <cellStyle name="Note 3 3 4 2 2" xfId="7886" xr:uid="{00000000-0005-0000-0000-0000C5210000}"/>
    <cellStyle name="Note 3 3 4 2 2 2" xfId="16328" xr:uid="{2BE4A430-B5AA-4386-A892-825B9ADF5D72}"/>
    <cellStyle name="Note 3 3 4 2 3" xfId="12110" xr:uid="{FD4035C0-D13A-4210-A860-0F9B02BB2061}"/>
    <cellStyle name="Note 3 3 4 3" xfId="5741" xr:uid="{00000000-0005-0000-0000-0000C6210000}"/>
    <cellStyle name="Note 3 3 4 3 2" xfId="14183" xr:uid="{0808665D-8635-4D1A-BE5E-B107E0679F4A}"/>
    <cellStyle name="Note 3 3 4 4" xfId="9965" xr:uid="{2FFBC742-2772-4022-ABB5-7198834044F5}"/>
    <cellStyle name="Note 3 3 5" xfId="1847" xr:uid="{00000000-0005-0000-0000-0000C7210000}"/>
    <cellStyle name="Note 3 3 5 2" xfId="4076" xr:uid="{00000000-0005-0000-0000-0000C8210000}"/>
    <cellStyle name="Note 3 3 5 2 2" xfId="8299" xr:uid="{00000000-0005-0000-0000-0000C9210000}"/>
    <cellStyle name="Note 3 3 5 2 2 2" xfId="16741" xr:uid="{96C27D74-28B2-4A36-BFFA-1EFCD41DF027}"/>
    <cellStyle name="Note 3 3 5 2 3" xfId="12523" xr:uid="{7EF3AAD3-351A-4DAC-843E-94507A7E0545}"/>
    <cellStyle name="Note 3 3 5 3" xfId="6154" xr:uid="{00000000-0005-0000-0000-0000CA210000}"/>
    <cellStyle name="Note 3 3 5 3 2" xfId="14596" xr:uid="{B8EB6735-1FC4-4970-8692-189C80ADD756}"/>
    <cellStyle name="Note 3 3 5 4" xfId="10378" xr:uid="{D7042658-CB17-4728-B0D3-8BA5291D7123}"/>
    <cellStyle name="Note 3 3 6" xfId="2260" xr:uid="{00000000-0005-0000-0000-0000CB210000}"/>
    <cellStyle name="Note 3 3 6 2" xfId="4489" xr:uid="{00000000-0005-0000-0000-0000CC210000}"/>
    <cellStyle name="Note 3 3 6 2 2" xfId="8712" xr:uid="{00000000-0005-0000-0000-0000CD210000}"/>
    <cellStyle name="Note 3 3 6 2 2 2" xfId="17154" xr:uid="{6F07ABBA-D88E-49E3-9F2F-9B2A61A9A530}"/>
    <cellStyle name="Note 3 3 6 2 3" xfId="12936" xr:uid="{B745F952-3570-4337-942C-8B933BFCCAE8}"/>
    <cellStyle name="Note 3 3 6 3" xfId="6567" xr:uid="{00000000-0005-0000-0000-0000CE210000}"/>
    <cellStyle name="Note 3 3 6 3 2" xfId="15009" xr:uid="{442E6F91-6282-43E1-9FD8-E4113914A786}"/>
    <cellStyle name="Note 3 3 6 4" xfId="10791" xr:uid="{6203636D-6A9F-4D63-85DB-A44029AA86D6}"/>
    <cellStyle name="Note 3 3 7" xfId="2696" xr:uid="{00000000-0005-0000-0000-0000CF210000}"/>
    <cellStyle name="Note 3 3 7 2" xfId="6980" xr:uid="{00000000-0005-0000-0000-0000D0210000}"/>
    <cellStyle name="Note 3 3 7 2 2" xfId="15422" xr:uid="{F21C3488-0B9D-4130-B07C-CFC9EEEC0075}"/>
    <cellStyle name="Note 3 3 7 3" xfId="11204" xr:uid="{84132AA3-9A82-4AF6-86DA-1DF6A9647CBC}"/>
    <cellStyle name="Note 3 3 8" xfId="2755" xr:uid="{00000000-0005-0000-0000-0000D1210000}"/>
    <cellStyle name="Note 3 3 9" xfId="2836" xr:uid="{00000000-0005-0000-0000-0000D2210000}"/>
    <cellStyle name="Note 3 3 9 2" xfId="7060" xr:uid="{00000000-0005-0000-0000-0000D3210000}"/>
    <cellStyle name="Note 3 3 9 2 2" xfId="15502" xr:uid="{DD199EF8-3A12-40D7-8CA7-6908ECA07771}"/>
    <cellStyle name="Note 3 3 9 3" xfId="11284" xr:uid="{F712F5C8-8636-4D7C-BDED-39E7B9C4B28F}"/>
    <cellStyle name="Note 3 4" xfId="560" xr:uid="{00000000-0005-0000-0000-0000D4210000}"/>
    <cellStyle name="Note 3 4 10" xfId="9141" xr:uid="{6026BDCC-16D1-400D-9D89-5036E04157EE}"/>
    <cellStyle name="Note 3 4 2" xfId="1020" xr:uid="{00000000-0005-0000-0000-0000D5210000}"/>
    <cellStyle name="Note 3 4 2 2" xfId="3252" xr:uid="{00000000-0005-0000-0000-0000D6210000}"/>
    <cellStyle name="Note 3 4 2 2 2" xfId="7475" xr:uid="{00000000-0005-0000-0000-0000D7210000}"/>
    <cellStyle name="Note 3 4 2 2 2 2" xfId="15917" xr:uid="{0053A0F7-22C5-438E-A022-892BB03970EE}"/>
    <cellStyle name="Note 3 4 2 2 3" xfId="11699" xr:uid="{FBF6179B-DCF2-4F83-9014-CAA3242AFE6F}"/>
    <cellStyle name="Note 3 4 2 3" xfId="5330" xr:uid="{00000000-0005-0000-0000-0000D8210000}"/>
    <cellStyle name="Note 3 4 2 3 2" xfId="13772" xr:uid="{D227BF53-93BA-44C9-A569-1096ABB23651}"/>
    <cellStyle name="Note 3 4 2 4" xfId="9554" xr:uid="{6D7E1749-F05D-4B0E-A30C-0BB489602BDE}"/>
    <cellStyle name="Note 3 4 3" xfId="1435" xr:uid="{00000000-0005-0000-0000-0000D9210000}"/>
    <cellStyle name="Note 3 4 3 2" xfId="3665" xr:uid="{00000000-0005-0000-0000-0000DA210000}"/>
    <cellStyle name="Note 3 4 3 2 2" xfId="7888" xr:uid="{00000000-0005-0000-0000-0000DB210000}"/>
    <cellStyle name="Note 3 4 3 2 2 2" xfId="16330" xr:uid="{B01A3ED3-53C7-4999-A74A-2EF89D1B9DBA}"/>
    <cellStyle name="Note 3 4 3 2 3" xfId="12112" xr:uid="{FB3B4852-AFA7-4B2F-9936-D4C0D0424541}"/>
    <cellStyle name="Note 3 4 3 3" xfId="5743" xr:uid="{00000000-0005-0000-0000-0000DC210000}"/>
    <cellStyle name="Note 3 4 3 3 2" xfId="14185" xr:uid="{19A8EDCE-E155-4C86-8E87-68BA87D89035}"/>
    <cellStyle name="Note 3 4 3 4" xfId="9967" xr:uid="{38C79101-6804-4395-8AB3-26D5A27A9724}"/>
    <cellStyle name="Note 3 4 4" xfId="1849" xr:uid="{00000000-0005-0000-0000-0000DD210000}"/>
    <cellStyle name="Note 3 4 4 2" xfId="4078" xr:uid="{00000000-0005-0000-0000-0000DE210000}"/>
    <cellStyle name="Note 3 4 4 2 2" xfId="8301" xr:uid="{00000000-0005-0000-0000-0000DF210000}"/>
    <cellStyle name="Note 3 4 4 2 2 2" xfId="16743" xr:uid="{E6B8FED0-7A03-4583-8203-779AE38008B3}"/>
    <cellStyle name="Note 3 4 4 2 3" xfId="12525" xr:uid="{83D10B17-59CA-4E3A-8998-9C33DEB5D0A2}"/>
    <cellStyle name="Note 3 4 4 3" xfId="6156" xr:uid="{00000000-0005-0000-0000-0000E0210000}"/>
    <cellStyle name="Note 3 4 4 3 2" xfId="14598" xr:uid="{4C90B1D1-361B-4FF3-9A33-3903788E45D4}"/>
    <cellStyle name="Note 3 4 4 4" xfId="10380" xr:uid="{207071CB-68A2-4810-8799-60A5516FF47D}"/>
    <cellStyle name="Note 3 4 5" xfId="2262" xr:uid="{00000000-0005-0000-0000-0000E1210000}"/>
    <cellStyle name="Note 3 4 5 2" xfId="4491" xr:uid="{00000000-0005-0000-0000-0000E2210000}"/>
    <cellStyle name="Note 3 4 5 2 2" xfId="8714" xr:uid="{00000000-0005-0000-0000-0000E3210000}"/>
    <cellStyle name="Note 3 4 5 2 2 2" xfId="17156" xr:uid="{43861C4E-A204-4CAD-9904-B8453BC3B642}"/>
    <cellStyle name="Note 3 4 5 2 3" xfId="12938" xr:uid="{350AE7B9-9775-4F84-994D-D5E24609000D}"/>
    <cellStyle name="Note 3 4 5 3" xfId="6569" xr:uid="{00000000-0005-0000-0000-0000E4210000}"/>
    <cellStyle name="Note 3 4 5 3 2" xfId="15011" xr:uid="{9F4D653E-AB10-4D1E-AB41-8F01D73B8870}"/>
    <cellStyle name="Note 3 4 5 4" xfId="10793" xr:uid="{DE13C914-578B-44AE-83E2-C324085C88F4}"/>
    <cellStyle name="Note 3 4 6" xfId="2698" xr:uid="{00000000-0005-0000-0000-0000E5210000}"/>
    <cellStyle name="Note 3 4 6 2" xfId="6982" xr:uid="{00000000-0005-0000-0000-0000E6210000}"/>
    <cellStyle name="Note 3 4 6 2 2" xfId="15424" xr:uid="{803DDC6D-36BB-4DD5-8815-DF2CCAC7CC2C}"/>
    <cellStyle name="Note 3 4 6 3" xfId="11206" xr:uid="{2D4914BF-C734-4FB7-8E77-456E5D09D6C7}"/>
    <cellStyle name="Note 3 4 7" xfId="2757" xr:uid="{00000000-0005-0000-0000-0000E7210000}"/>
    <cellStyle name="Note 3 4 8" xfId="2838" xr:uid="{00000000-0005-0000-0000-0000E8210000}"/>
    <cellStyle name="Note 3 4 8 2" xfId="7062" xr:uid="{00000000-0005-0000-0000-0000E9210000}"/>
    <cellStyle name="Note 3 4 8 2 2" xfId="15504" xr:uid="{3CB3E85A-6A8E-4B43-ADAD-57BC68F32C40}"/>
    <cellStyle name="Note 3 4 8 3" xfId="11286" xr:uid="{71A6907C-B71E-453F-B2BB-4567E4FB61BF}"/>
    <cellStyle name="Note 3 4 9" xfId="4917" xr:uid="{00000000-0005-0000-0000-0000EA210000}"/>
    <cellStyle name="Note 3 4 9 2" xfId="13359" xr:uid="{E2A721A2-E1B8-4C53-B229-D0288F80A4E0}"/>
    <cellStyle name="Note 3 5" xfId="561" xr:uid="{00000000-0005-0000-0000-0000EB210000}"/>
    <cellStyle name="Note 3 5 10" xfId="9142" xr:uid="{D19CE24B-1AEA-48F0-8A48-C5FBEBA337E9}"/>
    <cellStyle name="Note 3 5 2" xfId="1021" xr:uid="{00000000-0005-0000-0000-0000EC210000}"/>
    <cellStyle name="Note 3 5 2 2" xfId="3253" xr:uid="{00000000-0005-0000-0000-0000ED210000}"/>
    <cellStyle name="Note 3 5 2 2 2" xfId="7476" xr:uid="{00000000-0005-0000-0000-0000EE210000}"/>
    <cellStyle name="Note 3 5 2 2 2 2" xfId="15918" xr:uid="{CDAA6C57-2ED3-4068-9CF8-26B1FF029F2B}"/>
    <cellStyle name="Note 3 5 2 2 3" xfId="11700" xr:uid="{92A13F24-5BBF-43B3-BD55-F6D44F0D032D}"/>
    <cellStyle name="Note 3 5 2 3" xfId="5331" xr:uid="{00000000-0005-0000-0000-0000EF210000}"/>
    <cellStyle name="Note 3 5 2 3 2" xfId="13773" xr:uid="{150711D2-F6E3-47AB-BE6D-73FBBF0630CB}"/>
    <cellStyle name="Note 3 5 2 4" xfId="9555" xr:uid="{D10475F6-C90D-4FEB-AE1E-272C770C96C6}"/>
    <cellStyle name="Note 3 5 3" xfId="1436" xr:uid="{00000000-0005-0000-0000-0000F0210000}"/>
    <cellStyle name="Note 3 5 3 2" xfId="3666" xr:uid="{00000000-0005-0000-0000-0000F1210000}"/>
    <cellStyle name="Note 3 5 3 2 2" xfId="7889" xr:uid="{00000000-0005-0000-0000-0000F2210000}"/>
    <cellStyle name="Note 3 5 3 2 2 2" xfId="16331" xr:uid="{ED7AFCDE-E891-41DD-999B-898517DC5803}"/>
    <cellStyle name="Note 3 5 3 2 3" xfId="12113" xr:uid="{15FA1D25-E06A-4661-BC37-56804FD6FE9C}"/>
    <cellStyle name="Note 3 5 3 3" xfId="5744" xr:uid="{00000000-0005-0000-0000-0000F3210000}"/>
    <cellStyle name="Note 3 5 3 3 2" xfId="14186" xr:uid="{987948C9-8055-4C48-B562-039DB8E693A8}"/>
    <cellStyle name="Note 3 5 3 4" xfId="9968" xr:uid="{06A7038A-4F5E-4F17-A8D7-A98DE511E7D4}"/>
    <cellStyle name="Note 3 5 4" xfId="1850" xr:uid="{00000000-0005-0000-0000-0000F4210000}"/>
    <cellStyle name="Note 3 5 4 2" xfId="4079" xr:uid="{00000000-0005-0000-0000-0000F5210000}"/>
    <cellStyle name="Note 3 5 4 2 2" xfId="8302" xr:uid="{00000000-0005-0000-0000-0000F6210000}"/>
    <cellStyle name="Note 3 5 4 2 2 2" xfId="16744" xr:uid="{58CE9530-0112-4078-B384-74AC7FE35384}"/>
    <cellStyle name="Note 3 5 4 2 3" xfId="12526" xr:uid="{683D3D32-390B-488B-926F-09135F5EABD5}"/>
    <cellStyle name="Note 3 5 4 3" xfId="6157" xr:uid="{00000000-0005-0000-0000-0000F7210000}"/>
    <cellStyle name="Note 3 5 4 3 2" xfId="14599" xr:uid="{F986F817-1862-449D-82A6-023EC3D90DF9}"/>
    <cellStyle name="Note 3 5 4 4" xfId="10381" xr:uid="{6D0D801E-5D43-441A-9636-05C9684B3B31}"/>
    <cellStyle name="Note 3 5 5" xfId="2263" xr:uid="{00000000-0005-0000-0000-0000F8210000}"/>
    <cellStyle name="Note 3 5 5 2" xfId="4492" xr:uid="{00000000-0005-0000-0000-0000F9210000}"/>
    <cellStyle name="Note 3 5 5 2 2" xfId="8715" xr:uid="{00000000-0005-0000-0000-0000FA210000}"/>
    <cellStyle name="Note 3 5 5 2 2 2" xfId="17157" xr:uid="{DEF00646-5F3D-4E77-B684-A8BB5628F6DA}"/>
    <cellStyle name="Note 3 5 5 2 3" xfId="12939" xr:uid="{97DE689E-50E0-4058-8C1D-7FB1C864049B}"/>
    <cellStyle name="Note 3 5 5 3" xfId="6570" xr:uid="{00000000-0005-0000-0000-0000FB210000}"/>
    <cellStyle name="Note 3 5 5 3 2" xfId="15012" xr:uid="{D024675F-0009-4B3B-8B56-BADCA3B04399}"/>
    <cellStyle name="Note 3 5 5 4" xfId="10794" xr:uid="{B30B042C-A731-4F63-9896-B40E539D092A}"/>
    <cellStyle name="Note 3 5 6" xfId="2699" xr:uid="{00000000-0005-0000-0000-0000FC210000}"/>
    <cellStyle name="Note 3 5 6 2" xfId="6983" xr:uid="{00000000-0005-0000-0000-0000FD210000}"/>
    <cellStyle name="Note 3 5 6 2 2" xfId="15425" xr:uid="{CEDA018C-2EE5-4CBB-B9BA-CFAE2E248E4A}"/>
    <cellStyle name="Note 3 5 6 3" xfId="11207" xr:uid="{0F9DE2B4-CF45-4614-99B4-65EA97DBEE53}"/>
    <cellStyle name="Note 3 5 7" xfId="2758" xr:uid="{00000000-0005-0000-0000-0000FE210000}"/>
    <cellStyle name="Note 3 5 8" xfId="2839" xr:uid="{00000000-0005-0000-0000-0000FF210000}"/>
    <cellStyle name="Note 3 5 8 2" xfId="7063" xr:uid="{00000000-0005-0000-0000-000000220000}"/>
    <cellStyle name="Note 3 5 8 2 2" xfId="15505" xr:uid="{5BED78F0-5336-44DC-B241-7CD5DE1F7FCF}"/>
    <cellStyle name="Note 3 5 8 3" xfId="11287" xr:uid="{A74AAAA3-A4AB-4D0B-B697-DF84B19F47EB}"/>
    <cellStyle name="Note 3 5 9" xfId="4918" xr:uid="{00000000-0005-0000-0000-000001220000}"/>
    <cellStyle name="Note 3 5 9 2" xfId="13360" xr:uid="{06C314F0-EB66-4534-B904-10C65E11726D}"/>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3 2" xfId="12943" xr:uid="{56A2D74B-A6CD-40D0-927B-6966DCD5B4B7}"/>
    <cellStyle name="Percent 4" xfId="4502" xr:uid="{00000000-0005-0000-0000-000007220000}"/>
    <cellStyle name="Percent 4 2" xfId="8718" xr:uid="{00000000-0005-0000-0000-000008220000}"/>
    <cellStyle name="Percent 4 2 2" xfId="17160" xr:uid="{C7F56C7B-F55D-4F48-A77A-A03AF11FDA2C}"/>
    <cellStyle name="Percent 4 3" xfId="8721" xr:uid="{D09CD3FC-D632-4B66-A68A-5CC92F993799}"/>
    <cellStyle name="Percent 4 3 2" xfId="8725" xr:uid="{D57AE941-8E59-43F0-AB73-09B3BCCFA234}"/>
    <cellStyle name="Percent 4 3 2 2" xfId="8728" xr:uid="{D24D76A7-D076-4554-9944-551B122393DE}"/>
    <cellStyle name="Percent 4 3 2 2 2" xfId="17169" xr:uid="{D29A96D4-1EE4-48D3-B474-13E9D79F7A1A}"/>
    <cellStyle name="Percent 4 3 2 3" xfId="17166" xr:uid="{45C6902A-2919-4CB6-BA85-7DE8491B430F}"/>
    <cellStyle name="Percent 4 3 3" xfId="17163" xr:uid="{3415E4CA-2787-4176-9FB5-EC3A1F28FD90}"/>
    <cellStyle name="Percent 4 4" xfId="12946" xr:uid="{514C32FF-07FF-456A-ACA1-E233305CA9D9}"/>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6"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8" t="s">
        <v>558</v>
      </c>
      <c r="B1" s="1268"/>
      <c r="C1" s="1268"/>
      <c r="D1" s="1268"/>
      <c r="E1" s="1268"/>
      <c r="F1" s="1268"/>
      <c r="G1" s="1268"/>
      <c r="H1" s="1268"/>
      <c r="I1" s="1268"/>
      <c r="J1" s="1268"/>
      <c r="K1" s="1268"/>
      <c r="L1" s="1268"/>
      <c r="M1" s="1268"/>
      <c r="N1" s="1268"/>
      <c r="O1" s="1268"/>
      <c r="P1" s="1268"/>
      <c r="Q1" s="1268"/>
      <c r="R1" s="1268"/>
      <c r="S1" s="1268"/>
      <c r="T1" s="1268"/>
      <c r="U1" s="1268"/>
      <c r="V1" s="1268"/>
      <c r="W1" s="1268"/>
      <c r="X1" s="1268"/>
      <c r="Y1" s="1268"/>
      <c r="Z1" s="1268"/>
      <c r="AA1" s="1268"/>
      <c r="AB1" s="1268"/>
      <c r="AC1" s="1268"/>
      <c r="AD1" s="1268"/>
      <c r="AE1" s="1268"/>
      <c r="AF1" s="1268"/>
      <c r="AG1" s="1268"/>
      <c r="AH1" s="1268"/>
      <c r="AI1" s="1268"/>
      <c r="AJ1" s="1268"/>
      <c r="AK1" s="1268"/>
      <c r="AL1" s="1268"/>
    </row>
    <row r="2" spans="1:38" ht="13.5" thickBot="1">
      <c r="A2" s="1269"/>
      <c r="B2" s="1269"/>
      <c r="C2" s="1269"/>
      <c r="D2" s="1269"/>
      <c r="E2" s="1269"/>
      <c r="F2" s="1269"/>
      <c r="G2" s="1269"/>
      <c r="H2" s="1269"/>
      <c r="I2" s="1269"/>
      <c r="J2" s="1269"/>
      <c r="K2" s="1269"/>
      <c r="L2" s="1269"/>
      <c r="M2" s="1269"/>
      <c r="N2" s="1269"/>
      <c r="O2" s="1269"/>
      <c r="P2" s="1269"/>
      <c r="Q2" s="1269"/>
      <c r="R2" s="1269"/>
      <c r="S2" s="1269"/>
      <c r="T2" s="1269"/>
      <c r="U2" s="1269"/>
      <c r="V2" s="1269"/>
      <c r="W2" s="1269"/>
      <c r="X2" s="1269"/>
      <c r="Y2" s="1269"/>
      <c r="Z2" s="1269"/>
      <c r="AA2" s="1269"/>
      <c r="AB2" s="1269"/>
      <c r="AC2" s="1269"/>
      <c r="AD2" s="1269"/>
      <c r="AE2" s="1269"/>
      <c r="AF2" s="1269"/>
      <c r="AG2" s="1269"/>
      <c r="AH2" s="1269"/>
      <c r="AI2" s="1269"/>
      <c r="AJ2" s="1269"/>
      <c r="AK2" s="1269"/>
      <c r="AL2" s="1269"/>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70" t="s">
        <v>2347</v>
      </c>
      <c r="E7" s="1270"/>
      <c r="F7" s="1270"/>
      <c r="G7" s="1270"/>
      <c r="H7" s="1270"/>
      <c r="I7" s="1270"/>
      <c r="J7" s="1270"/>
      <c r="K7" s="1270"/>
      <c r="L7" s="1270"/>
      <c r="M7" s="1270"/>
      <c r="N7" s="1270"/>
      <c r="O7" s="1270"/>
      <c r="P7" s="1270"/>
      <c r="Q7" s="1270"/>
      <c r="R7" s="1270"/>
      <c r="S7" s="1270"/>
      <c r="T7" s="1270"/>
      <c r="U7" s="1270"/>
      <c r="V7" s="1270"/>
      <c r="W7" s="1270"/>
      <c r="X7" s="1270"/>
      <c r="Y7" s="1270"/>
      <c r="Z7" s="1270"/>
      <c r="AA7" s="1270"/>
      <c r="AB7" s="1270"/>
      <c r="AC7" s="1270"/>
      <c r="AD7" s="1270"/>
      <c r="AE7" s="1270"/>
      <c r="AF7" s="1270"/>
      <c r="AG7" s="1270"/>
      <c r="AH7" s="1270"/>
      <c r="AI7" s="1270"/>
      <c r="AJ7" s="1270"/>
      <c r="AK7" s="1270"/>
      <c r="AL7" s="489"/>
    </row>
    <row r="8" spans="1:38">
      <c r="A8" s="218"/>
      <c r="B8" s="218"/>
      <c r="C8" s="219"/>
      <c r="D8" s="1270"/>
      <c r="E8" s="1270"/>
      <c r="F8" s="1270"/>
      <c r="G8" s="1270"/>
      <c r="H8" s="1270"/>
      <c r="I8" s="1270"/>
      <c r="J8" s="1270"/>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70"/>
      <c r="AJ8" s="1270"/>
      <c r="AK8" s="1270"/>
      <c r="AL8" s="489"/>
    </row>
    <row r="9" spans="1:38">
      <c r="A9" s="218"/>
      <c r="B9" s="218"/>
      <c r="C9" s="219"/>
      <c r="D9" s="1270"/>
      <c r="E9" s="1270"/>
      <c r="F9" s="1270"/>
      <c r="G9" s="1270"/>
      <c r="H9" s="1270"/>
      <c r="I9" s="1270"/>
      <c r="J9" s="1270"/>
      <c r="K9" s="1270"/>
      <c r="L9" s="1270"/>
      <c r="M9" s="1270"/>
      <c r="N9" s="1270"/>
      <c r="O9" s="1270"/>
      <c r="P9" s="1270"/>
      <c r="Q9" s="1270"/>
      <c r="R9" s="1270"/>
      <c r="S9" s="1270"/>
      <c r="T9" s="1270"/>
      <c r="U9" s="1270"/>
      <c r="V9" s="1270"/>
      <c r="W9" s="1270"/>
      <c r="X9" s="1270"/>
      <c r="Y9" s="1270"/>
      <c r="Z9" s="1270"/>
      <c r="AA9" s="1270"/>
      <c r="AB9" s="1270"/>
      <c r="AC9" s="1270"/>
      <c r="AD9" s="1270"/>
      <c r="AE9" s="1270"/>
      <c r="AF9" s="1270"/>
      <c r="AG9" s="1270"/>
      <c r="AH9" s="1270"/>
      <c r="AI9" s="1270"/>
      <c r="AJ9" s="1270"/>
      <c r="AK9" s="1270"/>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70" t="s">
        <v>2348</v>
      </c>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0"/>
      <c r="AI11" s="1270"/>
      <c r="AJ11" s="1270"/>
      <c r="AK11" s="1270"/>
      <c r="AL11" s="489"/>
    </row>
    <row r="12" spans="1:38">
      <c r="A12" s="218"/>
      <c r="B12" s="218"/>
      <c r="C12" s="219"/>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0"/>
      <c r="AI12" s="1270"/>
      <c r="AJ12" s="1270"/>
      <c r="AK12" s="1270"/>
      <c r="AL12" s="489"/>
    </row>
    <row r="13" spans="1:38">
      <c r="A13" s="218"/>
      <c r="B13" s="218"/>
      <c r="C13" s="219"/>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489"/>
    </row>
    <row r="14" spans="1:38" ht="13.15" customHeight="1">
      <c r="A14" s="218"/>
      <c r="B14" s="218"/>
      <c r="C14" s="219"/>
      <c r="E14" s="1270" t="s">
        <v>2575</v>
      </c>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489"/>
    </row>
    <row r="15" spans="1:38" ht="13.15" customHeight="1">
      <c r="A15" s="218"/>
      <c r="B15" s="218"/>
      <c r="C15" s="219"/>
      <c r="E15" s="1270"/>
      <c r="F15" s="1270"/>
      <c r="G15" s="1270"/>
      <c r="H15" s="1270"/>
      <c r="I15" s="1270"/>
      <c r="J15" s="1270"/>
      <c r="K15" s="1270"/>
      <c r="L15" s="1270"/>
      <c r="M15" s="1270"/>
      <c r="N15" s="1270"/>
      <c r="O15" s="1270"/>
      <c r="P15" s="1270"/>
      <c r="Q15" s="1270"/>
      <c r="R15" s="1270"/>
      <c r="S15" s="1270"/>
      <c r="T15" s="1270"/>
      <c r="U15" s="1270"/>
      <c r="V15" s="1270"/>
      <c r="W15" s="1270"/>
      <c r="X15" s="1270"/>
      <c r="Y15" s="1270"/>
      <c r="Z15" s="1270"/>
      <c r="AA15" s="1270"/>
      <c r="AB15" s="1270"/>
      <c r="AC15" s="1270"/>
      <c r="AD15" s="1270"/>
      <c r="AE15" s="1270"/>
      <c r="AF15" s="1270"/>
      <c r="AG15" s="1270"/>
      <c r="AH15" s="1270"/>
      <c r="AI15" s="1270"/>
      <c r="AJ15" s="1270"/>
      <c r="AK15" s="1270"/>
      <c r="AL15" s="489"/>
    </row>
    <row r="16" spans="1:38">
      <c r="A16" s="218"/>
      <c r="B16" s="218"/>
      <c r="C16" s="219"/>
      <c r="D16" s="489"/>
      <c r="E16" s="1270"/>
      <c r="F16" s="1270"/>
      <c r="G16" s="1270"/>
      <c r="H16" s="1270"/>
      <c r="I16" s="1270"/>
      <c r="J16" s="1270"/>
      <c r="K16" s="1270"/>
      <c r="L16" s="1270"/>
      <c r="M16" s="1270"/>
      <c r="N16" s="1270"/>
      <c r="O16" s="1270"/>
      <c r="P16" s="1270"/>
      <c r="Q16" s="1270"/>
      <c r="R16" s="1270"/>
      <c r="S16" s="1270"/>
      <c r="T16" s="1270"/>
      <c r="U16" s="1270"/>
      <c r="V16" s="1270"/>
      <c r="W16" s="1270"/>
      <c r="X16" s="1270"/>
      <c r="Y16" s="1270"/>
      <c r="Z16" s="1270"/>
      <c r="AA16" s="1270"/>
      <c r="AB16" s="1270"/>
      <c r="AC16" s="1270"/>
      <c r="AD16" s="1270"/>
      <c r="AE16" s="1270"/>
      <c r="AF16" s="1270"/>
      <c r="AG16" s="1270"/>
      <c r="AH16" s="1270"/>
      <c r="AI16" s="1270"/>
      <c r="AJ16" s="1270"/>
      <c r="AK16" s="1270"/>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70" t="s">
        <v>2349</v>
      </c>
      <c r="E18" s="1270"/>
      <c r="F18" s="1270"/>
      <c r="G18" s="1270"/>
      <c r="H18" s="1270"/>
      <c r="I18" s="1270"/>
      <c r="J18" s="1270"/>
      <c r="K18" s="1270"/>
      <c r="L18" s="1270"/>
      <c r="M18" s="1270"/>
      <c r="N18" s="1270"/>
      <c r="O18" s="1270"/>
      <c r="P18" s="1270"/>
      <c r="Q18" s="1270"/>
      <c r="R18" s="1270"/>
      <c r="S18" s="1270"/>
      <c r="T18" s="1270"/>
      <c r="U18" s="1270"/>
      <c r="V18" s="1270"/>
      <c r="W18" s="1270"/>
      <c r="X18" s="1270"/>
      <c r="Y18" s="1270"/>
      <c r="Z18" s="1270"/>
      <c r="AA18" s="1270"/>
      <c r="AB18" s="1270"/>
      <c r="AC18" s="1270"/>
      <c r="AD18" s="1270"/>
      <c r="AE18" s="1270"/>
      <c r="AF18" s="1270"/>
      <c r="AG18" s="1270"/>
      <c r="AH18" s="1270"/>
      <c r="AI18" s="1270"/>
      <c r="AJ18" s="1270"/>
      <c r="AK18" s="1270"/>
      <c r="AL18" s="218"/>
    </row>
    <row r="19" spans="1:38">
      <c r="A19" s="218"/>
      <c r="B19" s="218"/>
      <c r="C19" s="219"/>
      <c r="D19" s="1270"/>
      <c r="E19" s="1270"/>
      <c r="F19" s="1270"/>
      <c r="G19" s="1270"/>
      <c r="H19" s="1270"/>
      <c r="I19" s="1270"/>
      <c r="J19" s="1270"/>
      <c r="K19" s="1270"/>
      <c r="L19" s="1270"/>
      <c r="M19" s="1270"/>
      <c r="N19" s="1270"/>
      <c r="O19" s="1270"/>
      <c r="P19" s="1270"/>
      <c r="Q19" s="1270"/>
      <c r="R19" s="1270"/>
      <c r="S19" s="1270"/>
      <c r="T19" s="1270"/>
      <c r="U19" s="1270"/>
      <c r="V19" s="1270"/>
      <c r="W19" s="1270"/>
      <c r="X19" s="1270"/>
      <c r="Y19" s="1270"/>
      <c r="Z19" s="1270"/>
      <c r="AA19" s="1270"/>
      <c r="AB19" s="1270"/>
      <c r="AC19" s="1270"/>
      <c r="AD19" s="1270"/>
      <c r="AE19" s="1270"/>
      <c r="AF19" s="1270"/>
      <c r="AG19" s="1270"/>
      <c r="AH19" s="1270"/>
      <c r="AI19" s="1270"/>
      <c r="AJ19" s="1270"/>
      <c r="AK19" s="1270"/>
      <c r="AL19" s="218"/>
    </row>
    <row r="20" spans="1:38">
      <c r="A20" s="218"/>
      <c r="B20" s="218"/>
      <c r="C20" s="219"/>
      <c r="D20" s="1270"/>
      <c r="E20" s="1270"/>
      <c r="F20" s="1270"/>
      <c r="G20" s="1270"/>
      <c r="H20" s="1270"/>
      <c r="I20" s="1270"/>
      <c r="J20" s="1270"/>
      <c r="K20" s="1270"/>
      <c r="L20" s="1270"/>
      <c r="M20" s="1270"/>
      <c r="N20" s="1270"/>
      <c r="O20" s="1270"/>
      <c r="P20" s="1270"/>
      <c r="Q20" s="1270"/>
      <c r="R20" s="1270"/>
      <c r="S20" s="1270"/>
      <c r="T20" s="1270"/>
      <c r="U20" s="1270"/>
      <c r="V20" s="1270"/>
      <c r="W20" s="1270"/>
      <c r="X20" s="1270"/>
      <c r="Y20" s="1270"/>
      <c r="Z20" s="1270"/>
      <c r="AA20" s="1270"/>
      <c r="AB20" s="1270"/>
      <c r="AC20" s="1270"/>
      <c r="AD20" s="1270"/>
      <c r="AE20" s="1270"/>
      <c r="AF20" s="1270"/>
      <c r="AG20" s="1270"/>
      <c r="AH20" s="1270"/>
      <c r="AI20" s="1270"/>
      <c r="AJ20" s="1270"/>
      <c r="AK20" s="1270"/>
      <c r="AL20" s="218"/>
    </row>
    <row r="21" spans="1:38" ht="13.15" customHeight="1">
      <c r="A21" s="218"/>
      <c r="B21" s="218"/>
      <c r="C21" s="219"/>
      <c r="D21" s="1270"/>
      <c r="E21" s="1270"/>
      <c r="F21" s="1270"/>
      <c r="G21" s="1270"/>
      <c r="H21" s="1270"/>
      <c r="I21" s="1270"/>
      <c r="J21" s="1270"/>
      <c r="K21" s="1270"/>
      <c r="L21" s="1270"/>
      <c r="M21" s="1270"/>
      <c r="N21" s="1270"/>
      <c r="O21" s="1270"/>
      <c r="P21" s="1270"/>
      <c r="Q21" s="1270"/>
      <c r="R21" s="1270"/>
      <c r="S21" s="1270"/>
      <c r="T21" s="1270"/>
      <c r="U21" s="1270"/>
      <c r="V21" s="1270"/>
      <c r="W21" s="1270"/>
      <c r="X21" s="1270"/>
      <c r="Y21" s="1270"/>
      <c r="Z21" s="1270"/>
      <c r="AA21" s="1270"/>
      <c r="AB21" s="1270"/>
      <c r="AC21" s="1270"/>
      <c r="AD21" s="1270"/>
      <c r="AE21" s="1270"/>
      <c r="AF21" s="1270"/>
      <c r="AG21" s="1270"/>
      <c r="AH21" s="1270"/>
      <c r="AI21" s="1270"/>
      <c r="AJ21" s="1270"/>
      <c r="AK21" s="1270"/>
      <c r="AL21" s="218"/>
    </row>
    <row r="22" spans="1:38">
      <c r="A22" s="218"/>
      <c r="B22" s="218"/>
      <c r="C22" s="219"/>
      <c r="D22" s="1270"/>
      <c r="E22" s="1270"/>
      <c r="F22" s="1270"/>
      <c r="G22" s="1270"/>
      <c r="H22" s="1270"/>
      <c r="I22" s="1270"/>
      <c r="J22" s="1270"/>
      <c r="K22" s="1270"/>
      <c r="L22" s="1270"/>
      <c r="M22" s="1270"/>
      <c r="N22" s="1270"/>
      <c r="O22" s="1270"/>
      <c r="P22" s="1270"/>
      <c r="Q22" s="1270"/>
      <c r="R22" s="1270"/>
      <c r="S22" s="1270"/>
      <c r="T22" s="1270"/>
      <c r="U22" s="1270"/>
      <c r="V22" s="1270"/>
      <c r="W22" s="1270"/>
      <c r="X22" s="1270"/>
      <c r="Y22" s="1270"/>
      <c r="Z22" s="1270"/>
      <c r="AA22" s="1270"/>
      <c r="AB22" s="1270"/>
      <c r="AC22" s="1270"/>
      <c r="AD22" s="1270"/>
      <c r="AE22" s="1270"/>
      <c r="AF22" s="1270"/>
      <c r="AG22" s="1270"/>
      <c r="AH22" s="1270"/>
      <c r="AI22" s="1270"/>
      <c r="AJ22" s="1270"/>
      <c r="AK22" s="1270"/>
      <c r="AL22" s="218"/>
    </row>
    <row r="23" spans="1:38">
      <c r="A23" s="218"/>
      <c r="B23" s="218"/>
      <c r="C23" s="219"/>
      <c r="D23" s="1270"/>
      <c r="E23" s="1270"/>
      <c r="F23" s="1270"/>
      <c r="G23" s="1270"/>
      <c r="H23" s="1270"/>
      <c r="I23" s="1270"/>
      <c r="J23" s="1270"/>
      <c r="K23" s="1270"/>
      <c r="L23" s="1270"/>
      <c r="M23" s="1270"/>
      <c r="N23" s="1270"/>
      <c r="O23" s="1270"/>
      <c r="P23" s="1270"/>
      <c r="Q23" s="1270"/>
      <c r="R23" s="1270"/>
      <c r="S23" s="1270"/>
      <c r="T23" s="1270"/>
      <c r="U23" s="1270"/>
      <c r="V23" s="1270"/>
      <c r="W23" s="1270"/>
      <c r="X23" s="1270"/>
      <c r="Y23" s="1270"/>
      <c r="Z23" s="1270"/>
      <c r="AA23" s="1270"/>
      <c r="AB23" s="1270"/>
      <c r="AC23" s="1270"/>
      <c r="AD23" s="1270"/>
      <c r="AE23" s="1270"/>
      <c r="AF23" s="1270"/>
      <c r="AG23" s="1270"/>
      <c r="AH23" s="1270"/>
      <c r="AI23" s="1270"/>
      <c r="AJ23" s="1270"/>
      <c r="AK23" s="1270"/>
      <c r="AL23" s="218"/>
    </row>
    <row r="24" spans="1:38">
      <c r="A24" s="218"/>
      <c r="B24" s="218"/>
      <c r="C24" s="219"/>
      <c r="D24" s="1270"/>
      <c r="E24" s="1270"/>
      <c r="F24" s="1270"/>
      <c r="G24" s="1270"/>
      <c r="H24" s="1270"/>
      <c r="I24" s="1270"/>
      <c r="J24" s="1270"/>
      <c r="K24" s="1270"/>
      <c r="L24" s="1270"/>
      <c r="M24" s="1270"/>
      <c r="N24" s="1270"/>
      <c r="O24" s="1270"/>
      <c r="P24" s="1270"/>
      <c r="Q24" s="1270"/>
      <c r="R24" s="1270"/>
      <c r="S24" s="1270"/>
      <c r="T24" s="1270"/>
      <c r="U24" s="1270"/>
      <c r="V24" s="1270"/>
      <c r="W24" s="1270"/>
      <c r="X24" s="1270"/>
      <c r="Y24" s="1270"/>
      <c r="Z24" s="1270"/>
      <c r="AA24" s="1270"/>
      <c r="AB24" s="1270"/>
      <c r="AC24" s="1270"/>
      <c r="AD24" s="1270"/>
      <c r="AE24" s="1270"/>
      <c r="AF24" s="1270"/>
      <c r="AG24" s="1270"/>
      <c r="AH24" s="1270"/>
      <c r="AI24" s="1270"/>
      <c r="AJ24" s="1270"/>
      <c r="AK24" s="1270"/>
      <c r="AL24" s="218"/>
    </row>
    <row r="25" spans="1:38">
      <c r="A25" s="218"/>
      <c r="B25" s="218"/>
      <c r="C25" s="219"/>
      <c r="D25" s="1270"/>
      <c r="E25" s="1270"/>
      <c r="F25" s="1270"/>
      <c r="G25" s="1270"/>
      <c r="H25" s="1270"/>
      <c r="I25" s="1270"/>
      <c r="J25" s="1270"/>
      <c r="K25" s="1270"/>
      <c r="L25" s="1270"/>
      <c r="M25" s="1270"/>
      <c r="N25" s="1270"/>
      <c r="O25" s="1270"/>
      <c r="P25" s="1270"/>
      <c r="Q25" s="1270"/>
      <c r="R25" s="1270"/>
      <c r="S25" s="1270"/>
      <c r="T25" s="1270"/>
      <c r="U25" s="1270"/>
      <c r="V25" s="1270"/>
      <c r="W25" s="1270"/>
      <c r="X25" s="1270"/>
      <c r="Y25" s="1270"/>
      <c r="Z25" s="1270"/>
      <c r="AA25" s="1270"/>
      <c r="AB25" s="1270"/>
      <c r="AC25" s="1270"/>
      <c r="AD25" s="1270"/>
      <c r="AE25" s="1270"/>
      <c r="AF25" s="1270"/>
      <c r="AG25" s="1270"/>
      <c r="AH25" s="1270"/>
      <c r="AI25" s="1270"/>
      <c r="AJ25" s="1270"/>
      <c r="AK25" s="1270"/>
      <c r="AL25" s="218"/>
    </row>
    <row r="26" spans="1:38">
      <c r="A26" s="218"/>
      <c r="B26" s="218"/>
      <c r="C26" s="219"/>
      <c r="D26" s="1270"/>
      <c r="E26" s="1270"/>
      <c r="F26" s="1270"/>
      <c r="G26" s="1270"/>
      <c r="H26" s="1270"/>
      <c r="I26" s="1270"/>
      <c r="J26" s="1270"/>
      <c r="K26" s="1270"/>
      <c r="L26" s="1270"/>
      <c r="M26" s="1270"/>
      <c r="N26" s="1270"/>
      <c r="O26" s="1270"/>
      <c r="P26" s="1270"/>
      <c r="Q26" s="1270"/>
      <c r="R26" s="1270"/>
      <c r="S26" s="1270"/>
      <c r="T26" s="1270"/>
      <c r="U26" s="1270"/>
      <c r="V26" s="1270"/>
      <c r="W26" s="1270"/>
      <c r="X26" s="1270"/>
      <c r="Y26" s="1270"/>
      <c r="Z26" s="1270"/>
      <c r="AA26" s="1270"/>
      <c r="AB26" s="1270"/>
      <c r="AC26" s="1270"/>
      <c r="AD26" s="1270"/>
      <c r="AE26" s="1270"/>
      <c r="AF26" s="1270"/>
      <c r="AG26" s="1270"/>
      <c r="AH26" s="1270"/>
      <c r="AI26" s="1270"/>
      <c r="AJ26" s="1270"/>
      <c r="AK26" s="1270"/>
      <c r="AL26" s="218"/>
    </row>
    <row r="27" spans="1:38" ht="11.85" customHeight="1">
      <c r="A27" s="218"/>
      <c r="B27" s="218"/>
      <c r="C27" s="219"/>
      <c r="D27" s="1270"/>
      <c r="E27" s="1270"/>
      <c r="F27" s="1270"/>
      <c r="G27" s="1270"/>
      <c r="H27" s="1270"/>
      <c r="I27" s="1270"/>
      <c r="J27" s="1270"/>
      <c r="K27" s="1270"/>
      <c r="L27" s="1270"/>
      <c r="M27" s="1270"/>
      <c r="N27" s="1270"/>
      <c r="O27" s="1270"/>
      <c r="P27" s="1270"/>
      <c r="Q27" s="1270"/>
      <c r="R27" s="1270"/>
      <c r="S27" s="1270"/>
      <c r="T27" s="1270"/>
      <c r="U27" s="1270"/>
      <c r="V27" s="1270"/>
      <c r="W27" s="1270"/>
      <c r="X27" s="1270"/>
      <c r="Y27" s="1270"/>
      <c r="Z27" s="1270"/>
      <c r="AA27" s="1270"/>
      <c r="AB27" s="1270"/>
      <c r="AC27" s="1270"/>
      <c r="AD27" s="1270"/>
      <c r="AE27" s="1270"/>
      <c r="AF27" s="1270"/>
      <c r="AG27" s="1270"/>
      <c r="AH27" s="1270"/>
      <c r="AI27" s="1270"/>
      <c r="AJ27" s="1270"/>
      <c r="AK27" s="1270"/>
      <c r="AL27" s="218"/>
    </row>
    <row r="28" spans="1:38" ht="13.15" hidden="1" customHeight="1">
      <c r="A28" s="218"/>
      <c r="B28" s="218"/>
      <c r="C28" s="219"/>
      <c r="E28" s="1270" t="s">
        <v>2504</v>
      </c>
      <c r="F28" s="1270"/>
      <c r="G28" s="1270"/>
      <c r="H28" s="1270"/>
      <c r="I28" s="1270"/>
      <c r="J28" s="1270"/>
      <c r="K28" s="1270"/>
      <c r="L28" s="1270"/>
      <c r="M28" s="1270"/>
      <c r="N28" s="1270"/>
      <c r="O28" s="1270"/>
      <c r="P28" s="1270"/>
      <c r="Q28" s="1270"/>
      <c r="R28" s="1270"/>
      <c r="S28" s="1270"/>
      <c r="T28" s="1270"/>
      <c r="U28" s="1270"/>
      <c r="V28" s="1270"/>
      <c r="W28" s="1270"/>
      <c r="X28" s="1270"/>
      <c r="Y28" s="1270"/>
      <c r="Z28" s="1270"/>
      <c r="AA28" s="1270"/>
      <c r="AB28" s="1270"/>
      <c r="AC28" s="1270"/>
      <c r="AD28" s="1270"/>
      <c r="AE28" s="1270"/>
      <c r="AF28" s="1270"/>
      <c r="AG28" s="1270"/>
      <c r="AH28" s="1270"/>
      <c r="AI28" s="1270"/>
      <c r="AJ28" s="1270"/>
      <c r="AK28" s="1270"/>
      <c r="AL28" s="218"/>
    </row>
    <row r="29" spans="1:38" ht="13.15" hidden="1" customHeight="1">
      <c r="A29" s="218"/>
      <c r="B29" s="218"/>
      <c r="C29" s="219"/>
      <c r="E29" s="1270"/>
      <c r="F29" s="1270"/>
      <c r="G29" s="1270"/>
      <c r="H29" s="1270"/>
      <c r="I29" s="1270"/>
      <c r="J29" s="1270"/>
      <c r="K29" s="1270"/>
      <c r="L29" s="1270"/>
      <c r="M29" s="1270"/>
      <c r="N29" s="1270"/>
      <c r="O29" s="1270"/>
      <c r="P29" s="1270"/>
      <c r="Q29" s="1270"/>
      <c r="R29" s="1270"/>
      <c r="S29" s="1270"/>
      <c r="T29" s="1270"/>
      <c r="U29" s="1270"/>
      <c r="V29" s="1270"/>
      <c r="W29" s="1270"/>
      <c r="X29" s="1270"/>
      <c r="Y29" s="1270"/>
      <c r="Z29" s="1270"/>
      <c r="AA29" s="1270"/>
      <c r="AB29" s="1270"/>
      <c r="AC29" s="1270"/>
      <c r="AD29" s="1270"/>
      <c r="AE29" s="1270"/>
      <c r="AF29" s="1270"/>
      <c r="AG29" s="1270"/>
      <c r="AH29" s="1270"/>
      <c r="AI29" s="1270"/>
      <c r="AJ29" s="1270"/>
      <c r="AK29" s="1270"/>
      <c r="AL29" s="218"/>
    </row>
    <row r="30" spans="1:38" hidden="1">
      <c r="A30" s="218"/>
      <c r="B30" s="218"/>
      <c r="C30" s="219"/>
      <c r="D30" s="489"/>
      <c r="E30" s="1270"/>
      <c r="F30" s="1270"/>
      <c r="G30" s="1270"/>
      <c r="H30" s="1270"/>
      <c r="I30" s="1270"/>
      <c r="J30" s="1270"/>
      <c r="K30" s="1270"/>
      <c r="L30" s="1270"/>
      <c r="M30" s="1270"/>
      <c r="N30" s="1270"/>
      <c r="O30" s="1270"/>
      <c r="P30" s="1270"/>
      <c r="Q30" s="1270"/>
      <c r="R30" s="1270"/>
      <c r="S30" s="1270"/>
      <c r="T30" s="1270"/>
      <c r="U30" s="1270"/>
      <c r="V30" s="1270"/>
      <c r="W30" s="1270"/>
      <c r="X30" s="1270"/>
      <c r="Y30" s="1270"/>
      <c r="Z30" s="1270"/>
      <c r="AA30" s="1270"/>
      <c r="AB30" s="1270"/>
      <c r="AC30" s="1270"/>
      <c r="AD30" s="1270"/>
      <c r="AE30" s="1270"/>
      <c r="AF30" s="1270"/>
      <c r="AG30" s="1270"/>
      <c r="AH30" s="1270"/>
      <c r="AI30" s="1270"/>
      <c r="AJ30" s="1270"/>
      <c r="AK30" s="1270"/>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70" t="s">
        <v>2350</v>
      </c>
      <c r="E32" s="1270"/>
      <c r="F32" s="1270"/>
      <c r="G32" s="1270"/>
      <c r="H32" s="1270"/>
      <c r="I32" s="1270"/>
      <c r="J32" s="1270"/>
      <c r="K32" s="1270"/>
      <c r="L32" s="1270"/>
      <c r="M32" s="1270"/>
      <c r="N32" s="1270"/>
      <c r="O32" s="1270"/>
      <c r="P32" s="1270"/>
      <c r="Q32" s="1270"/>
      <c r="R32" s="1270"/>
      <c r="S32" s="1270"/>
      <c r="T32" s="1270"/>
      <c r="U32" s="1270"/>
      <c r="V32" s="1270"/>
      <c r="W32" s="1270"/>
      <c r="X32" s="1270"/>
      <c r="Y32" s="1270"/>
      <c r="Z32" s="1270"/>
      <c r="AA32" s="1270"/>
      <c r="AB32" s="1270"/>
      <c r="AC32" s="1270"/>
      <c r="AD32" s="1270"/>
      <c r="AE32" s="1270"/>
      <c r="AF32" s="1270"/>
      <c r="AG32" s="1270"/>
      <c r="AH32" s="1270"/>
      <c r="AI32" s="1270"/>
      <c r="AJ32" s="1270"/>
      <c r="AK32" s="1270"/>
      <c r="AL32" s="218"/>
    </row>
    <row r="33" spans="1:38">
      <c r="A33" s="218"/>
      <c r="B33" s="218"/>
      <c r="C33" s="219"/>
      <c r="D33" s="489"/>
      <c r="E33" s="1277" t="s">
        <v>2581</v>
      </c>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8"/>
      <c r="AG33" s="1278"/>
      <c r="AH33" s="1278"/>
      <c r="AI33" s="1278"/>
      <c r="AJ33" s="1278"/>
      <c r="AK33" s="1278"/>
      <c r="AL33" s="218"/>
    </row>
    <row r="34" spans="1:38">
      <c r="A34" s="4"/>
      <c r="C34" s="2"/>
    </row>
    <row r="35" spans="1:38">
      <c r="A35" s="4"/>
      <c r="D35" s="1271" t="s">
        <v>2499</v>
      </c>
      <c r="E35" s="1271"/>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71"/>
      <c r="E36" s="1271"/>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D37" s="120"/>
      <c r="E37" s="1276" t="s">
        <v>2357</v>
      </c>
      <c r="F37" s="1276"/>
      <c r="G37" s="1276"/>
      <c r="H37" s="1276"/>
      <c r="I37" s="1276"/>
      <c r="J37" s="1276"/>
      <c r="K37" s="1276"/>
      <c r="L37" s="1276"/>
      <c r="M37" s="1276"/>
      <c r="N37" s="1276"/>
      <c r="O37" s="1276"/>
      <c r="P37" s="1276"/>
      <c r="Q37" s="1276"/>
      <c r="R37" s="1276"/>
      <c r="S37" s="1276"/>
      <c r="T37" s="1276"/>
      <c r="U37" s="1276"/>
      <c r="V37" s="1276"/>
      <c r="W37" s="1276"/>
      <c r="X37" s="1276"/>
      <c r="Y37" s="1276"/>
      <c r="Z37" s="1276"/>
      <c r="AA37" s="1276"/>
      <c r="AB37" s="1276"/>
      <c r="AC37" s="1276"/>
      <c r="AD37" s="1276"/>
      <c r="AE37" s="1276"/>
      <c r="AF37" s="1276"/>
      <c r="AG37" s="1276"/>
      <c r="AH37" s="1276"/>
      <c r="AI37" s="1276"/>
      <c r="AJ37" s="1276"/>
      <c r="AK37" s="1276"/>
    </row>
    <row r="38" spans="1:38">
      <c r="A38" s="4"/>
      <c r="D38" s="120"/>
      <c r="E38" s="1276" t="s">
        <v>2358</v>
      </c>
      <c r="F38" s="1276"/>
      <c r="G38" s="1276"/>
      <c r="H38" s="1276"/>
      <c r="I38" s="1276"/>
      <c r="J38" s="1276"/>
      <c r="K38" s="1276"/>
      <c r="L38" s="1276"/>
      <c r="M38" s="1276"/>
      <c r="N38" s="1276"/>
      <c r="O38" s="1276"/>
      <c r="P38" s="1276"/>
      <c r="Q38" s="1276"/>
      <c r="R38" s="1276"/>
      <c r="S38" s="1276"/>
      <c r="T38" s="1276"/>
      <c r="U38" s="1276"/>
      <c r="V38" s="1276"/>
      <c r="W38" s="1276"/>
      <c r="X38" s="1276"/>
      <c r="Y38" s="1276"/>
      <c r="Z38" s="1276"/>
      <c r="AA38" s="1276"/>
      <c r="AB38" s="1276"/>
      <c r="AC38" s="1276"/>
      <c r="AD38" s="1276"/>
      <c r="AE38" s="1276"/>
      <c r="AF38" s="1276"/>
      <c r="AG38" s="1276"/>
      <c r="AH38" s="1276"/>
      <c r="AI38" s="1276"/>
      <c r="AJ38" s="1276"/>
      <c r="AK38" s="1276"/>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70" customFormat="1" ht="13.15" customHeight="1">
      <c r="A42" s="4"/>
      <c r="B42"/>
      <c r="C42" s="2"/>
      <c r="D42" s="4"/>
      <c r="E42" s="4" t="s">
        <v>661</v>
      </c>
      <c r="F42" s="1270" t="s">
        <v>1270</v>
      </c>
    </row>
    <row r="43" spans="1:38" s="1270" customFormat="1" ht="13.15" customHeight="1">
      <c r="A43" s="4"/>
      <c r="B43"/>
      <c r="C43" s="2"/>
      <c r="D43" s="4"/>
      <c r="E43" s="4"/>
    </row>
    <row r="44" spans="1:38">
      <c r="A44" s="4"/>
      <c r="C44" s="2"/>
      <c r="D44" s="4"/>
      <c r="E44" s="4"/>
      <c r="F44" s="35" t="s">
        <v>696</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4" t="s">
        <v>1354</v>
      </c>
      <c r="G45" s="1274"/>
      <c r="H45" s="1274"/>
      <c r="I45" s="1274"/>
      <c r="J45" s="1274"/>
      <c r="K45" s="1274"/>
      <c r="L45" s="1274"/>
      <c r="M45" s="1274"/>
      <c r="N45" s="1274"/>
      <c r="O45" s="1274"/>
      <c r="P45" s="1274"/>
      <c r="Q45" s="1274"/>
      <c r="R45" s="1274"/>
      <c r="S45" s="1274"/>
      <c r="T45" s="1274"/>
      <c r="U45" s="1274"/>
      <c r="V45" s="1274"/>
      <c r="W45" s="1274"/>
      <c r="X45" s="1274"/>
      <c r="Y45" s="1274"/>
      <c r="Z45" s="1274"/>
      <c r="AA45" s="1274"/>
      <c r="AB45" s="1274"/>
      <c r="AC45" s="1274"/>
      <c r="AD45" s="1274"/>
      <c r="AE45" s="1274"/>
      <c r="AF45" s="1274"/>
      <c r="AG45" s="1274"/>
      <c r="AH45" s="1274"/>
      <c r="AI45" s="1274"/>
      <c r="AJ45" s="1274"/>
      <c r="AK45" s="1274"/>
      <c r="AL45" s="1274"/>
    </row>
    <row r="46" spans="1:38" s="118" customFormat="1">
      <c r="A46" s="4"/>
      <c r="B46"/>
      <c r="C46" s="2"/>
      <c r="D46" s="4"/>
      <c r="E46" s="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4"/>
      <c r="AC46" s="1274"/>
      <c r="AD46" s="1274"/>
      <c r="AE46" s="1274"/>
      <c r="AF46" s="1274"/>
      <c r="AG46" s="1274"/>
      <c r="AH46" s="1274"/>
      <c r="AI46" s="1274"/>
      <c r="AJ46" s="1274"/>
      <c r="AK46" s="1274"/>
      <c r="AL46" s="1274"/>
    </row>
    <row r="47" spans="1:38" s="118" customFormat="1" ht="13.15" customHeight="1">
      <c r="A47" s="4"/>
      <c r="B47"/>
      <c r="C47" s="2"/>
      <c r="D47" s="4"/>
      <c r="E47" s="4"/>
      <c r="F47" s="1274"/>
      <c r="G47" s="1274"/>
      <c r="H47" s="1274"/>
      <c r="I47" s="1274"/>
      <c r="J47" s="1274"/>
      <c r="K47" s="1274"/>
      <c r="L47" s="1274"/>
      <c r="M47" s="1274"/>
      <c r="N47" s="1274"/>
      <c r="O47" s="1274"/>
      <c r="P47" s="1274"/>
      <c r="Q47" s="1274"/>
      <c r="R47" s="1274"/>
      <c r="S47" s="1274"/>
      <c r="T47" s="1274"/>
      <c r="U47" s="1274"/>
      <c r="V47" s="1274"/>
      <c r="W47" s="1274"/>
      <c r="X47" s="1274"/>
      <c r="Y47" s="1274"/>
      <c r="Z47" s="1274"/>
      <c r="AA47" s="1274"/>
      <c r="AB47" s="1274"/>
      <c r="AC47" s="1274"/>
      <c r="AD47" s="1274"/>
      <c r="AE47" s="1274"/>
      <c r="AF47" s="1274"/>
      <c r="AG47" s="1274"/>
      <c r="AH47" s="1274"/>
      <c r="AI47" s="1274"/>
      <c r="AJ47" s="1274"/>
      <c r="AK47" s="1274"/>
      <c r="AL47" s="1274"/>
    </row>
    <row r="48" spans="1:38">
      <c r="A48" s="4"/>
      <c r="C48" s="2"/>
      <c r="D48" s="4"/>
      <c r="E48" s="4"/>
      <c r="F48" s="118" t="s">
        <v>696</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350</v>
      </c>
      <c r="F50" s="1270" t="s">
        <v>2352</v>
      </c>
      <c r="G50" s="1270"/>
      <c r="H50" s="1270"/>
      <c r="I50" s="1270"/>
      <c r="J50" s="1270"/>
      <c r="K50" s="1270"/>
      <c r="L50" s="1270"/>
      <c r="M50" s="1270"/>
      <c r="N50" s="1270"/>
      <c r="O50" s="1270"/>
      <c r="P50" s="1270"/>
      <c r="Q50" s="1270"/>
      <c r="R50" s="1270"/>
      <c r="S50" s="1270"/>
      <c r="T50" s="1270"/>
      <c r="U50" s="1270"/>
      <c r="V50" s="1270"/>
      <c r="W50" s="1270"/>
      <c r="X50" s="1270"/>
      <c r="Y50" s="1270"/>
      <c r="Z50" s="1270"/>
      <c r="AA50" s="1270"/>
      <c r="AB50" s="1270"/>
      <c r="AC50" s="1270"/>
      <c r="AD50" s="1270"/>
      <c r="AE50" s="1270"/>
      <c r="AF50" s="1270"/>
      <c r="AG50" s="1270"/>
      <c r="AH50" s="1270"/>
      <c r="AI50" s="1270"/>
      <c r="AJ50" s="1270"/>
      <c r="AK50" s="1270"/>
    </row>
    <row r="51" spans="1:38">
      <c r="A51" s="4"/>
      <c r="C51" s="2"/>
      <c r="D51" s="4"/>
      <c r="E51" s="4"/>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row>
    <row r="52" spans="1:38">
      <c r="A52" s="4"/>
      <c r="C52" s="2"/>
      <c r="D52" s="4"/>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2" t="s">
        <v>1297</v>
      </c>
      <c r="H56" s="1272"/>
      <c r="I56" s="1272"/>
      <c r="J56" s="1272"/>
      <c r="K56" s="1272"/>
      <c r="L56" s="1272"/>
      <c r="M56" s="1272"/>
      <c r="N56" s="1272"/>
      <c r="O56" s="1272"/>
      <c r="P56" s="1272"/>
      <c r="Q56" s="1272"/>
      <c r="R56" s="1272"/>
      <c r="S56" s="1272"/>
      <c r="T56" s="1272"/>
      <c r="U56" s="1272"/>
      <c r="V56" s="1272"/>
      <c r="W56" s="1272"/>
      <c r="X56" s="1272"/>
      <c r="Y56" s="1272"/>
      <c r="Z56" s="1272"/>
      <c r="AA56" s="1272"/>
      <c r="AB56" s="1272"/>
      <c r="AC56" s="1272"/>
      <c r="AD56" s="1272"/>
      <c r="AE56" s="1272"/>
      <c r="AF56" s="1272"/>
      <c r="AG56" s="1272"/>
      <c r="AH56" s="1272"/>
      <c r="AI56" s="1272"/>
      <c r="AJ56" s="1272"/>
      <c r="AK56" s="1272"/>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2" t="s">
        <v>583</v>
      </c>
      <c r="H58" s="1272"/>
      <c r="I58" s="1272"/>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2" t="s">
        <v>2353</v>
      </c>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2"/>
      <c r="AG59" s="1272"/>
      <c r="AH59" s="1272"/>
      <c r="AI59" s="1272"/>
      <c r="AJ59" s="1272"/>
      <c r="AK59" s="1272"/>
      <c r="AL59" s="1272"/>
    </row>
    <row r="60" spans="1:38">
      <c r="A60" s="218"/>
      <c r="B60" s="218"/>
      <c r="C60" s="219"/>
      <c r="D60" s="219"/>
      <c r="E60" s="218"/>
      <c r="F60" s="220"/>
      <c r="G60" s="1272"/>
      <c r="H60" s="1272"/>
      <c r="I60" s="1272"/>
      <c r="J60" s="1272"/>
      <c r="K60" s="1272"/>
      <c r="L60" s="1272"/>
      <c r="M60" s="1272"/>
      <c r="N60" s="1272"/>
      <c r="O60" s="1272"/>
      <c r="P60" s="1272"/>
      <c r="Q60" s="1272"/>
      <c r="R60" s="1272"/>
      <c r="S60" s="1272"/>
      <c r="T60" s="1272"/>
      <c r="U60" s="1272"/>
      <c r="V60" s="1272"/>
      <c r="W60" s="1272"/>
      <c r="X60" s="1272"/>
      <c r="Y60" s="1272"/>
      <c r="Z60" s="1272"/>
      <c r="AA60" s="1272"/>
      <c r="AB60" s="1272"/>
      <c r="AC60" s="1272"/>
      <c r="AD60" s="1272"/>
      <c r="AE60" s="1272"/>
      <c r="AF60" s="1272"/>
      <c r="AG60" s="1272"/>
      <c r="AH60" s="1272"/>
      <c r="AI60" s="1272"/>
      <c r="AJ60" s="1272"/>
      <c r="AK60" s="1272"/>
      <c r="AL60" s="1272"/>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70" t="s">
        <v>1272</v>
      </c>
      <c r="H66" s="1270"/>
      <c r="I66" s="1270"/>
      <c r="J66" s="1270"/>
      <c r="K66" s="1270"/>
      <c r="L66" s="1270"/>
      <c r="M66" s="1270"/>
      <c r="N66" s="1270"/>
      <c r="O66" s="1270"/>
      <c r="P66" s="1270"/>
      <c r="Q66" s="1270"/>
      <c r="R66" s="1270"/>
      <c r="S66" s="1270"/>
      <c r="T66" s="1270"/>
      <c r="U66" s="1270"/>
      <c r="V66" s="1270"/>
      <c r="W66" s="1270"/>
      <c r="X66" s="1270"/>
      <c r="Y66" s="1270"/>
      <c r="Z66" s="1270"/>
      <c r="AA66" s="1270"/>
      <c r="AB66" s="1270"/>
      <c r="AC66" s="1270"/>
      <c r="AD66" s="1270"/>
      <c r="AE66" s="1270"/>
      <c r="AF66" s="1270"/>
      <c r="AG66" s="1270"/>
      <c r="AH66" s="1270"/>
      <c r="AI66" s="1270"/>
      <c r="AJ66" s="1270"/>
      <c r="AK66" s="1270"/>
    </row>
    <row r="67" spans="1:37">
      <c r="A67" s="4"/>
      <c r="C67" s="2"/>
      <c r="D67" s="4"/>
      <c r="E67" s="4"/>
      <c r="G67" s="1270"/>
      <c r="H67" s="1270"/>
      <c r="I67" s="1270"/>
      <c r="J67" s="1270"/>
      <c r="K67" s="1270"/>
      <c r="L67" s="1270"/>
      <c r="M67" s="1270"/>
      <c r="N67" s="1270"/>
      <c r="O67" s="1270"/>
      <c r="P67" s="1270"/>
      <c r="Q67" s="1270"/>
      <c r="R67" s="1270"/>
      <c r="S67" s="1270"/>
      <c r="T67" s="1270"/>
      <c r="U67" s="1270"/>
      <c r="V67" s="1270"/>
      <c r="W67" s="1270"/>
      <c r="X67" s="1270"/>
      <c r="Y67" s="1270"/>
      <c r="Z67" s="1270"/>
      <c r="AA67" s="1270"/>
      <c r="AB67" s="1270"/>
      <c r="AC67" s="1270"/>
      <c r="AD67" s="1270"/>
      <c r="AE67" s="1270"/>
      <c r="AF67" s="1270"/>
      <c r="AG67" s="1270"/>
      <c r="AH67" s="1270"/>
      <c r="AI67" s="1270"/>
      <c r="AJ67" s="1270"/>
      <c r="AK67" s="1270"/>
    </row>
    <row r="68" spans="1:37">
      <c r="A68" s="4"/>
      <c r="C68" s="2"/>
      <c r="D68" s="4"/>
      <c r="E68" s="4"/>
      <c r="G68" s="1270"/>
      <c r="H68" s="1270"/>
      <c r="I68" s="1270"/>
      <c r="J68" s="1270"/>
      <c r="K68" s="1270"/>
      <c r="L68" s="1270"/>
      <c r="M68" s="1270"/>
      <c r="N68" s="1270"/>
      <c r="O68" s="1270"/>
      <c r="P68" s="1270"/>
      <c r="Q68" s="1270"/>
      <c r="R68" s="1270"/>
      <c r="S68" s="1270"/>
      <c r="T68" s="1270"/>
      <c r="U68" s="1270"/>
      <c r="V68" s="1270"/>
      <c r="W68" s="1270"/>
      <c r="X68" s="1270"/>
      <c r="Y68" s="1270"/>
      <c r="Z68" s="1270"/>
      <c r="AA68" s="1270"/>
      <c r="AB68" s="1270"/>
      <c r="AC68" s="1270"/>
      <c r="AD68" s="1270"/>
      <c r="AE68" s="1270"/>
      <c r="AF68" s="1270"/>
      <c r="AG68" s="1270"/>
      <c r="AH68" s="1270"/>
      <c r="AI68" s="1270"/>
      <c r="AJ68" s="1270"/>
      <c r="AK68" s="1270"/>
    </row>
    <row r="69" spans="1:37" ht="13.15" customHeight="1">
      <c r="A69" s="4"/>
      <c r="C69" s="2"/>
      <c r="D69" s="4"/>
      <c r="E69" s="4"/>
      <c r="F69" t="s">
        <v>517</v>
      </c>
      <c r="G69" s="1270" t="s">
        <v>1273</v>
      </c>
      <c r="H69" s="1270"/>
      <c r="I69" s="1270"/>
      <c r="J69" s="1270"/>
      <c r="K69" s="1270"/>
      <c r="L69" s="1270"/>
      <c r="M69" s="1270"/>
      <c r="N69" s="1270"/>
      <c r="O69" s="1270"/>
      <c r="P69" s="1270"/>
      <c r="Q69" s="1270"/>
      <c r="R69" s="1270"/>
      <c r="S69" s="1270"/>
      <c r="T69" s="1270"/>
      <c r="U69" s="1270"/>
      <c r="V69" s="1270"/>
      <c r="W69" s="1270"/>
      <c r="X69" s="1270"/>
      <c r="Y69" s="1270"/>
      <c r="Z69" s="1270"/>
      <c r="AA69" s="1270"/>
      <c r="AB69" s="1270"/>
      <c r="AC69" s="1270"/>
      <c r="AD69" s="1270"/>
      <c r="AE69" s="1270"/>
      <c r="AF69" s="1270"/>
      <c r="AG69" s="1270"/>
      <c r="AH69" s="1270"/>
      <c r="AI69" s="1270"/>
      <c r="AJ69" s="1270"/>
      <c r="AK69" s="1270"/>
    </row>
    <row r="70" spans="1:37">
      <c r="A70" s="4"/>
      <c r="C70" s="2"/>
      <c r="D70" s="4"/>
      <c r="E70" s="4"/>
      <c r="F70" s="27"/>
      <c r="G70" s="1270"/>
      <c r="H70" s="1270"/>
      <c r="I70" s="1270"/>
      <c r="J70" s="1270"/>
      <c r="K70" s="1270"/>
      <c r="L70" s="1270"/>
      <c r="M70" s="1270"/>
      <c r="N70" s="1270"/>
      <c r="O70" s="1270"/>
      <c r="P70" s="1270"/>
      <c r="Q70" s="1270"/>
      <c r="R70" s="1270"/>
      <c r="S70" s="1270"/>
      <c r="T70" s="1270"/>
      <c r="U70" s="1270"/>
      <c r="V70" s="1270"/>
      <c r="W70" s="1270"/>
      <c r="X70" s="1270"/>
      <c r="Y70" s="1270"/>
      <c r="Z70" s="1270"/>
      <c r="AA70" s="1270"/>
      <c r="AB70" s="1270"/>
      <c r="AC70" s="1270"/>
      <c r="AD70" s="1270"/>
      <c r="AE70" s="1270"/>
      <c r="AF70" s="1270"/>
      <c r="AG70" s="1270"/>
      <c r="AH70" s="1270"/>
      <c r="AI70" s="1270"/>
      <c r="AJ70" s="1270"/>
      <c r="AK70" s="1270"/>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70" t="s">
        <v>1274</v>
      </c>
      <c r="H72" s="1270"/>
      <c r="I72" s="1270"/>
      <c r="J72" s="1270"/>
      <c r="K72" s="1270"/>
      <c r="L72" s="1270"/>
      <c r="M72" s="1270"/>
      <c r="N72" s="1270"/>
      <c r="O72" s="1270"/>
      <c r="P72" s="1270"/>
      <c r="Q72" s="1270"/>
      <c r="R72" s="1270"/>
      <c r="S72" s="1270"/>
      <c r="T72" s="1270"/>
      <c r="U72" s="1270"/>
      <c r="V72" s="1270"/>
      <c r="W72" s="1270"/>
      <c r="X72" s="1270"/>
      <c r="Y72" s="1270"/>
      <c r="Z72" s="1270"/>
      <c r="AA72" s="1270"/>
      <c r="AB72" s="1270"/>
      <c r="AC72" s="1270"/>
      <c r="AD72" s="1270"/>
      <c r="AE72" s="1270"/>
      <c r="AF72" s="1270"/>
      <c r="AG72" s="1270"/>
      <c r="AH72" s="1270"/>
      <c r="AI72" s="1270"/>
      <c r="AJ72" s="1270"/>
      <c r="AK72" s="1270"/>
    </row>
    <row r="73" spans="1:37">
      <c r="A73" s="4"/>
      <c r="C73" s="2"/>
      <c r="D73" s="4"/>
      <c r="E73" s="4"/>
      <c r="F73" s="8"/>
      <c r="G73" s="1270"/>
      <c r="H73" s="1270"/>
      <c r="I73" s="1270"/>
      <c r="J73" s="1270"/>
      <c r="K73" s="1270"/>
      <c r="L73" s="1270"/>
      <c r="M73" s="1270"/>
      <c r="N73" s="1270"/>
      <c r="O73" s="1270"/>
      <c r="P73" s="1270"/>
      <c r="Q73" s="1270"/>
      <c r="R73" s="1270"/>
      <c r="S73" s="1270"/>
      <c r="T73" s="1270"/>
      <c r="U73" s="1270"/>
      <c r="V73" s="1270"/>
      <c r="W73" s="1270"/>
      <c r="X73" s="1270"/>
      <c r="Y73" s="1270"/>
      <c r="Z73" s="1270"/>
      <c r="AA73" s="1270"/>
      <c r="AB73" s="1270"/>
      <c r="AC73" s="1270"/>
      <c r="AD73" s="1270"/>
      <c r="AE73" s="1270"/>
      <c r="AF73" s="1270"/>
      <c r="AG73" s="1270"/>
      <c r="AH73" s="1270"/>
      <c r="AI73" s="1270"/>
      <c r="AJ73" s="1270"/>
      <c r="AK73" s="1270"/>
    </row>
    <row r="74" spans="1:37">
      <c r="A74" s="4"/>
      <c r="C74" s="2"/>
      <c r="D74" s="4"/>
      <c r="E74" s="4"/>
      <c r="F74" s="8" t="s">
        <v>517</v>
      </c>
      <c r="G74" s="1270" t="s">
        <v>1275</v>
      </c>
      <c r="H74" s="1270"/>
      <c r="I74" s="1270"/>
      <c r="J74" s="1270"/>
      <c r="K74" s="1270"/>
      <c r="L74" s="1270"/>
      <c r="M74" s="1270"/>
      <c r="N74" s="1270"/>
      <c r="O74" s="1270"/>
      <c r="P74" s="1270"/>
      <c r="Q74" s="1270"/>
      <c r="R74" s="1270"/>
      <c r="S74" s="1270"/>
      <c r="T74" s="1270"/>
      <c r="U74" s="1270"/>
      <c r="V74" s="1270"/>
      <c r="W74" s="1270"/>
      <c r="X74" s="1270"/>
      <c r="Y74" s="1270"/>
      <c r="Z74" s="1270"/>
      <c r="AA74" s="1270"/>
      <c r="AB74" s="1270"/>
      <c r="AC74" s="1270"/>
      <c r="AD74" s="1270"/>
      <c r="AE74" s="1270"/>
      <c r="AF74" s="1270"/>
      <c r="AG74" s="1270"/>
      <c r="AH74" s="1270"/>
      <c r="AI74" s="1270"/>
      <c r="AJ74" s="1270"/>
      <c r="AK74" s="1270"/>
    </row>
    <row r="75" spans="1:37">
      <c r="A75" s="4"/>
      <c r="C75" s="2"/>
      <c r="D75" s="4"/>
      <c r="E75" s="4"/>
      <c r="F75" s="8"/>
      <c r="G75" s="1270"/>
      <c r="H75" s="1270"/>
      <c r="I75" s="1270"/>
      <c r="J75" s="1270"/>
      <c r="K75" s="1270"/>
      <c r="L75" s="1270"/>
      <c r="M75" s="1270"/>
      <c r="N75" s="1270"/>
      <c r="O75" s="1270"/>
      <c r="P75" s="1270"/>
      <c r="Q75" s="1270"/>
      <c r="R75" s="1270"/>
      <c r="S75" s="1270"/>
      <c r="T75" s="1270"/>
      <c r="U75" s="1270"/>
      <c r="V75" s="1270"/>
      <c r="W75" s="1270"/>
      <c r="X75" s="1270"/>
      <c r="Y75" s="1270"/>
      <c r="Z75" s="1270"/>
      <c r="AA75" s="1270"/>
      <c r="AB75" s="1270"/>
      <c r="AC75" s="1270"/>
      <c r="AD75" s="1270"/>
      <c r="AE75" s="1270"/>
      <c r="AF75" s="1270"/>
      <c r="AG75" s="1270"/>
      <c r="AH75" s="1270"/>
      <c r="AI75" s="1270"/>
      <c r="AJ75" s="1270"/>
      <c r="AK75" s="1270"/>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70" t="s">
        <v>1276</v>
      </c>
      <c r="H82" s="1270"/>
      <c r="I82" s="1270"/>
      <c r="J82" s="1270"/>
      <c r="K82" s="1270"/>
      <c r="L82" s="1270"/>
      <c r="M82" s="1270"/>
      <c r="N82" s="1270"/>
      <c r="O82" s="1270"/>
      <c r="P82" s="1270"/>
      <c r="Q82" s="1270"/>
      <c r="R82" s="1270"/>
      <c r="S82" s="1270"/>
      <c r="T82" s="1270"/>
      <c r="U82" s="1270"/>
      <c r="V82" s="1270"/>
      <c r="W82" s="1270"/>
      <c r="X82" s="1270"/>
      <c r="Y82" s="1270"/>
      <c r="Z82" s="1270"/>
      <c r="AA82" s="1270"/>
      <c r="AB82" s="1270"/>
      <c r="AC82" s="1270"/>
      <c r="AD82" s="1270"/>
      <c r="AE82" s="1270"/>
      <c r="AF82" s="1270"/>
      <c r="AG82" s="1270"/>
      <c r="AH82" s="1270"/>
      <c r="AI82" s="1270"/>
      <c r="AJ82" s="1270"/>
      <c r="AK82" s="1270"/>
    </row>
    <row r="83" spans="1:37">
      <c r="A83" s="4"/>
      <c r="C83" s="2"/>
      <c r="D83" s="4"/>
      <c r="E83" s="4"/>
      <c r="F83" s="4"/>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row>
    <row r="84" spans="1:37">
      <c r="A84" s="4"/>
      <c r="C84" s="2"/>
      <c r="D84" s="4"/>
      <c r="E84" s="4"/>
      <c r="F84" s="4"/>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70" t="s">
        <v>1277</v>
      </c>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row>
    <row r="87" spans="1:37">
      <c r="A87" s="4"/>
      <c r="C87" s="2"/>
      <c r="D87" s="4"/>
      <c r="E87" s="4"/>
      <c r="F87" s="4"/>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row>
    <row r="88" spans="1:37">
      <c r="A88" s="4"/>
      <c r="C88" s="2"/>
      <c r="D88" s="4"/>
      <c r="E88" s="4"/>
      <c r="G88" s="1270"/>
      <c r="H88" s="1270"/>
      <c r="I88" s="1270"/>
      <c r="J88" s="1270"/>
      <c r="K88" s="1270"/>
      <c r="L88" s="1270"/>
      <c r="M88" s="1270"/>
      <c r="N88" s="1270"/>
      <c r="O88" s="1270"/>
      <c r="P88" s="1270"/>
      <c r="Q88" s="1270"/>
      <c r="R88" s="1270"/>
      <c r="S88" s="1270"/>
      <c r="T88" s="1270"/>
      <c r="U88" s="1270"/>
      <c r="V88" s="1270"/>
      <c r="W88" s="1270"/>
      <c r="X88" s="1270"/>
      <c r="Y88" s="1270"/>
      <c r="Z88" s="1270"/>
      <c r="AA88" s="1270"/>
      <c r="AB88" s="1270"/>
      <c r="AC88" s="1270"/>
      <c r="AD88" s="1270"/>
      <c r="AE88" s="1270"/>
      <c r="AF88" s="1270"/>
      <c r="AG88" s="1270"/>
      <c r="AH88" s="1270"/>
      <c r="AI88" s="1270"/>
      <c r="AJ88" s="1270"/>
      <c r="AK88" s="1270"/>
    </row>
    <row r="89" spans="1:37">
      <c r="A89" s="4"/>
      <c r="C89" s="2"/>
      <c r="D89" s="4"/>
      <c r="E89" s="4" t="s">
        <v>263</v>
      </c>
      <c r="F89" t="s">
        <v>877</v>
      </c>
      <c r="G89" s="4"/>
      <c r="L89" s="4"/>
      <c r="M89" s="4"/>
      <c r="P89" s="4"/>
      <c r="Q89" s="4"/>
      <c r="R89" s="4"/>
      <c r="S89" s="4"/>
      <c r="T89" s="4"/>
      <c r="U89" s="4"/>
      <c r="V89" s="4"/>
      <c r="W89" s="4"/>
      <c r="X89" s="4"/>
      <c r="Y89" s="4"/>
      <c r="Z89" s="4"/>
      <c r="AA89" s="4"/>
      <c r="AB89" s="4"/>
    </row>
    <row r="90" spans="1:37">
      <c r="A90" s="4"/>
      <c r="C90" s="2"/>
      <c r="D90" s="4"/>
      <c r="E90" s="4"/>
      <c r="G90" s="1279" t="s">
        <v>1278</v>
      </c>
      <c r="H90" s="1279"/>
      <c r="I90" s="1279"/>
      <c r="J90" s="1279"/>
      <c r="K90" s="1279"/>
      <c r="L90" s="1279"/>
      <c r="M90" s="1279"/>
      <c r="N90" s="1279"/>
      <c r="O90" s="1279"/>
      <c r="P90" s="1279"/>
      <c r="Q90" s="1279"/>
      <c r="R90" s="1279"/>
      <c r="S90" s="1279"/>
      <c r="T90" s="1279"/>
      <c r="U90" s="1279"/>
      <c r="V90" s="1279"/>
      <c r="W90" s="1279"/>
      <c r="X90" s="1279"/>
      <c r="Y90" s="1279"/>
      <c r="Z90" s="1279"/>
      <c r="AA90" s="1279"/>
      <c r="AB90" s="1279"/>
      <c r="AC90" s="1279"/>
      <c r="AD90" s="1279"/>
      <c r="AE90" s="1279"/>
      <c r="AF90" s="1279"/>
      <c r="AG90" s="1279"/>
      <c r="AH90" s="1279"/>
      <c r="AI90" s="1279"/>
      <c r="AJ90" s="1279"/>
      <c r="AK90" s="1279"/>
    </row>
    <row r="91" spans="1:37">
      <c r="A91" s="4"/>
      <c r="C91" s="2"/>
      <c r="D91" s="4"/>
      <c r="E91" s="4"/>
      <c r="G91" s="1279"/>
      <c r="H91" s="1279"/>
      <c r="I91" s="1279"/>
      <c r="J91" s="1279"/>
      <c r="K91" s="1279"/>
      <c r="L91" s="1279"/>
      <c r="M91" s="1279"/>
      <c r="N91" s="1279"/>
      <c r="O91" s="1279"/>
      <c r="P91" s="1279"/>
      <c r="Q91" s="1279"/>
      <c r="R91" s="1279"/>
      <c r="S91" s="1279"/>
      <c r="T91" s="1279"/>
      <c r="U91" s="1279"/>
      <c r="V91" s="1279"/>
      <c r="W91" s="1279"/>
      <c r="X91" s="1279"/>
      <c r="Y91" s="1279"/>
      <c r="Z91" s="1279"/>
      <c r="AA91" s="1279"/>
      <c r="AB91" s="1279"/>
      <c r="AC91" s="1279"/>
      <c r="AD91" s="1279"/>
      <c r="AE91" s="1279"/>
      <c r="AF91" s="1279"/>
      <c r="AG91" s="1279"/>
      <c r="AH91" s="1279"/>
      <c r="AI91" s="1279"/>
      <c r="AJ91" s="1279"/>
      <c r="AK91" s="1279"/>
    </row>
    <row r="92" spans="1:37">
      <c r="A92" s="4"/>
      <c r="C92" s="2"/>
      <c r="D92" s="4"/>
      <c r="E92" s="4"/>
      <c r="G92" s="1279"/>
      <c r="H92" s="1279"/>
      <c r="I92" s="1279"/>
      <c r="J92" s="1279"/>
      <c r="K92" s="1279"/>
      <c r="L92" s="1279"/>
      <c r="M92" s="1279"/>
      <c r="N92" s="1279"/>
      <c r="O92" s="1279"/>
      <c r="P92" s="1279"/>
      <c r="Q92" s="1279"/>
      <c r="R92" s="1279"/>
      <c r="S92" s="1279"/>
      <c r="T92" s="1279"/>
      <c r="U92" s="1279"/>
      <c r="V92" s="1279"/>
      <c r="W92" s="1279"/>
      <c r="X92" s="1279"/>
      <c r="Y92" s="1279"/>
      <c r="Z92" s="1279"/>
      <c r="AA92" s="1279"/>
      <c r="AB92" s="1279"/>
      <c r="AC92" s="1279"/>
      <c r="AD92" s="1279"/>
      <c r="AE92" s="1279"/>
      <c r="AF92" s="1279"/>
      <c r="AG92" s="1279"/>
      <c r="AH92" s="1279"/>
      <c r="AI92" s="1279"/>
      <c r="AJ92" s="1279"/>
      <c r="AK92" s="1279"/>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70" t="s">
        <v>1279</v>
      </c>
      <c r="H94" s="1270"/>
      <c r="I94" s="1270"/>
      <c r="J94" s="1270"/>
      <c r="K94" s="1270"/>
      <c r="L94" s="1270"/>
      <c r="M94" s="1270"/>
      <c r="N94" s="1270"/>
      <c r="O94" s="1270"/>
      <c r="P94" s="1270"/>
      <c r="Q94" s="1270"/>
      <c r="R94" s="1270"/>
      <c r="S94" s="1270"/>
      <c r="T94" s="1270"/>
      <c r="U94" s="1270"/>
      <c r="V94" s="1270"/>
      <c r="W94" s="1270"/>
      <c r="X94" s="1270"/>
      <c r="Y94" s="1270"/>
      <c r="Z94" s="1270"/>
      <c r="AA94" s="1270"/>
      <c r="AB94" s="1270"/>
      <c r="AC94" s="1270"/>
      <c r="AD94" s="1270"/>
      <c r="AE94" s="1270"/>
      <c r="AF94" s="1270"/>
      <c r="AG94" s="1270"/>
      <c r="AH94" s="1270"/>
      <c r="AI94" s="1270"/>
      <c r="AJ94" s="1270"/>
      <c r="AK94" s="1270"/>
    </row>
    <row r="95" spans="1:37">
      <c r="A95" s="4"/>
      <c r="C95" s="2"/>
      <c r="D95" s="4"/>
      <c r="E95" s="4"/>
      <c r="G95" s="1270"/>
      <c r="H95" s="1270"/>
      <c r="I95" s="1270"/>
      <c r="J95" s="1270"/>
      <c r="K95" s="1270"/>
      <c r="L95" s="1270"/>
      <c r="M95" s="1270"/>
      <c r="N95" s="1270"/>
      <c r="O95" s="1270"/>
      <c r="P95" s="1270"/>
      <c r="Q95" s="1270"/>
      <c r="R95" s="1270"/>
      <c r="S95" s="1270"/>
      <c r="T95" s="1270"/>
      <c r="U95" s="1270"/>
      <c r="V95" s="1270"/>
      <c r="W95" s="1270"/>
      <c r="X95" s="1270"/>
      <c r="Y95" s="1270"/>
      <c r="Z95" s="1270"/>
      <c r="AA95" s="1270"/>
      <c r="AB95" s="1270"/>
      <c r="AC95" s="1270"/>
      <c r="AD95" s="1270"/>
      <c r="AE95" s="1270"/>
      <c r="AF95" s="1270"/>
      <c r="AG95" s="1270"/>
      <c r="AH95" s="1270"/>
      <c r="AI95" s="1270"/>
      <c r="AJ95" s="1270"/>
      <c r="AK95" s="1270"/>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70" t="s">
        <v>1280</v>
      </c>
      <c r="H97" s="1270"/>
      <c r="I97" s="1270"/>
      <c r="J97" s="1270"/>
      <c r="K97" s="1270"/>
      <c r="L97" s="1270"/>
      <c r="M97" s="1270"/>
      <c r="N97" s="1270"/>
      <c r="O97" s="1270"/>
      <c r="P97" s="1270"/>
      <c r="Q97" s="1270"/>
      <c r="R97" s="1270"/>
      <c r="S97" s="1270"/>
      <c r="T97" s="1270"/>
      <c r="U97" s="1270"/>
      <c r="V97" s="1270"/>
      <c r="W97" s="1270"/>
      <c r="X97" s="1270"/>
      <c r="Y97" s="1270"/>
      <c r="Z97" s="1270"/>
      <c r="AA97" s="1270"/>
      <c r="AB97" s="1270"/>
      <c r="AC97" s="1270"/>
      <c r="AD97" s="1270"/>
      <c r="AE97" s="1270"/>
      <c r="AF97" s="1270"/>
      <c r="AG97" s="1270"/>
      <c r="AH97" s="1270"/>
      <c r="AI97" s="1270"/>
      <c r="AJ97" s="1270"/>
      <c r="AK97" s="1270"/>
    </row>
    <row r="98" spans="1:38">
      <c r="A98" s="4"/>
      <c r="C98" s="2"/>
      <c r="D98" s="4"/>
      <c r="E98" s="4"/>
      <c r="G98" s="1270"/>
      <c r="H98" s="1270"/>
      <c r="I98" s="1270"/>
      <c r="J98" s="1270"/>
      <c r="K98" s="1270"/>
      <c r="L98" s="1270"/>
      <c r="M98" s="1270"/>
      <c r="N98" s="1270"/>
      <c r="O98" s="1270"/>
      <c r="P98" s="1270"/>
      <c r="Q98" s="1270"/>
      <c r="R98" s="1270"/>
      <c r="S98" s="1270"/>
      <c r="T98" s="1270"/>
      <c r="U98" s="1270"/>
      <c r="V98" s="1270"/>
      <c r="W98" s="1270"/>
      <c r="X98" s="1270"/>
      <c r="Y98" s="1270"/>
      <c r="Z98" s="1270"/>
      <c r="AA98" s="1270"/>
      <c r="AB98" s="1270"/>
      <c r="AC98" s="1270"/>
      <c r="AD98" s="1270"/>
      <c r="AE98" s="1270"/>
      <c r="AF98" s="1270"/>
      <c r="AG98" s="1270"/>
      <c r="AH98" s="1270"/>
      <c r="AI98" s="1270"/>
      <c r="AJ98" s="1270"/>
      <c r="AK98" s="1270"/>
    </row>
    <row r="99" spans="1:38">
      <c r="A99" s="4"/>
      <c r="C99" s="2"/>
      <c r="D99" s="4"/>
      <c r="E99" s="4"/>
      <c r="G99" s="1270"/>
      <c r="H99" s="1270"/>
      <c r="I99" s="1270"/>
      <c r="J99" s="1270"/>
      <c r="K99" s="1270"/>
      <c r="L99" s="1270"/>
      <c r="M99" s="1270"/>
      <c r="N99" s="1270"/>
      <c r="O99" s="1270"/>
      <c r="P99" s="1270"/>
      <c r="Q99" s="1270"/>
      <c r="R99" s="1270"/>
      <c r="S99" s="1270"/>
      <c r="T99" s="1270"/>
      <c r="U99" s="1270"/>
      <c r="V99" s="1270"/>
      <c r="W99" s="1270"/>
      <c r="X99" s="1270"/>
      <c r="Y99" s="1270"/>
      <c r="Z99" s="1270"/>
      <c r="AA99" s="1270"/>
      <c r="AB99" s="1270"/>
      <c r="AC99" s="1270"/>
      <c r="AD99" s="1270"/>
      <c r="AE99" s="1270"/>
      <c r="AF99" s="1270"/>
      <c r="AG99" s="1270"/>
      <c r="AH99" s="1270"/>
      <c r="AI99" s="1270"/>
      <c r="AJ99" s="1270"/>
      <c r="AK99" s="1270"/>
    </row>
    <row r="100" spans="1:38">
      <c r="A100" s="4"/>
      <c r="D100" s="99"/>
      <c r="E100" s="1280" t="s">
        <v>1281</v>
      </c>
      <c r="F100" s="1280"/>
      <c r="G100" s="1280"/>
      <c r="H100" s="1280"/>
      <c r="I100" s="1280"/>
      <c r="J100" s="1280"/>
      <c r="K100" s="1280"/>
      <c r="L100" s="1280"/>
      <c r="M100" s="1280"/>
      <c r="N100" s="1280"/>
      <c r="O100" s="1280"/>
      <c r="P100" s="1280"/>
      <c r="Q100" s="1280"/>
      <c r="R100" s="1280"/>
      <c r="S100" s="1280"/>
      <c r="T100" s="1280"/>
      <c r="U100" s="1280"/>
      <c r="V100" s="1280"/>
      <c r="W100" s="1280"/>
      <c r="X100" s="1280"/>
      <c r="Y100" s="1280"/>
      <c r="Z100" s="1280"/>
      <c r="AA100" s="1280"/>
      <c r="AB100" s="1280"/>
      <c r="AC100" s="1280"/>
      <c r="AD100" s="1280"/>
      <c r="AE100" s="1280"/>
      <c r="AF100" s="1280"/>
      <c r="AG100" s="1280"/>
      <c r="AH100" s="1280"/>
      <c r="AI100" s="1280"/>
      <c r="AJ100" s="1280"/>
      <c r="AK100" s="1280"/>
    </row>
    <row r="101" spans="1:38">
      <c r="A101" s="4"/>
      <c r="D101" s="99"/>
      <c r="E101" s="1280"/>
      <c r="F101" s="1280"/>
      <c r="G101" s="1280"/>
      <c r="H101" s="1280"/>
      <c r="I101" s="1280"/>
      <c r="J101" s="1280"/>
      <c r="K101" s="1280"/>
      <c r="L101" s="1280"/>
      <c r="M101" s="1280"/>
      <c r="N101" s="1280"/>
      <c r="O101" s="1280"/>
      <c r="P101" s="1280"/>
      <c r="Q101" s="1280"/>
      <c r="R101" s="1280"/>
      <c r="S101" s="1280"/>
      <c r="T101" s="1280"/>
      <c r="U101" s="1280"/>
      <c r="V101" s="1280"/>
      <c r="W101" s="1280"/>
      <c r="X101" s="1280"/>
      <c r="Y101" s="1280"/>
      <c r="Z101" s="1280"/>
      <c r="AA101" s="1280"/>
      <c r="AB101" s="1280"/>
      <c r="AC101" s="1280"/>
      <c r="AD101" s="1280"/>
      <c r="AE101" s="1280"/>
      <c r="AF101" s="1280"/>
      <c r="AG101" s="1280"/>
      <c r="AH101" s="1280"/>
      <c r="AI101" s="1280"/>
      <c r="AJ101" s="1280"/>
      <c r="AK101" s="1280"/>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1292</v>
      </c>
      <c r="H105" s="2"/>
      <c r="I105" s="2"/>
      <c r="K105" s="2"/>
    </row>
    <row r="106" spans="1:38">
      <c r="B106" s="2"/>
      <c r="C106" s="2"/>
      <c r="D106" s="2" t="s">
        <v>208</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379</v>
      </c>
    </row>
    <row r="123" spans="2:16">
      <c r="E123" s="4"/>
      <c r="F123" s="4" t="s">
        <v>1031</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942</v>
      </c>
      <c r="F127" s="4"/>
    </row>
    <row r="128" spans="2:16"/>
    <row r="129" spans="4:37">
      <c r="D129" s="2" t="s">
        <v>342</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806</v>
      </c>
    </row>
    <row r="150" spans="3:7"/>
    <row r="151" spans="3:7">
      <c r="D151" s="2" t="s">
        <v>342</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304</v>
      </c>
      <c r="E163" s="2" t="s">
        <v>382</v>
      </c>
    </row>
    <row r="164" spans="3:20">
      <c r="E164" s="4" t="s">
        <v>948</v>
      </c>
      <c r="F164" s="4"/>
    </row>
    <row r="165" spans="3:20"/>
    <row r="166" spans="3:20">
      <c r="D166" s="2" t="s">
        <v>430</v>
      </c>
      <c r="E166" s="2" t="s">
        <v>172</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298</v>
      </c>
    </row>
    <row r="173" spans="3:20">
      <c r="F173" s="4"/>
    </row>
    <row r="174" spans="3:20">
      <c r="C174" s="2" t="s">
        <v>7</v>
      </c>
      <c r="E174" s="4"/>
      <c r="G174" s="2" t="s">
        <v>383</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342</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70" t="s">
        <v>1282</v>
      </c>
      <c r="H207" s="1270"/>
      <c r="I207" s="1270"/>
      <c r="J207" s="1270"/>
      <c r="K207" s="1270"/>
      <c r="L207" s="1270"/>
      <c r="M207" s="1270"/>
      <c r="N207" s="1270"/>
      <c r="O207" s="1270"/>
      <c r="P207" s="1270"/>
      <c r="Q207" s="1270"/>
      <c r="R207" s="1270"/>
      <c r="S207" s="1270"/>
      <c r="T207" s="1270"/>
      <c r="U207" s="1270"/>
      <c r="V207" s="1270"/>
      <c r="W207" s="1270"/>
      <c r="X207" s="1270"/>
      <c r="Y207" s="1270"/>
      <c r="Z207" s="1270"/>
      <c r="AA207" s="1270"/>
      <c r="AB207" s="1270"/>
      <c r="AC207" s="1270"/>
      <c r="AD207" s="1270"/>
      <c r="AE207" s="1270"/>
      <c r="AF207" s="1270"/>
      <c r="AG207" s="1270"/>
      <c r="AH207" s="1270"/>
      <c r="AI207" s="1270"/>
      <c r="AJ207" s="1270"/>
      <c r="AK207" s="1270"/>
    </row>
    <row r="208" spans="2:37">
      <c r="B208" s="4"/>
      <c r="C208" s="4"/>
      <c r="D208" s="2"/>
      <c r="G208" s="1270"/>
      <c r="H208" s="1270"/>
      <c r="I208" s="1270"/>
      <c r="J208" s="1270"/>
      <c r="K208" s="1270"/>
      <c r="L208" s="1270"/>
      <c r="M208" s="1270"/>
      <c r="N208" s="1270"/>
      <c r="O208" s="1270"/>
      <c r="P208" s="1270"/>
      <c r="Q208" s="1270"/>
      <c r="R208" s="1270"/>
      <c r="S208" s="1270"/>
      <c r="T208" s="1270"/>
      <c r="U208" s="1270"/>
      <c r="V208" s="1270"/>
      <c r="W208" s="1270"/>
      <c r="X208" s="1270"/>
      <c r="Y208" s="1270"/>
      <c r="Z208" s="1270"/>
      <c r="AA208" s="1270"/>
      <c r="AB208" s="1270"/>
      <c r="AC208" s="1270"/>
      <c r="AD208" s="1270"/>
      <c r="AE208" s="1270"/>
      <c r="AF208" s="1270"/>
      <c r="AG208" s="1270"/>
      <c r="AH208" s="1270"/>
      <c r="AI208" s="1270"/>
      <c r="AJ208" s="1270"/>
      <c r="AK208" s="1270"/>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349</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349</v>
      </c>
      <c r="G244" s="136" t="s">
        <v>962</v>
      </c>
      <c r="I244" s="4"/>
      <c r="M244" s="4"/>
      <c r="N244" s="4"/>
      <c r="O244" s="4"/>
      <c r="P244" s="4"/>
      <c r="Q244" s="4"/>
      <c r="R244" s="4"/>
      <c r="S244" s="4"/>
    </row>
    <row r="245" spans="2:21">
      <c r="B245" s="4"/>
      <c r="C245" s="4"/>
      <c r="F245" s="4" t="s">
        <v>350</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661</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349</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661</v>
      </c>
      <c r="G293" s="4" t="s">
        <v>261</v>
      </c>
      <c r="K293" s="4"/>
      <c r="L293" s="4"/>
      <c r="M293" s="4"/>
      <c r="N293" s="4"/>
      <c r="O293" s="4"/>
      <c r="P293" s="4"/>
      <c r="Q293" s="4"/>
      <c r="R293" s="4"/>
      <c r="S293" s="4"/>
      <c r="T293" s="4"/>
      <c r="U293" s="4"/>
      <c r="V293" s="4"/>
      <c r="W293" s="4"/>
    </row>
    <row r="294" spans="2:23">
      <c r="B294" s="2"/>
      <c r="D294" s="4"/>
      <c r="E294" s="4"/>
      <c r="F294" s="4" t="s">
        <v>349</v>
      </c>
      <c r="G294" s="4" t="s">
        <v>959</v>
      </c>
      <c r="H294" s="4"/>
      <c r="K294" s="4"/>
      <c r="L294" s="4"/>
      <c r="M294" s="4"/>
      <c r="N294" s="4"/>
      <c r="O294" s="4"/>
      <c r="P294" s="4"/>
      <c r="Q294" s="4"/>
      <c r="R294" s="4"/>
      <c r="S294" s="4"/>
      <c r="T294" s="4"/>
      <c r="U294" s="4"/>
      <c r="V294" s="4"/>
      <c r="W294" s="4"/>
    </row>
    <row r="295" spans="2:23">
      <c r="B295" s="2"/>
      <c r="D295" s="4"/>
      <c r="E295" s="4"/>
      <c r="F295" s="4" t="s">
        <v>350</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342</v>
      </c>
      <c r="E316" s="2" t="s">
        <v>760</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70" t="s">
        <v>1257</v>
      </c>
      <c r="G338" s="1270"/>
      <c r="H338" s="1270"/>
      <c r="I338" s="1270"/>
      <c r="J338" s="1270"/>
      <c r="K338" s="1270"/>
      <c r="L338" s="1270"/>
      <c r="M338" s="1270"/>
      <c r="N338" s="1270"/>
      <c r="O338" s="1270"/>
      <c r="P338" s="1270"/>
      <c r="Q338" s="1270"/>
      <c r="R338" s="1270"/>
      <c r="S338" s="1270"/>
      <c r="T338" s="1270"/>
      <c r="U338" s="1270"/>
      <c r="V338" s="1270"/>
      <c r="W338" s="1270"/>
      <c r="X338" s="1270"/>
      <c r="Y338" s="1270"/>
      <c r="Z338" s="1270"/>
      <c r="AA338" s="1270"/>
      <c r="AB338" s="1270"/>
      <c r="AC338" s="1270"/>
      <c r="AD338" s="1270"/>
      <c r="AE338" s="1270"/>
      <c r="AF338" s="1270"/>
      <c r="AG338" s="1270"/>
      <c r="AH338" s="1270"/>
      <c r="AI338" s="1270"/>
      <c r="AJ338" s="1270"/>
      <c r="AK338" s="1270"/>
    </row>
    <row r="339" spans="2:37">
      <c r="B339" s="2"/>
      <c r="E339" s="4"/>
      <c r="F339" s="1270"/>
      <c r="G339" s="1270"/>
      <c r="H339" s="1270"/>
      <c r="I339" s="1270"/>
      <c r="J339" s="1270"/>
      <c r="K339" s="1270"/>
      <c r="L339" s="1270"/>
      <c r="M339" s="1270"/>
      <c r="N339" s="1270"/>
      <c r="O339" s="1270"/>
      <c r="P339" s="1270"/>
      <c r="Q339" s="1270"/>
      <c r="R339" s="1270"/>
      <c r="S339" s="1270"/>
      <c r="T339" s="1270"/>
      <c r="U339" s="1270"/>
      <c r="V339" s="1270"/>
      <c r="W339" s="1270"/>
      <c r="X339" s="1270"/>
      <c r="Y339" s="1270"/>
      <c r="Z339" s="1270"/>
      <c r="AA339" s="1270"/>
      <c r="AB339" s="1270"/>
      <c r="AC339" s="1270"/>
      <c r="AD339" s="1270"/>
      <c r="AE339" s="1270"/>
      <c r="AF339" s="1270"/>
      <c r="AG339" s="1270"/>
      <c r="AH339" s="1270"/>
      <c r="AI339" s="1270"/>
      <c r="AJ339" s="1270"/>
      <c r="AK339" s="1270"/>
    </row>
    <row r="340" spans="2:37">
      <c r="B340" s="2"/>
      <c r="E340" s="4"/>
      <c r="F340" s="1270"/>
      <c r="G340" s="1270"/>
      <c r="H340" s="1270"/>
      <c r="I340" s="1270"/>
      <c r="J340" s="1270"/>
      <c r="K340" s="1270"/>
      <c r="L340" s="1270"/>
      <c r="M340" s="1270"/>
      <c r="N340" s="1270"/>
      <c r="O340" s="1270"/>
      <c r="P340" s="1270"/>
      <c r="Q340" s="1270"/>
      <c r="R340" s="1270"/>
      <c r="S340" s="1270"/>
      <c r="T340" s="1270"/>
      <c r="U340" s="1270"/>
      <c r="V340" s="1270"/>
      <c r="W340" s="1270"/>
      <c r="X340" s="1270"/>
      <c r="Y340" s="1270"/>
      <c r="Z340" s="1270"/>
      <c r="AA340" s="1270"/>
      <c r="AB340" s="1270"/>
      <c r="AC340" s="1270"/>
      <c r="AD340" s="1270"/>
      <c r="AE340" s="1270"/>
      <c r="AF340" s="1270"/>
      <c r="AG340" s="1270"/>
      <c r="AH340" s="1270"/>
      <c r="AI340" s="1270"/>
      <c r="AJ340" s="1270"/>
      <c r="AK340" s="1270"/>
    </row>
    <row r="341" spans="2:37">
      <c r="B341" s="2"/>
      <c r="F341" s="4"/>
      <c r="H341" s="4"/>
      <c r="I341" s="4"/>
      <c r="J341" s="4"/>
      <c r="K341" s="4"/>
      <c r="L341" s="4"/>
      <c r="M341" s="4"/>
      <c r="N341" s="4"/>
      <c r="O341" s="4"/>
      <c r="P341" s="4"/>
      <c r="Q341" s="4"/>
      <c r="R341" s="4"/>
      <c r="S341" s="4"/>
    </row>
    <row r="342" spans="2:37">
      <c r="B342" s="2"/>
      <c r="C342" s="2" t="s">
        <v>432</v>
      </c>
      <c r="G342" s="2" t="s">
        <v>1335</v>
      </c>
      <c r="I342" s="2"/>
      <c r="J342" s="4"/>
      <c r="K342" s="4"/>
      <c r="L342" s="4"/>
      <c r="M342" s="4"/>
      <c r="N342" s="4"/>
      <c r="O342" s="4"/>
      <c r="P342" s="4"/>
      <c r="Q342" s="4"/>
      <c r="R342" s="4"/>
      <c r="S342" s="4"/>
    </row>
    <row r="343" spans="2:37" ht="13.15" customHeight="1">
      <c r="B343" s="2"/>
      <c r="E343" s="1272" t="s">
        <v>1342</v>
      </c>
      <c r="F343" s="1272"/>
      <c r="G343" s="1272"/>
      <c r="H343" s="1272"/>
      <c r="I343" s="1272"/>
      <c r="J343" s="1272"/>
      <c r="K343" s="1272"/>
      <c r="L343" s="1272"/>
      <c r="M343" s="1272"/>
      <c r="N343" s="1272"/>
      <c r="O343" s="1272"/>
      <c r="P343" s="1272"/>
      <c r="Q343" s="1272"/>
      <c r="R343" s="1272"/>
      <c r="S343" s="1272"/>
      <c r="T343" s="1272"/>
      <c r="U343" s="1272"/>
      <c r="V343" s="1272"/>
      <c r="W343" s="1272"/>
      <c r="X343" s="1272"/>
      <c r="Y343" s="1272"/>
      <c r="Z343" s="1272"/>
      <c r="AA343" s="1272"/>
      <c r="AB343" s="1272"/>
      <c r="AC343" s="1272"/>
      <c r="AD343" s="1272"/>
      <c r="AE343" s="1272"/>
      <c r="AF343" s="1272"/>
      <c r="AG343" s="1272"/>
      <c r="AH343" s="1272"/>
      <c r="AI343" s="1272"/>
      <c r="AJ343" s="1272"/>
      <c r="AK343" s="1272"/>
    </row>
    <row r="344" spans="2:37">
      <c r="B344" s="2"/>
      <c r="E344" s="1272"/>
      <c r="F344" s="1272"/>
      <c r="G344" s="1272"/>
      <c r="H344" s="1272"/>
      <c r="I344" s="1272"/>
      <c r="J344" s="1272"/>
      <c r="K344" s="1272"/>
      <c r="L344" s="1272"/>
      <c r="M344" s="1272"/>
      <c r="N344" s="1272"/>
      <c r="O344" s="1272"/>
      <c r="P344" s="1272"/>
      <c r="Q344" s="1272"/>
      <c r="R344" s="1272"/>
      <c r="S344" s="1272"/>
      <c r="T344" s="1272"/>
      <c r="U344" s="1272"/>
      <c r="V344" s="1272"/>
      <c r="W344" s="1272"/>
      <c r="X344" s="1272"/>
      <c r="Y344" s="1272"/>
      <c r="Z344" s="1272"/>
      <c r="AA344" s="1272"/>
      <c r="AB344" s="1272"/>
      <c r="AC344" s="1272"/>
      <c r="AD344" s="1272"/>
      <c r="AE344" s="1272"/>
      <c r="AF344" s="1272"/>
      <c r="AG344" s="1272"/>
      <c r="AH344" s="1272"/>
      <c r="AI344" s="1272"/>
      <c r="AJ344" s="1272"/>
      <c r="AK344" s="1272"/>
    </row>
    <row r="345" spans="2:37">
      <c r="B345" s="2"/>
      <c r="E345" s="1272"/>
      <c r="F345" s="1272"/>
      <c r="G345" s="1272"/>
      <c r="H345" s="1272"/>
      <c r="I345" s="1272"/>
      <c r="J345" s="1272"/>
      <c r="K345" s="1272"/>
      <c r="L345" s="1272"/>
      <c r="M345" s="1272"/>
      <c r="N345" s="1272"/>
      <c r="O345" s="1272"/>
      <c r="P345" s="1272"/>
      <c r="Q345" s="1272"/>
      <c r="R345" s="1272"/>
      <c r="S345" s="1272"/>
      <c r="T345" s="1272"/>
      <c r="U345" s="1272"/>
      <c r="V345" s="1272"/>
      <c r="W345" s="1272"/>
      <c r="X345" s="1272"/>
      <c r="Y345" s="1272"/>
      <c r="Z345" s="1272"/>
      <c r="AA345" s="1272"/>
      <c r="AB345" s="1272"/>
      <c r="AC345" s="1272"/>
      <c r="AD345" s="1272"/>
      <c r="AE345" s="1272"/>
      <c r="AF345" s="1272"/>
      <c r="AG345" s="1272"/>
      <c r="AH345" s="1272"/>
      <c r="AI345" s="1272"/>
      <c r="AJ345" s="1272"/>
      <c r="AK345" s="1272"/>
    </row>
    <row r="346" spans="2:37">
      <c r="B346" s="2"/>
      <c r="E346" s="1272"/>
      <c r="F346" s="1272"/>
      <c r="G346" s="1272"/>
      <c r="H346" s="1272"/>
      <c r="I346" s="1272"/>
      <c r="J346" s="1272"/>
      <c r="K346" s="1272"/>
      <c r="L346" s="1272"/>
      <c r="M346" s="1272"/>
      <c r="N346" s="1272"/>
      <c r="O346" s="1272"/>
      <c r="P346" s="1272"/>
      <c r="Q346" s="1272"/>
      <c r="R346" s="1272"/>
      <c r="S346" s="1272"/>
      <c r="T346" s="1272"/>
      <c r="U346" s="1272"/>
      <c r="V346" s="1272"/>
      <c r="W346" s="1272"/>
      <c r="X346" s="1272"/>
      <c r="Y346" s="1272"/>
      <c r="Z346" s="1272"/>
      <c r="AA346" s="1272"/>
      <c r="AB346" s="1272"/>
      <c r="AC346" s="1272"/>
      <c r="AD346" s="1272"/>
      <c r="AE346" s="1272"/>
      <c r="AF346" s="1272"/>
      <c r="AG346" s="1272"/>
      <c r="AH346" s="1272"/>
      <c r="AI346" s="1272"/>
      <c r="AJ346" s="1272"/>
      <c r="AK346" s="1272"/>
    </row>
    <row r="347" spans="2:37">
      <c r="B347" s="2"/>
      <c r="E347" s="1272"/>
      <c r="F347" s="1272"/>
      <c r="G347" s="1272"/>
      <c r="H347" s="1272"/>
      <c r="I347" s="1272"/>
      <c r="J347" s="1272"/>
      <c r="K347" s="1272"/>
      <c r="L347" s="1272"/>
      <c r="M347" s="1272"/>
      <c r="N347" s="1272"/>
      <c r="O347" s="1272"/>
      <c r="P347" s="1272"/>
      <c r="Q347" s="1272"/>
      <c r="R347" s="1272"/>
      <c r="S347" s="1272"/>
      <c r="T347" s="1272"/>
      <c r="U347" s="1272"/>
      <c r="V347" s="1272"/>
      <c r="W347" s="1272"/>
      <c r="X347" s="1272"/>
      <c r="Y347" s="1272"/>
      <c r="Z347" s="1272"/>
      <c r="AA347" s="1272"/>
      <c r="AB347" s="1272"/>
      <c r="AC347" s="1272"/>
      <c r="AD347" s="1272"/>
      <c r="AE347" s="1272"/>
      <c r="AF347" s="1272"/>
      <c r="AG347" s="1272"/>
      <c r="AH347" s="1272"/>
      <c r="AI347" s="1272"/>
      <c r="AJ347" s="1272"/>
      <c r="AK347" s="1272"/>
    </row>
    <row r="348" spans="2:37">
      <c r="B348" s="2"/>
      <c r="E348" s="3" t="s">
        <v>112</v>
      </c>
      <c r="F348" s="1270" t="s">
        <v>1344</v>
      </c>
      <c r="G348" s="1270"/>
      <c r="H348" s="1270"/>
      <c r="I348" s="1270"/>
      <c r="J348" s="1270"/>
      <c r="K348" s="1270"/>
      <c r="L348" s="1270"/>
      <c r="M348" s="1270"/>
      <c r="N348" s="1270"/>
      <c r="O348" s="1270"/>
      <c r="P348" s="1270"/>
      <c r="Q348" s="1270"/>
      <c r="R348" s="1270"/>
      <c r="S348" s="1270"/>
      <c r="T348" s="1270"/>
      <c r="U348" s="1270"/>
      <c r="V348" s="1270"/>
      <c r="W348" s="1270"/>
      <c r="X348" s="1270"/>
      <c r="Y348" s="1270"/>
      <c r="Z348" s="1270"/>
      <c r="AA348" s="1270"/>
      <c r="AB348" s="1270"/>
      <c r="AC348" s="1270"/>
      <c r="AD348" s="1270"/>
      <c r="AE348" s="1270"/>
      <c r="AF348" s="1270"/>
      <c r="AG348" s="1270"/>
      <c r="AH348" s="1270"/>
      <c r="AI348" s="1270"/>
      <c r="AJ348" s="1270"/>
      <c r="AK348" s="1270"/>
    </row>
    <row r="349" spans="2:37">
      <c r="B349" s="2"/>
      <c r="E349" s="3"/>
      <c r="F349" s="1270"/>
      <c r="G349" s="1270"/>
      <c r="H349" s="1270"/>
      <c r="I349" s="1270"/>
      <c r="J349" s="1270"/>
      <c r="K349" s="1270"/>
      <c r="L349" s="1270"/>
      <c r="M349" s="1270"/>
      <c r="N349" s="1270"/>
      <c r="O349" s="1270"/>
      <c r="P349" s="1270"/>
      <c r="Q349" s="1270"/>
      <c r="R349" s="1270"/>
      <c r="S349" s="1270"/>
      <c r="T349" s="1270"/>
      <c r="U349" s="1270"/>
      <c r="V349" s="1270"/>
      <c r="W349" s="1270"/>
      <c r="X349" s="1270"/>
      <c r="Y349" s="1270"/>
      <c r="Z349" s="1270"/>
      <c r="AA349" s="1270"/>
      <c r="AB349" s="1270"/>
      <c r="AC349" s="1270"/>
      <c r="AD349" s="1270"/>
      <c r="AE349" s="1270"/>
      <c r="AF349" s="1270"/>
      <c r="AG349" s="1270"/>
      <c r="AH349" s="1270"/>
      <c r="AI349" s="1270"/>
      <c r="AJ349" s="1270"/>
      <c r="AK349" s="1270"/>
    </row>
    <row r="350" spans="2:37">
      <c r="B350" s="2"/>
      <c r="E350" s="3"/>
      <c r="F350" s="1270"/>
      <c r="G350" s="1270"/>
      <c r="H350" s="1270"/>
      <c r="I350" s="1270"/>
      <c r="J350" s="1270"/>
      <c r="K350" s="1270"/>
      <c r="L350" s="1270"/>
      <c r="M350" s="1270"/>
      <c r="N350" s="1270"/>
      <c r="O350" s="1270"/>
      <c r="P350" s="1270"/>
      <c r="Q350" s="1270"/>
      <c r="R350" s="1270"/>
      <c r="S350" s="1270"/>
      <c r="T350" s="1270"/>
      <c r="U350" s="1270"/>
      <c r="V350" s="1270"/>
      <c r="W350" s="1270"/>
      <c r="X350" s="1270"/>
      <c r="Y350" s="1270"/>
      <c r="Z350" s="1270"/>
      <c r="AA350" s="1270"/>
      <c r="AB350" s="1270"/>
      <c r="AC350" s="1270"/>
      <c r="AD350" s="1270"/>
      <c r="AE350" s="1270"/>
      <c r="AF350" s="1270"/>
      <c r="AG350" s="1270"/>
      <c r="AH350" s="1270"/>
      <c r="AI350" s="1270"/>
      <c r="AJ350" s="1270"/>
      <c r="AK350" s="1270"/>
    </row>
    <row r="351" spans="2:37">
      <c r="B351" s="2"/>
      <c r="E351" s="3"/>
      <c r="F351" s="1270"/>
      <c r="G351" s="1270"/>
      <c r="H351" s="1270"/>
      <c r="I351" s="1270"/>
      <c r="J351" s="1270"/>
      <c r="K351" s="1270"/>
      <c r="L351" s="1270"/>
      <c r="M351" s="1270"/>
      <c r="N351" s="1270"/>
      <c r="O351" s="1270"/>
      <c r="P351" s="1270"/>
      <c r="Q351" s="1270"/>
      <c r="R351" s="1270"/>
      <c r="S351" s="1270"/>
      <c r="T351" s="1270"/>
      <c r="U351" s="1270"/>
      <c r="V351" s="1270"/>
      <c r="W351" s="1270"/>
      <c r="X351" s="1270"/>
      <c r="Y351" s="1270"/>
      <c r="Z351" s="1270"/>
      <c r="AA351" s="1270"/>
      <c r="AB351" s="1270"/>
      <c r="AC351" s="1270"/>
      <c r="AD351" s="1270"/>
      <c r="AE351" s="1270"/>
      <c r="AF351" s="1270"/>
      <c r="AG351" s="1270"/>
      <c r="AH351" s="1270"/>
      <c r="AI351" s="1270"/>
      <c r="AJ351" s="1270"/>
      <c r="AK351" s="1270"/>
    </row>
    <row r="352" spans="2:37">
      <c r="B352" s="2"/>
      <c r="E352" s="3" t="s">
        <v>113</v>
      </c>
      <c r="F352" s="1270" t="s">
        <v>1343</v>
      </c>
      <c r="G352" s="1270"/>
      <c r="H352" s="1270"/>
      <c r="I352" s="1270"/>
      <c r="J352" s="1270"/>
      <c r="K352" s="1270"/>
      <c r="L352" s="1270"/>
      <c r="M352" s="1270"/>
      <c r="N352" s="1270"/>
      <c r="O352" s="1270"/>
      <c r="P352" s="1270"/>
      <c r="Q352" s="1270"/>
      <c r="R352" s="1270"/>
      <c r="S352" s="1270"/>
      <c r="T352" s="1270"/>
      <c r="U352" s="1270"/>
      <c r="V352" s="1270"/>
      <c r="W352" s="1270"/>
      <c r="X352" s="1270"/>
      <c r="Y352" s="1270"/>
      <c r="Z352" s="1270"/>
      <c r="AA352" s="1270"/>
      <c r="AB352" s="1270"/>
      <c r="AC352" s="1270"/>
      <c r="AD352" s="1270"/>
      <c r="AE352" s="1270"/>
      <c r="AF352" s="1270"/>
      <c r="AG352" s="1270"/>
      <c r="AH352" s="1270"/>
      <c r="AI352" s="1270"/>
      <c r="AJ352" s="1270"/>
      <c r="AK352" s="1270"/>
    </row>
    <row r="353" spans="1:38">
      <c r="B353" s="2"/>
      <c r="F353" s="1270"/>
      <c r="G353" s="1270"/>
      <c r="H353" s="1270"/>
      <c r="I353" s="1270"/>
      <c r="J353" s="1270"/>
      <c r="K353" s="1270"/>
      <c r="L353" s="1270"/>
      <c r="M353" s="1270"/>
      <c r="N353" s="1270"/>
      <c r="O353" s="1270"/>
      <c r="P353" s="1270"/>
      <c r="Q353" s="1270"/>
      <c r="R353" s="1270"/>
      <c r="S353" s="1270"/>
      <c r="T353" s="1270"/>
      <c r="U353" s="1270"/>
      <c r="V353" s="1270"/>
      <c r="W353" s="1270"/>
      <c r="X353" s="1270"/>
      <c r="Y353" s="1270"/>
      <c r="Z353" s="1270"/>
      <c r="AA353" s="1270"/>
      <c r="AB353" s="1270"/>
      <c r="AC353" s="1270"/>
      <c r="AD353" s="1270"/>
      <c r="AE353" s="1270"/>
      <c r="AF353" s="1270"/>
      <c r="AG353" s="1270"/>
      <c r="AH353" s="1270"/>
      <c r="AI353" s="1270"/>
      <c r="AJ353" s="1270"/>
      <c r="AK353" s="1270"/>
    </row>
    <row r="354" spans="1:38">
      <c r="B354" s="2"/>
      <c r="F354" s="1270"/>
      <c r="G354" s="1270"/>
      <c r="H354" s="1270"/>
      <c r="I354" s="1270"/>
      <c r="J354" s="1270"/>
      <c r="K354" s="1270"/>
      <c r="L354" s="1270"/>
      <c r="M354" s="1270"/>
      <c r="N354" s="1270"/>
      <c r="O354" s="1270"/>
      <c r="P354" s="1270"/>
      <c r="Q354" s="1270"/>
      <c r="R354" s="1270"/>
      <c r="S354" s="1270"/>
      <c r="T354" s="1270"/>
      <c r="U354" s="1270"/>
      <c r="V354" s="1270"/>
      <c r="W354" s="1270"/>
      <c r="X354" s="1270"/>
      <c r="Y354" s="1270"/>
      <c r="Z354" s="1270"/>
      <c r="AA354" s="1270"/>
      <c r="AB354" s="1270"/>
      <c r="AC354" s="1270"/>
      <c r="AD354" s="1270"/>
      <c r="AE354" s="1270"/>
      <c r="AF354" s="1270"/>
      <c r="AG354" s="1270"/>
      <c r="AH354" s="1270"/>
      <c r="AI354" s="1270"/>
      <c r="AJ354" s="1270"/>
      <c r="AK354" s="1270"/>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1333</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5" customFormat="1">
      <c r="A369"/>
      <c r="B369" s="2"/>
      <c r="C369"/>
      <c r="D369"/>
      <c r="E369" s="1274" t="s">
        <v>1366</v>
      </c>
    </row>
    <row r="370" spans="1:37" s="1275"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70" t="s">
        <v>1377</v>
      </c>
      <c r="G388" s="1270"/>
      <c r="H388" s="1270"/>
      <c r="I388" s="1270"/>
      <c r="J388" s="1270"/>
      <c r="K388" s="1270"/>
      <c r="L388" s="1270"/>
      <c r="M388" s="1270"/>
      <c r="N388" s="1270"/>
      <c r="O388" s="1270"/>
      <c r="P388" s="1270"/>
      <c r="Q388" s="1270"/>
      <c r="R388" s="1270"/>
      <c r="S388" s="1270"/>
      <c r="T388" s="1270"/>
      <c r="U388" s="1270"/>
      <c r="V388" s="1270"/>
      <c r="W388" s="1270"/>
      <c r="X388" s="1270"/>
      <c r="Y388" s="1270"/>
      <c r="Z388" s="1270"/>
      <c r="AA388" s="1270"/>
      <c r="AB388" s="1270"/>
      <c r="AC388" s="1270"/>
      <c r="AD388" s="1270"/>
      <c r="AE388" s="1270"/>
      <c r="AF388" s="1270"/>
      <c r="AG388" s="1270"/>
      <c r="AH388" s="1270"/>
      <c r="AI388" s="1270"/>
      <c r="AJ388" s="1270"/>
      <c r="AK388" s="1270"/>
    </row>
    <row r="389" spans="1:38">
      <c r="B389" s="2"/>
      <c r="E389" s="3"/>
      <c r="F389" s="1270"/>
      <c r="G389" s="1270"/>
      <c r="H389" s="1270"/>
      <c r="I389" s="1270"/>
      <c r="J389" s="1270"/>
      <c r="K389" s="1270"/>
      <c r="L389" s="1270"/>
      <c r="M389" s="1270"/>
      <c r="N389" s="1270"/>
      <c r="O389" s="1270"/>
      <c r="P389" s="1270"/>
      <c r="Q389" s="1270"/>
      <c r="R389" s="1270"/>
      <c r="S389" s="1270"/>
      <c r="T389" s="1270"/>
      <c r="U389" s="1270"/>
      <c r="V389" s="1270"/>
      <c r="W389" s="1270"/>
      <c r="X389" s="1270"/>
      <c r="Y389" s="1270"/>
      <c r="Z389" s="1270"/>
      <c r="AA389" s="1270"/>
      <c r="AB389" s="1270"/>
      <c r="AC389" s="1270"/>
      <c r="AD389" s="1270"/>
      <c r="AE389" s="1270"/>
      <c r="AF389" s="1270"/>
      <c r="AG389" s="1270"/>
      <c r="AH389" s="1270"/>
      <c r="AI389" s="1270"/>
      <c r="AJ389" s="1270"/>
      <c r="AK389" s="1270"/>
    </row>
    <row r="390" spans="1:38">
      <c r="B390" s="2"/>
      <c r="E390" s="3"/>
      <c r="F390" s="1270"/>
      <c r="G390" s="1270"/>
      <c r="H390" s="1270"/>
      <c r="I390" s="1270"/>
      <c r="J390" s="1270"/>
      <c r="K390" s="1270"/>
      <c r="L390" s="1270"/>
      <c r="M390" s="1270"/>
      <c r="N390" s="1270"/>
      <c r="O390" s="1270"/>
      <c r="P390" s="1270"/>
      <c r="Q390" s="1270"/>
      <c r="R390" s="1270"/>
      <c r="S390" s="1270"/>
      <c r="T390" s="1270"/>
      <c r="U390" s="1270"/>
      <c r="V390" s="1270"/>
      <c r="W390" s="1270"/>
      <c r="X390" s="1270"/>
      <c r="Y390" s="1270"/>
      <c r="Z390" s="1270"/>
      <c r="AA390" s="1270"/>
      <c r="AB390" s="1270"/>
      <c r="AC390" s="1270"/>
      <c r="AD390" s="1270"/>
      <c r="AE390" s="1270"/>
      <c r="AF390" s="1270"/>
      <c r="AG390" s="1270"/>
      <c r="AH390" s="1270"/>
      <c r="AI390" s="1270"/>
      <c r="AJ390" s="1270"/>
      <c r="AK390" s="1270"/>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77"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29" t="s">
        <v>2411</v>
      </c>
      <c r="B1" s="2230"/>
      <c r="C1" s="2230"/>
      <c r="D1" s="2230"/>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c r="AL1" s="2230"/>
      <c r="AM1" s="2230"/>
      <c r="AN1" s="2230"/>
      <c r="AO1" s="2230"/>
      <c r="AP1" s="2230"/>
      <c r="AQ1" s="2230"/>
      <c r="AR1" s="2230"/>
      <c r="AS1" s="2230"/>
      <c r="AT1" s="2230"/>
      <c r="AU1" s="2230"/>
      <c r="AV1" s="2230"/>
      <c r="AW1" s="2230"/>
      <c r="AX1" s="2230"/>
      <c r="AY1" s="2230"/>
      <c r="AZ1" s="2230"/>
      <c r="BA1" s="2230"/>
      <c r="BB1" s="2230"/>
      <c r="BC1" s="2230"/>
      <c r="BD1" s="2230"/>
      <c r="BE1" s="2231"/>
    </row>
    <row r="2" spans="1:65" ht="15.75" customHeight="1">
      <c r="A2" s="2232" t="s">
        <v>2458</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4"/>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235" t="str">
        <f>IF(Application!H18="","",Application!H18)</f>
        <v>Brandon Place Apartments</v>
      </c>
      <c r="M4" s="2236"/>
      <c r="N4" s="2236"/>
      <c r="O4" s="2236"/>
      <c r="P4" s="2236"/>
      <c r="Q4" s="2236"/>
      <c r="R4" s="2236"/>
      <c r="S4" s="2236"/>
      <c r="T4" s="2236"/>
      <c r="U4" s="2236"/>
      <c r="V4" s="2236"/>
      <c r="W4" s="2236"/>
      <c r="X4" s="2236"/>
      <c r="Y4" s="2236"/>
      <c r="Z4" s="2236"/>
      <c r="AA4" s="2236"/>
      <c r="AB4" s="2236"/>
      <c r="AC4" s="2237"/>
      <c r="AD4" s="1206"/>
      <c r="AE4" s="1206"/>
      <c r="AF4" s="2238" t="s">
        <v>2459</v>
      </c>
      <c r="AG4" s="2238"/>
      <c r="AH4" s="2238"/>
      <c r="AI4" s="2238"/>
      <c r="AJ4" s="2238"/>
      <c r="AK4" s="2238"/>
      <c r="AL4" s="2238"/>
      <c r="AM4" s="2238"/>
      <c r="AN4" s="2238"/>
      <c r="AO4" s="2238"/>
      <c r="AP4" s="2239"/>
      <c r="AQ4" s="2240"/>
      <c r="AR4" s="2240"/>
      <c r="AS4" s="2240"/>
      <c r="AT4" s="2240"/>
      <c r="AU4" s="224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8" t="s">
        <v>2460</v>
      </c>
      <c r="AG5" s="2238"/>
      <c r="AH5" s="2238"/>
      <c r="AI5" s="2238"/>
      <c r="AJ5" s="2238"/>
      <c r="AK5" s="2238"/>
      <c r="AL5" s="2238"/>
      <c r="AM5" s="2238"/>
      <c r="AN5" s="2238"/>
      <c r="AO5" s="2238"/>
      <c r="AP5" s="2239"/>
      <c r="AQ5" s="2240"/>
      <c r="AR5" s="2240"/>
      <c r="AS5" s="2240"/>
      <c r="AT5" s="2240"/>
      <c r="AU5" s="2240"/>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5" t="str">
        <f>IF(Application!H16="","",Application!H16)</f>
        <v>Brandon Place, LP</v>
      </c>
      <c r="M6" s="2236"/>
      <c r="N6" s="2236"/>
      <c r="O6" s="2236"/>
      <c r="P6" s="2236"/>
      <c r="Q6" s="2236"/>
      <c r="R6" s="2236"/>
      <c r="S6" s="2236"/>
      <c r="T6" s="2236"/>
      <c r="U6" s="2236"/>
      <c r="V6" s="2236"/>
      <c r="W6" s="2236"/>
      <c r="X6" s="2236"/>
      <c r="Y6" s="2236"/>
      <c r="Z6" s="2236"/>
      <c r="AA6" s="2236"/>
      <c r="AB6" s="2236"/>
      <c r="AC6" s="2237"/>
      <c r="AD6" s="1206"/>
      <c r="AE6" s="1206"/>
      <c r="AF6" s="2241" t="s">
        <v>2461</v>
      </c>
      <c r="AG6" s="2241"/>
      <c r="AH6" s="2241"/>
      <c r="AI6" s="2241"/>
      <c r="AJ6" s="2241"/>
      <c r="AK6" s="2241"/>
      <c r="AL6" s="2241"/>
      <c r="AM6" s="2241"/>
      <c r="AN6" s="2241"/>
      <c r="AO6" s="2241"/>
      <c r="AP6" s="2228">
        <v>0</v>
      </c>
      <c r="AQ6" s="2228"/>
      <c r="AR6" s="2228"/>
      <c r="AS6" s="2228"/>
      <c r="AT6" s="2228"/>
      <c r="AU6" s="2228"/>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1" t="s">
        <v>2462</v>
      </c>
      <c r="AG7" s="2241"/>
      <c r="AH7" s="2241"/>
      <c r="AI7" s="2241"/>
      <c r="AJ7" s="2241"/>
      <c r="AK7" s="2241"/>
      <c r="AL7" s="2241"/>
      <c r="AM7" s="2241"/>
      <c r="AN7" s="2241"/>
      <c r="AO7" s="2241"/>
      <c r="AP7" s="2228">
        <v>0</v>
      </c>
      <c r="AQ7" s="2228"/>
      <c r="AR7" s="2228"/>
      <c r="AS7" s="2228"/>
      <c r="AT7" s="2228"/>
      <c r="AU7" s="2228"/>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2" t="str">
        <f>Application!T197</f>
        <v>No</v>
      </c>
      <c r="AC8" s="2243"/>
      <c r="AD8" s="2244"/>
      <c r="AE8" s="1206"/>
      <c r="AF8" s="2241" t="s">
        <v>2463</v>
      </c>
      <c r="AG8" s="2241"/>
      <c r="AH8" s="2241"/>
      <c r="AI8" s="2241"/>
      <c r="AJ8" s="2241"/>
      <c r="AK8" s="2241"/>
      <c r="AL8" s="2241"/>
      <c r="AM8" s="2241"/>
      <c r="AN8" s="2241"/>
      <c r="AO8" s="2241"/>
      <c r="AP8" s="2228" t="s">
        <v>2415</v>
      </c>
      <c r="AQ8" s="2228"/>
      <c r="AR8" s="2228"/>
      <c r="AS8" s="2228"/>
      <c r="AT8" s="2228"/>
      <c r="AU8" s="2228"/>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8" t="s">
        <v>2621</v>
      </c>
      <c r="AG9" s="2238"/>
      <c r="AH9" s="2238"/>
      <c r="AI9" s="2238"/>
      <c r="AJ9" s="2238"/>
      <c r="AK9" s="2238"/>
      <c r="AL9" s="2238"/>
      <c r="AM9" s="2238"/>
      <c r="AN9" s="2238"/>
      <c r="AO9" s="2238"/>
      <c r="AP9" s="2239"/>
      <c r="AQ9" s="2240"/>
      <c r="AR9" s="2240"/>
      <c r="AS9" s="2240"/>
      <c r="AT9" s="2240"/>
      <c r="AU9" s="2240"/>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3">
        <f>Application!AO627</f>
        <v>24250000</v>
      </c>
      <c r="O10" s="2253"/>
      <c r="P10" s="2253"/>
      <c r="Q10" s="2253"/>
      <c r="R10" s="2253"/>
      <c r="S10" s="2253"/>
      <c r="T10" s="2253"/>
      <c r="U10" s="1206"/>
      <c r="V10" s="1206"/>
      <c r="W10" s="1206"/>
      <c r="X10" s="1255"/>
      <c r="Y10" s="1255"/>
      <c r="Z10" s="1255"/>
      <c r="AA10" s="1255"/>
      <c r="AB10" s="1255"/>
      <c r="AC10" s="1255"/>
      <c r="AD10" s="1255"/>
      <c r="AE10" s="1255"/>
      <c r="AF10" s="2238" t="s">
        <v>2620</v>
      </c>
      <c r="AG10" s="2238"/>
      <c r="AH10" s="2238"/>
      <c r="AI10" s="2238"/>
      <c r="AJ10" s="2238"/>
      <c r="AK10" s="2238"/>
      <c r="AL10" s="2238"/>
      <c r="AM10" s="2238"/>
      <c r="AN10" s="2238"/>
      <c r="AO10" s="2238"/>
      <c r="AP10" s="2239"/>
      <c r="AQ10" s="2240"/>
      <c r="AR10" s="2240"/>
      <c r="AS10" s="2240"/>
      <c r="AT10" s="2240"/>
      <c r="AU10" s="2240"/>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3">
        <f>Application!AA933</f>
        <v>0</v>
      </c>
      <c r="O11" s="2253"/>
      <c r="P11" s="2253"/>
      <c r="Q11" s="2253"/>
      <c r="R11" s="2253"/>
      <c r="S11" s="2253"/>
      <c r="T11" s="2253"/>
      <c r="U11" s="1206"/>
      <c r="V11" s="1206"/>
      <c r="W11" s="1206"/>
      <c r="X11" s="1255"/>
      <c r="Y11" s="1255"/>
      <c r="Z11" s="1255"/>
      <c r="AA11" s="1255"/>
      <c r="AB11" s="1255"/>
      <c r="AC11" s="1255"/>
      <c r="AD11" s="1255"/>
      <c r="AE11" s="1255"/>
      <c r="AF11" s="2238" t="s">
        <v>2619</v>
      </c>
      <c r="AG11" s="2238"/>
      <c r="AH11" s="2238"/>
      <c r="AI11" s="2238"/>
      <c r="AJ11" s="2238"/>
      <c r="AK11" s="2238"/>
      <c r="AL11" s="2238"/>
      <c r="AM11" s="2238"/>
      <c r="AN11" s="2238"/>
      <c r="AO11" s="2238"/>
      <c r="AP11" s="2239"/>
      <c r="AQ11" s="2240"/>
      <c r="AR11" s="2240"/>
      <c r="AS11" s="2240"/>
      <c r="AT11" s="2240"/>
      <c r="AU11" s="2240"/>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60" t="s">
        <v>1792</v>
      </c>
      <c r="C13" s="2261"/>
      <c r="D13" s="2261"/>
      <c r="E13" s="2261"/>
      <c r="F13" s="2261"/>
      <c r="G13" s="2261"/>
      <c r="H13" s="2261"/>
      <c r="I13" s="2261"/>
      <c r="J13" s="2261"/>
      <c r="K13" s="2261"/>
      <c r="L13" s="2261"/>
      <c r="M13" s="2261"/>
      <c r="N13" s="2261"/>
      <c r="O13" s="2261"/>
      <c r="P13" s="2262"/>
      <c r="Q13" s="2263" t="s">
        <v>677</v>
      </c>
      <c r="R13" s="2264"/>
      <c r="S13" s="2264"/>
      <c r="T13" s="2265"/>
      <c r="U13" s="1255"/>
      <c r="V13" s="1206"/>
      <c r="W13" s="1206"/>
      <c r="X13" s="1206"/>
      <c r="Y13" s="1206"/>
      <c r="Z13" s="1206"/>
      <c r="AA13" s="2254" t="s">
        <v>2465</v>
      </c>
      <c r="AB13" s="2254"/>
      <c r="AC13" s="2254"/>
      <c r="AD13" s="2254"/>
      <c r="AE13" s="2254"/>
      <c r="AF13" s="2254"/>
      <c r="AG13" s="2254"/>
      <c r="AH13" s="2254"/>
      <c r="AI13" s="2254"/>
      <c r="AJ13" s="2254"/>
      <c r="AK13" s="2254"/>
      <c r="AL13" s="2254"/>
      <c r="AM13" s="2254"/>
      <c r="AN13" s="2254"/>
      <c r="AO13" s="2255">
        <f>Application!W473</f>
        <v>0</v>
      </c>
      <c r="AP13" s="2256"/>
      <c r="AQ13" s="2256"/>
      <c r="AR13" s="2256"/>
      <c r="AS13" s="2256"/>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7" t="s">
        <v>2467</v>
      </c>
      <c r="AB14" s="2257"/>
      <c r="AC14" s="2257"/>
      <c r="AD14" s="2257"/>
      <c r="AE14" s="2257"/>
      <c r="AF14" s="2257"/>
      <c r="AG14" s="2257"/>
      <c r="AH14" s="2257"/>
      <c r="AI14" s="2257"/>
      <c r="AJ14" s="2257"/>
      <c r="AK14" s="2257"/>
      <c r="AL14" s="2257"/>
      <c r="AM14" s="2257"/>
      <c r="AN14" s="2257"/>
      <c r="AO14" s="2258"/>
      <c r="AP14" s="2259"/>
      <c r="AQ14" s="2259"/>
      <c r="AR14" s="2259"/>
      <c r="AS14" s="2259"/>
      <c r="AT14" s="1255"/>
      <c r="AU14" s="1255"/>
      <c r="AV14" s="1255"/>
      <c r="AW14" s="1255"/>
      <c r="AX14" s="1255"/>
      <c r="AY14" s="1255"/>
      <c r="AZ14" s="1255"/>
      <c r="BA14" s="1255"/>
      <c r="BB14" s="1255"/>
      <c r="BC14" s="1255"/>
      <c r="BD14" s="1255"/>
      <c r="BE14" s="1202"/>
    </row>
    <row r="15" spans="1:65" thickBot="1">
      <c r="A15" s="1206"/>
      <c r="B15" s="2266" t="s">
        <v>1793</v>
      </c>
      <c r="C15" s="2267"/>
      <c r="D15" s="2267"/>
      <c r="E15" s="2267"/>
      <c r="F15" s="2267"/>
      <c r="G15" s="2267"/>
      <c r="H15" s="2267"/>
      <c r="I15" s="2267"/>
      <c r="J15" s="2267"/>
      <c r="K15" s="2267"/>
      <c r="L15" s="2267"/>
      <c r="M15" s="2267"/>
      <c r="N15" s="2267"/>
      <c r="O15" s="2267"/>
      <c r="P15" s="2267"/>
      <c r="Q15" s="2267"/>
      <c r="R15" s="2268"/>
      <c r="S15" s="2269" t="str">
        <f>IF(Application!AB214="","",Application!AB214)</f>
        <v/>
      </c>
      <c r="T15" s="2269"/>
      <c r="U15" s="2269"/>
      <c r="V15" s="2269"/>
      <c r="W15" s="2270"/>
      <c r="X15" s="1255"/>
      <c r="Y15" s="1206"/>
      <c r="Z15" s="1206"/>
      <c r="AA15" s="2254" t="s">
        <v>2468</v>
      </c>
      <c r="AB15" s="2254"/>
      <c r="AC15" s="2254"/>
      <c r="AD15" s="2254"/>
      <c r="AE15" s="2254"/>
      <c r="AF15" s="2254"/>
      <c r="AG15" s="2254"/>
      <c r="AH15" s="2254"/>
      <c r="AI15" s="2254"/>
      <c r="AJ15" s="2254"/>
      <c r="AK15" s="2254"/>
      <c r="AL15" s="2254"/>
      <c r="AM15" s="2254"/>
      <c r="AN15" s="2254"/>
      <c r="AO15" s="2258"/>
      <c r="AP15" s="2259"/>
      <c r="AQ15" s="2259"/>
      <c r="AR15" s="2259"/>
      <c r="AS15" s="2259"/>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1" t="s">
        <v>1794</v>
      </c>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3"/>
      <c r="AZ17" s="1206"/>
      <c r="BA17" s="1206"/>
      <c r="BB17" s="1206"/>
      <c r="BC17" s="1206"/>
      <c r="BD17" s="1206"/>
      <c r="BE17" s="1202"/>
      <c r="BF17" s="1198"/>
    </row>
    <row r="18" spans="1:58" ht="15.75" customHeight="1">
      <c r="A18" s="1206"/>
      <c r="B18" s="2274" t="s">
        <v>1795</v>
      </c>
      <c r="C18" s="2275"/>
      <c r="D18" s="2275"/>
      <c r="E18" s="2275"/>
      <c r="F18" s="2275"/>
      <c r="G18" s="2275"/>
      <c r="H18" s="2275"/>
      <c r="I18" s="2276"/>
      <c r="J18" s="2277" t="s">
        <v>1696</v>
      </c>
      <c r="K18" s="2278"/>
      <c r="L18" s="2278"/>
      <c r="M18" s="2278"/>
      <c r="N18" s="2278"/>
      <c r="O18" s="2279"/>
      <c r="P18" s="2277" t="s">
        <v>325</v>
      </c>
      <c r="Q18" s="2278"/>
      <c r="R18" s="2278"/>
      <c r="S18" s="2278"/>
      <c r="T18" s="2278"/>
      <c r="U18" s="2279"/>
      <c r="V18" s="2277" t="s">
        <v>326</v>
      </c>
      <c r="W18" s="2278"/>
      <c r="X18" s="2278"/>
      <c r="Y18" s="2278"/>
      <c r="Z18" s="2278"/>
      <c r="AA18" s="2279"/>
      <c r="AB18" s="2277" t="s">
        <v>163</v>
      </c>
      <c r="AC18" s="2278"/>
      <c r="AD18" s="2278"/>
      <c r="AE18" s="2278"/>
      <c r="AF18" s="2278"/>
      <c r="AG18" s="2279"/>
      <c r="AH18" s="2277" t="s">
        <v>164</v>
      </c>
      <c r="AI18" s="2278"/>
      <c r="AJ18" s="2278"/>
      <c r="AK18" s="2278"/>
      <c r="AL18" s="2278"/>
      <c r="AM18" s="2279"/>
      <c r="AN18" s="2277" t="s">
        <v>165</v>
      </c>
      <c r="AO18" s="2278"/>
      <c r="AP18" s="2278"/>
      <c r="AQ18" s="2278"/>
      <c r="AR18" s="2278"/>
      <c r="AS18" s="2279"/>
      <c r="AT18" s="2277" t="s">
        <v>1796</v>
      </c>
      <c r="AU18" s="2278"/>
      <c r="AV18" s="2278"/>
      <c r="AW18" s="2278"/>
      <c r="AX18" s="2278"/>
      <c r="AY18" s="2280"/>
      <c r="AZ18" s="1206"/>
      <c r="BA18" s="1206"/>
      <c r="BB18" s="1206"/>
      <c r="BC18" s="1206"/>
      <c r="BD18" s="1206"/>
      <c r="BE18" s="1202"/>
    </row>
    <row r="19" spans="1:58" ht="15">
      <c r="A19" s="1206"/>
      <c r="B19" s="2281">
        <v>0.3</v>
      </c>
      <c r="C19" s="2282"/>
      <c r="D19" s="2282"/>
      <c r="E19" s="2282"/>
      <c r="F19" s="2282"/>
      <c r="G19" s="2282"/>
      <c r="H19" s="2282"/>
      <c r="I19" s="2283"/>
      <c r="J19" s="2284">
        <f t="shared" ref="J19:J28" si="0">SUM(P19:AS19)</f>
        <v>20</v>
      </c>
      <c r="K19" s="2285"/>
      <c r="L19" s="2285"/>
      <c r="M19" s="2285"/>
      <c r="N19" s="2285"/>
      <c r="O19" s="2286"/>
      <c r="P19" s="2284" cm="1">
        <f t="array" ref="P19">SUMPRODUCT((Application!$B$718:$B$752 = 'CalHFA Addendum'!P$18)*(Application!$AC$718:$AC$752 = 'CalHFA Addendum'!$B19),Application!$G$718:$G$752)</f>
        <v>0</v>
      </c>
      <c r="Q19" s="2285"/>
      <c r="R19" s="2285"/>
      <c r="S19" s="2285"/>
      <c r="T19" s="2285"/>
      <c r="U19" s="2286"/>
      <c r="V19" s="2284" cm="1">
        <f t="array" ref="V19">SUMPRODUCT((Application!$B$714:$B$738 = 'CalHFA Addendum'!V$18)*(Application!$AC$714:$AC$738 = 'CalHFA Addendum'!$B19),Application!$G$714:$G$738)</f>
        <v>15</v>
      </c>
      <c r="W19" s="2285"/>
      <c r="X19" s="2285"/>
      <c r="Y19" s="2285"/>
      <c r="Z19" s="2285"/>
      <c r="AA19" s="2286"/>
      <c r="AB19" s="2284" cm="1">
        <f t="array" ref="AB19">SUMPRODUCT((Application!$B$714:$B$738 = 'CalHFA Addendum'!AB$18)*(Application!$AC$714:$AC$738 = 'CalHFA Addendum'!$B19),Application!$G$714:$G$738)</f>
        <v>5</v>
      </c>
      <c r="AC19" s="2285"/>
      <c r="AD19" s="2285"/>
      <c r="AE19" s="2285"/>
      <c r="AF19" s="2285"/>
      <c r="AG19" s="2286"/>
      <c r="AH19" s="2284" cm="1">
        <f t="array" ref="AH19">SUMPRODUCT((Application!$B$714:$B$738 = 'CalHFA Addendum'!AH$18)*(Application!$AC$714:$AC$738 = 'CalHFA Addendum'!$B19),Application!$G$714:$G$738)</f>
        <v>0</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87">
        <f t="shared" ref="AT19:AT29" si="1">J19/$J$29</f>
        <v>0.10204081632653061</v>
      </c>
      <c r="AU19" s="2288"/>
      <c r="AV19" s="2288"/>
      <c r="AW19" s="2288"/>
      <c r="AX19" s="2288"/>
      <c r="AY19" s="2289"/>
      <c r="AZ19" s="1217"/>
      <c r="BA19" s="1206"/>
      <c r="BB19" s="1206"/>
      <c r="BC19" s="1206"/>
      <c r="BD19" s="1206"/>
      <c r="BE19" s="1202"/>
    </row>
    <row r="20" spans="1:58" ht="15" customHeight="1">
      <c r="A20" s="1206"/>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87">
        <f t="shared" si="1"/>
        <v>0</v>
      </c>
      <c r="AU20" s="2288"/>
      <c r="AV20" s="2288"/>
      <c r="AW20" s="2288"/>
      <c r="AX20" s="2288"/>
      <c r="AY20" s="2289"/>
      <c r="AZ20" s="1206"/>
      <c r="BA20" s="1206"/>
      <c r="BB20" s="1206"/>
      <c r="BC20" s="1206"/>
      <c r="BD20" s="1206"/>
      <c r="BE20" s="1202"/>
    </row>
    <row r="21" spans="1:58" ht="15">
      <c r="A21" s="1206"/>
      <c r="B21" s="2281">
        <v>0.5</v>
      </c>
      <c r="C21" s="2282"/>
      <c r="D21" s="2282"/>
      <c r="E21" s="2282"/>
      <c r="F21" s="2282"/>
      <c r="G21" s="2282"/>
      <c r="H21" s="2282"/>
      <c r="I21" s="2283"/>
      <c r="J21" s="2284">
        <f t="shared" si="0"/>
        <v>20</v>
      </c>
      <c r="K21" s="2285"/>
      <c r="L21" s="2285"/>
      <c r="M21" s="2285"/>
      <c r="N21" s="2285"/>
      <c r="O21" s="2286"/>
      <c r="P21" s="2284" cm="1">
        <f t="array" ref="P21">SUMPRODUCT((Application!$B$714:$B$738 = 'CalHFA Addendum'!P$18)*(Application!$AC$714:$AC$738 = 'CalHFA Addendum'!$B21),Application!$G$714:$G$738)</f>
        <v>0</v>
      </c>
      <c r="Q21" s="2285"/>
      <c r="R21" s="2285"/>
      <c r="S21" s="2285"/>
      <c r="T21" s="2285"/>
      <c r="U21" s="2286"/>
      <c r="V21" s="2284" cm="1">
        <f t="array" ref="V21">SUMPRODUCT((Application!$B$714:$B$738 = 'CalHFA Addendum'!V$18)*(Application!$AC$714:$AC$738 = 'CalHFA Addendum'!$B21),Application!$G$714:$G$738)</f>
        <v>15</v>
      </c>
      <c r="W21" s="2285"/>
      <c r="X21" s="2285"/>
      <c r="Y21" s="2285"/>
      <c r="Z21" s="2285"/>
      <c r="AA21" s="2286"/>
      <c r="AB21" s="2284" cm="1">
        <f t="array" ref="AB21">SUMPRODUCT((Application!$B$714:$B$738 = 'CalHFA Addendum'!AB$18)*(Application!$AC$714:$AC$738 = 'CalHFA Addendum'!$B21),Application!$G$714:$G$738)</f>
        <v>5</v>
      </c>
      <c r="AC21" s="2285"/>
      <c r="AD21" s="2285"/>
      <c r="AE21" s="2285"/>
      <c r="AF21" s="2285"/>
      <c r="AG21" s="2286"/>
      <c r="AH21" s="2284" cm="1">
        <f t="array" ref="AH21">SUMPRODUCT((Application!$B$714:$B$738 = 'CalHFA Addendum'!AH$18)*(Application!$AC$714:$AC$738 = 'CalHFA Addendum'!$B21),Application!$G$714:$G$738)</f>
        <v>0</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87">
        <f t="shared" si="1"/>
        <v>0.10204081632653061</v>
      </c>
      <c r="AU21" s="2288"/>
      <c r="AV21" s="2288"/>
      <c r="AW21" s="2288"/>
      <c r="AX21" s="2288"/>
      <c r="AY21" s="2289"/>
      <c r="AZ21" s="1206"/>
      <c r="BA21" s="1206"/>
      <c r="BB21" s="1206"/>
      <c r="BC21" s="1206"/>
      <c r="BD21" s="1206"/>
      <c r="BE21" s="1202"/>
    </row>
    <row r="22" spans="1:58" ht="15">
      <c r="A22" s="1206"/>
      <c r="B22" s="2281">
        <v>0.6</v>
      </c>
      <c r="C22" s="2282"/>
      <c r="D22" s="2282"/>
      <c r="E22" s="2282"/>
      <c r="F22" s="2282"/>
      <c r="G22" s="2282"/>
      <c r="H22" s="2282"/>
      <c r="I22" s="2283"/>
      <c r="J22" s="2284">
        <f t="shared" si="0"/>
        <v>156</v>
      </c>
      <c r="K22" s="2285"/>
      <c r="L22" s="2285"/>
      <c r="M22" s="2285"/>
      <c r="N22" s="2285"/>
      <c r="O22" s="2286"/>
      <c r="P22" s="2284" cm="1">
        <f t="array" ref="P22">SUMPRODUCT((Application!$B$714:$B$738 = 'CalHFA Addendum'!P$18)*(Application!$AC$714:$AC$738 = 'CalHFA Addendum'!$B22),Application!$G$714:$G$738)</f>
        <v>0</v>
      </c>
      <c r="Q22" s="2285"/>
      <c r="R22" s="2285"/>
      <c r="S22" s="2285"/>
      <c r="T22" s="2285"/>
      <c r="U22" s="2286"/>
      <c r="V22" s="2284" cm="1">
        <f t="array" ref="V22">SUMPRODUCT((Application!$B$714:$B$738 = 'CalHFA Addendum'!V$18)*(Application!$AC$714:$AC$738 = 'CalHFA Addendum'!$B22),Application!$G$714:$G$738)</f>
        <v>118</v>
      </c>
      <c r="W22" s="2285"/>
      <c r="X22" s="2285"/>
      <c r="Y22" s="2285"/>
      <c r="Z22" s="2285"/>
      <c r="AA22" s="2286"/>
      <c r="AB22" s="2284" cm="1">
        <f t="array" ref="AB22">SUMPRODUCT((Application!$B$714:$B$738 = 'CalHFA Addendum'!AB$18)*(Application!$AC$714:$AC$738 = 'CalHFA Addendum'!$B22),Application!$G$714:$G$738)</f>
        <v>38</v>
      </c>
      <c r="AC22" s="2285"/>
      <c r="AD22" s="2285"/>
      <c r="AE22" s="2285"/>
      <c r="AF22" s="2285"/>
      <c r="AG22" s="2286"/>
      <c r="AH22" s="2284" cm="1">
        <f t="array" ref="AH22">SUMPRODUCT((Application!$B$714:$B$738 = 'CalHFA Addendum'!AH$18)*(Application!$AC$714:$AC$738 = 'CalHFA Addendum'!$B22),Application!$G$714:$G$738)</f>
        <v>0</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87">
        <f t="shared" si="1"/>
        <v>0.79591836734693877</v>
      </c>
      <c r="AU22" s="2288"/>
      <c r="AV22" s="2288"/>
      <c r="AW22" s="2288"/>
      <c r="AX22" s="2288"/>
      <c r="AY22" s="2289"/>
      <c r="AZ22" s="1206"/>
      <c r="BA22" s="1206"/>
      <c r="BB22" s="1206"/>
      <c r="BC22" s="1206"/>
      <c r="BD22" s="1206"/>
      <c r="BE22" s="1202"/>
    </row>
    <row r="23" spans="1:58" ht="15">
      <c r="A23" s="1206"/>
      <c r="B23" s="2281">
        <v>0.7</v>
      </c>
      <c r="C23" s="2282"/>
      <c r="D23" s="2282"/>
      <c r="E23" s="2282"/>
      <c r="F23" s="2282"/>
      <c r="G23" s="2282"/>
      <c r="H23" s="2282"/>
      <c r="I23" s="2283"/>
      <c r="J23" s="2284">
        <f t="shared" si="0"/>
        <v>0</v>
      </c>
      <c r="K23" s="2285"/>
      <c r="L23" s="2285"/>
      <c r="M23" s="2285"/>
      <c r="N23" s="2285"/>
      <c r="O23" s="2286"/>
      <c r="P23" s="2284" cm="1">
        <f t="array" ref="P23">SUMPRODUCT((Application!$B$714:$B$738 = 'CalHFA Addendum'!P$18)*(Application!$AC$714:$AC$738 = 'CalHFA Addendum'!$B23),Application!$G$714:$G$738)</f>
        <v>0</v>
      </c>
      <c r="Q23" s="2285"/>
      <c r="R23" s="2285"/>
      <c r="S23" s="2285"/>
      <c r="T23" s="2285"/>
      <c r="U23" s="2286"/>
      <c r="V23" s="2284" cm="1">
        <f t="array" ref="V23">SUMPRODUCT((Application!$B$714:$B$738 = 'CalHFA Addendum'!V$18)*(Application!$AC$714:$AC$738 = 'CalHFA Addendum'!$B23),Application!$G$714:$G$738)</f>
        <v>0</v>
      </c>
      <c r="W23" s="2285"/>
      <c r="X23" s="2285"/>
      <c r="Y23" s="2285"/>
      <c r="Z23" s="2285"/>
      <c r="AA23" s="2286"/>
      <c r="AB23" s="2284" cm="1">
        <f t="array" ref="AB23">SUMPRODUCT((Application!$B$714:$B$738 = 'CalHFA Addendum'!AB$18)*(Application!$AC$714:$AC$738 = 'CalHFA Addendum'!$B23),Application!$G$714:$G$738)</f>
        <v>0</v>
      </c>
      <c r="AC23" s="2285"/>
      <c r="AD23" s="2285"/>
      <c r="AE23" s="2285"/>
      <c r="AF23" s="2285"/>
      <c r="AG23" s="2286"/>
      <c r="AH23" s="2284" cm="1">
        <f t="array" ref="AH23">SUMPRODUCT((Application!$B$714:$B$738 = 'CalHFA Addendum'!AH$18)*(Application!$AC$714:$AC$738 = 'CalHFA Addendum'!$B23),Application!$G$714:$G$738)</f>
        <v>0</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87">
        <f t="shared" si="1"/>
        <v>0</v>
      </c>
      <c r="AU23" s="2288"/>
      <c r="AV23" s="2288"/>
      <c r="AW23" s="2288"/>
      <c r="AX23" s="2288"/>
      <c r="AY23" s="2289"/>
      <c r="AZ23" s="1206"/>
      <c r="BA23" s="1206"/>
      <c r="BB23" s="1206"/>
      <c r="BC23" s="1206"/>
      <c r="BD23" s="1206"/>
      <c r="BE23" s="1202"/>
    </row>
    <row r="24" spans="1:58" ht="15">
      <c r="A24" s="1206"/>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87">
        <f t="shared" si="1"/>
        <v>0</v>
      </c>
      <c r="AU24" s="2288"/>
      <c r="AV24" s="2288"/>
      <c r="AW24" s="2288"/>
      <c r="AX24" s="2288"/>
      <c r="AY24" s="2289"/>
      <c r="AZ24" s="1206"/>
      <c r="BA24" s="1206"/>
      <c r="BB24" s="1206"/>
      <c r="BC24" s="1206"/>
      <c r="BD24" s="1206"/>
      <c r="BE24" s="1202"/>
    </row>
    <row r="25" spans="1:58" ht="15">
      <c r="A25" s="1206"/>
      <c r="B25" s="2281">
        <v>0.9</v>
      </c>
      <c r="C25" s="2282"/>
      <c r="D25" s="2282"/>
      <c r="E25" s="2282"/>
      <c r="F25" s="2282"/>
      <c r="G25" s="2282"/>
      <c r="H25" s="2282"/>
      <c r="I25" s="2283"/>
      <c r="J25" s="2284">
        <f t="shared" si="0"/>
        <v>0</v>
      </c>
      <c r="K25" s="2285"/>
      <c r="L25" s="2285"/>
      <c r="M25" s="2285"/>
      <c r="N25" s="2285"/>
      <c r="O25" s="2286"/>
      <c r="P25" s="2284" cm="1">
        <f t="array" ref="P25">SUMPRODUCT((Application!$B$714:$B$738 = 'CalHFA Addendum'!P$18)*(Application!$AC$714:$AC$738 = 'CalHFA Addendum'!$B25),Application!$G$714:$G$738)</f>
        <v>0</v>
      </c>
      <c r="Q25" s="2285"/>
      <c r="R25" s="2285"/>
      <c r="S25" s="2285"/>
      <c r="T25" s="2285"/>
      <c r="U25" s="2286"/>
      <c r="V25" s="2284" cm="1">
        <f t="array" ref="V25">SUMPRODUCT((Application!$B$714:$B$738 = 'CalHFA Addendum'!V$18)*(Application!$AC$714:$AC$738 = 'CalHFA Addendum'!$B25),Application!$G$714:$G$738)</f>
        <v>0</v>
      </c>
      <c r="W25" s="2285"/>
      <c r="X25" s="2285"/>
      <c r="Y25" s="2285"/>
      <c r="Z25" s="2285"/>
      <c r="AA25" s="2286"/>
      <c r="AB25" s="2284" cm="1">
        <f t="array" ref="AB25">SUMPRODUCT((Application!$B$714:$B$738 = 'CalHFA Addendum'!AB$18)*(Application!$AC$714:$AC$738 = 'CalHFA Addendum'!$B25),Application!$G$714:$G$738)</f>
        <v>0</v>
      </c>
      <c r="AC25" s="2285"/>
      <c r="AD25" s="2285"/>
      <c r="AE25" s="2285"/>
      <c r="AF25" s="2285"/>
      <c r="AG25" s="2286"/>
      <c r="AH25" s="2284" cm="1">
        <f t="array" ref="AH25">SUMPRODUCT((Application!$B$714:$B$738 = 'CalHFA Addendum'!AH$18)*(Application!$AC$714:$AC$738 = 'CalHFA Addendum'!$B25),Application!$G$714:$G$738)</f>
        <v>0</v>
      </c>
      <c r="AI25" s="2285"/>
      <c r="AJ25" s="2285"/>
      <c r="AK25" s="2285"/>
      <c r="AL25" s="2285"/>
      <c r="AM25" s="2286"/>
      <c r="AN25" s="2284" cm="1">
        <f t="array" ref="AN25">SUMPRODUCT((Application!$B$714:$B$738 = 'CalHFA Addendum'!AN$18)*(Application!$AC$714:$AC$738 = 'CalHFA Addendum'!$B25),Application!$G$714:$G$738)</f>
        <v>0</v>
      </c>
      <c r="AO25" s="2285"/>
      <c r="AP25" s="2285"/>
      <c r="AQ25" s="2285"/>
      <c r="AR25" s="2285"/>
      <c r="AS25" s="2286"/>
      <c r="AT25" s="2287">
        <f t="shared" si="1"/>
        <v>0</v>
      </c>
      <c r="AU25" s="2288"/>
      <c r="AV25" s="2288"/>
      <c r="AW25" s="2288"/>
      <c r="AX25" s="2288"/>
      <c r="AY25" s="2289"/>
      <c r="AZ25" s="1206"/>
      <c r="BA25" s="1206"/>
      <c r="BB25" s="1206"/>
      <c r="BC25" s="1206"/>
      <c r="BD25" s="1206"/>
      <c r="BE25" s="1202"/>
    </row>
    <row r="26" spans="1:58" ht="15">
      <c r="A26" s="1206"/>
      <c r="B26" s="2281">
        <v>1</v>
      </c>
      <c r="C26" s="2282"/>
      <c r="D26" s="2282"/>
      <c r="E26" s="2282"/>
      <c r="F26" s="2282"/>
      <c r="G26" s="2282"/>
      <c r="H26" s="2282"/>
      <c r="I26" s="2283"/>
      <c r="J26" s="2284">
        <f t="shared" si="0"/>
        <v>0</v>
      </c>
      <c r="K26" s="2285"/>
      <c r="L26" s="2285"/>
      <c r="M26" s="2285"/>
      <c r="N26" s="2285"/>
      <c r="O26" s="2286"/>
      <c r="P26" s="2284" cm="1">
        <f t="array" ref="P26">SUMPRODUCT((Application!$B$714:$B$738 = 'CalHFA Addendum'!P$18)*(Application!$AC$714:$AC$738 = 'CalHFA Addendum'!$B26),Application!$G$714:$G$738)</f>
        <v>0</v>
      </c>
      <c r="Q26" s="2285"/>
      <c r="R26" s="2285"/>
      <c r="S26" s="2285"/>
      <c r="T26" s="2285"/>
      <c r="U26" s="2286"/>
      <c r="V26" s="2284" cm="1">
        <f t="array" ref="V26">SUMPRODUCT((Application!$B$714:$B$738 = 'CalHFA Addendum'!V$18)*(Application!$AC$714:$AC$738 = 'CalHFA Addendum'!$B26),Application!$G$714:$G$738)</f>
        <v>0</v>
      </c>
      <c r="W26" s="2285"/>
      <c r="X26" s="2285"/>
      <c r="Y26" s="2285"/>
      <c r="Z26" s="2285"/>
      <c r="AA26" s="2286"/>
      <c r="AB26" s="2284" cm="1">
        <f t="array" ref="AB26">SUMPRODUCT((Application!$B$714:$B$738 = 'CalHFA Addendum'!AB$18)*(Application!$AC$714:$AC$738 = 'CalHFA Addendum'!$B26),Application!$G$714:$G$738)</f>
        <v>0</v>
      </c>
      <c r="AC26" s="2285"/>
      <c r="AD26" s="2285"/>
      <c r="AE26" s="2285"/>
      <c r="AF26" s="2285"/>
      <c r="AG26" s="2286"/>
      <c r="AH26" s="2284" cm="1">
        <f t="array" ref="AH26">SUMPRODUCT((Application!$B$714:$B$738 = 'CalHFA Addendum'!AH$18)*(Application!$AC$714:$AC$738 = 'CalHFA Addendum'!$B26),Application!$G$714:$G$738)</f>
        <v>0</v>
      </c>
      <c r="AI26" s="2285"/>
      <c r="AJ26" s="2285"/>
      <c r="AK26" s="2285"/>
      <c r="AL26" s="2285"/>
      <c r="AM26" s="2286"/>
      <c r="AN26" s="2284" cm="1">
        <f t="array" ref="AN26">SUMPRODUCT((Application!$B$714:$B$738 = 'CalHFA Addendum'!AN$18)*(Application!$AC$714:$AC$738 = 'CalHFA Addendum'!$B26),Application!$G$714:$G$738)</f>
        <v>0</v>
      </c>
      <c r="AO26" s="2285"/>
      <c r="AP26" s="2285"/>
      <c r="AQ26" s="2285"/>
      <c r="AR26" s="2285"/>
      <c r="AS26" s="2286"/>
      <c r="AT26" s="2287">
        <f t="shared" si="1"/>
        <v>0</v>
      </c>
      <c r="AU26" s="2288"/>
      <c r="AV26" s="2288"/>
      <c r="AW26" s="2288"/>
      <c r="AX26" s="2288"/>
      <c r="AY26" s="2289"/>
      <c r="AZ26" s="1206"/>
      <c r="BA26" s="1206"/>
      <c r="BB26" s="1206"/>
      <c r="BC26" s="1206"/>
      <c r="BD26" s="1206"/>
      <c r="BE26" s="1202"/>
    </row>
    <row r="27" spans="1:58" ht="15">
      <c r="A27" s="1206"/>
      <c r="B27" s="2281">
        <v>1.1000000000000001</v>
      </c>
      <c r="C27" s="2282"/>
      <c r="D27" s="2282"/>
      <c r="E27" s="2282"/>
      <c r="F27" s="2282"/>
      <c r="G27" s="2282"/>
      <c r="H27" s="2282"/>
      <c r="I27" s="2283"/>
      <c r="J27" s="2284">
        <f t="shared" si="0"/>
        <v>0</v>
      </c>
      <c r="K27" s="2285"/>
      <c r="L27" s="2285"/>
      <c r="M27" s="2285"/>
      <c r="N27" s="2285"/>
      <c r="O27" s="2286"/>
      <c r="P27" s="2284" cm="1">
        <f t="array" ref="P27">SUMPRODUCT((Application!$B$714:$B$738 = 'CalHFA Addendum'!P$18)*(Application!$AC$714:$AC$738 = 'CalHFA Addendum'!$B27),Application!$G$714:$G$738)</f>
        <v>0</v>
      </c>
      <c r="Q27" s="2285"/>
      <c r="R27" s="2285"/>
      <c r="S27" s="2285"/>
      <c r="T27" s="2285"/>
      <c r="U27" s="2286"/>
      <c r="V27" s="2284" cm="1">
        <f t="array" ref="V27">SUMPRODUCT((Application!$B$714:$B$738 = 'CalHFA Addendum'!V$18)*(Application!$AC$714:$AC$738 = 'CalHFA Addendum'!$B27),Application!$G$714:$G$738)</f>
        <v>0</v>
      </c>
      <c r="W27" s="2285"/>
      <c r="X27" s="2285"/>
      <c r="Y27" s="2285"/>
      <c r="Z27" s="2285"/>
      <c r="AA27" s="2286"/>
      <c r="AB27" s="2284" cm="1">
        <f t="array" ref="AB27">SUMPRODUCT((Application!$B$714:$B$738 = 'CalHFA Addendum'!AB$18)*(Application!$AC$714:$AC$738 = 'CalHFA Addendum'!$B27),Application!$G$714:$G$738)</f>
        <v>0</v>
      </c>
      <c r="AC27" s="2285"/>
      <c r="AD27" s="2285"/>
      <c r="AE27" s="2285"/>
      <c r="AF27" s="2285"/>
      <c r="AG27" s="2286"/>
      <c r="AH27" s="2284" cm="1">
        <f t="array" ref="AH27">SUMPRODUCT((Application!$B$714:$B$738 = 'CalHFA Addendum'!AH$18)*(Application!$AC$714:$AC$738 = 'CalHFA Addendum'!$B27),Application!$G$714:$G$738)</f>
        <v>0</v>
      </c>
      <c r="AI27" s="2285"/>
      <c r="AJ27" s="2285"/>
      <c r="AK27" s="2285"/>
      <c r="AL27" s="2285"/>
      <c r="AM27" s="2286"/>
      <c r="AN27" s="2284" cm="1">
        <f t="array" ref="AN27">SUMPRODUCT((Application!$B$714:$B$738 = 'CalHFA Addendum'!AN$18)*(Application!$AC$714:$AC$738 = 'CalHFA Addendum'!$B27),Application!$G$714:$G$738)</f>
        <v>0</v>
      </c>
      <c r="AO27" s="2285"/>
      <c r="AP27" s="2285"/>
      <c r="AQ27" s="2285"/>
      <c r="AR27" s="2285"/>
      <c r="AS27" s="2286"/>
      <c r="AT27" s="2287">
        <f t="shared" si="1"/>
        <v>0</v>
      </c>
      <c r="AU27" s="2288"/>
      <c r="AV27" s="2288"/>
      <c r="AW27" s="2288"/>
      <c r="AX27" s="2288"/>
      <c r="AY27" s="2289"/>
      <c r="AZ27" s="1206"/>
      <c r="BA27" s="1206"/>
      <c r="BB27" s="1206"/>
      <c r="BC27" s="1206"/>
      <c r="BD27" s="1206"/>
      <c r="BE27" s="1202"/>
    </row>
    <row r="28" spans="1:58" thickBot="1">
      <c r="A28" s="1206"/>
      <c r="B28" s="2300" t="s">
        <v>1797</v>
      </c>
      <c r="C28" s="2301"/>
      <c r="D28" s="2301"/>
      <c r="E28" s="2301"/>
      <c r="F28" s="2301"/>
      <c r="G28" s="2301"/>
      <c r="H28" s="2301"/>
      <c r="I28" s="2302"/>
      <c r="J28" s="2303">
        <f t="shared" si="0"/>
        <v>0</v>
      </c>
      <c r="K28" s="2304"/>
      <c r="L28" s="2304"/>
      <c r="M28" s="2304"/>
      <c r="N28" s="2304"/>
      <c r="O28" s="2305"/>
      <c r="P28" s="2303">
        <f>_xlfn.IFNA(VLOOKUP(P$18,Application!$J$758:$S$761,6,FALSE), 0)</f>
        <v>0</v>
      </c>
      <c r="Q28" s="2304"/>
      <c r="R28" s="2304"/>
      <c r="S28" s="2304"/>
      <c r="T28" s="2304"/>
      <c r="U28" s="2305"/>
      <c r="V28" s="2303">
        <f>_xlfn.IFNA(VLOOKUP(V$18,Application!$J$758:$S$761,6,FALSE), 0)</f>
        <v>0</v>
      </c>
      <c r="W28" s="2304"/>
      <c r="X28" s="2304"/>
      <c r="Y28" s="2304"/>
      <c r="Z28" s="2304"/>
      <c r="AA28" s="2305"/>
      <c r="AB28" s="2303">
        <f>_xlfn.IFNA(VLOOKUP(AB$18,Application!$J$758:$S$761,6,FALSE), 0)</f>
        <v>0</v>
      </c>
      <c r="AC28" s="2304"/>
      <c r="AD28" s="2304"/>
      <c r="AE28" s="2304"/>
      <c r="AF28" s="2304"/>
      <c r="AG28" s="2305"/>
      <c r="AH28" s="2303">
        <f>_xlfn.IFNA(VLOOKUP(AH$18,Application!$J$758:$S$761,6,FALSE), 0)</f>
        <v>0</v>
      </c>
      <c r="AI28" s="2304"/>
      <c r="AJ28" s="2304"/>
      <c r="AK28" s="2304"/>
      <c r="AL28" s="2304"/>
      <c r="AM28" s="2305"/>
      <c r="AN28" s="2303">
        <f>_xlfn.IFNA(VLOOKUP(AN$18,Application!$J$758:$S$761,6,FALSE), 0)</f>
        <v>0</v>
      </c>
      <c r="AO28" s="2304"/>
      <c r="AP28" s="2304"/>
      <c r="AQ28" s="2304"/>
      <c r="AR28" s="2304"/>
      <c r="AS28" s="2305"/>
      <c r="AT28" s="2306">
        <f t="shared" si="1"/>
        <v>0</v>
      </c>
      <c r="AU28" s="2307"/>
      <c r="AV28" s="2307"/>
      <c r="AW28" s="2307"/>
      <c r="AX28" s="2307"/>
      <c r="AY28" s="2308"/>
      <c r="AZ28" s="1206"/>
      <c r="BA28" s="1206"/>
      <c r="BB28" s="1206"/>
      <c r="BC28" s="1206"/>
      <c r="BD28" s="1206"/>
      <c r="BE28" s="1202"/>
    </row>
    <row r="29" spans="1:58" thickBot="1">
      <c r="A29" s="1206"/>
      <c r="B29" s="2315" t="s">
        <v>1696</v>
      </c>
      <c r="C29" s="2316"/>
      <c r="D29" s="2316"/>
      <c r="E29" s="2316"/>
      <c r="F29" s="2316"/>
      <c r="G29" s="2316"/>
      <c r="H29" s="2316"/>
      <c r="I29" s="2317"/>
      <c r="J29" s="2318">
        <f>SUM(J19:O28)</f>
        <v>196</v>
      </c>
      <c r="K29" s="2316"/>
      <c r="L29" s="2316"/>
      <c r="M29" s="2316"/>
      <c r="N29" s="2316"/>
      <c r="O29" s="2317"/>
      <c r="P29" s="2318">
        <f>SUM(P19:U28)</f>
        <v>0</v>
      </c>
      <c r="Q29" s="2316"/>
      <c r="R29" s="2316"/>
      <c r="S29" s="2316"/>
      <c r="T29" s="2316"/>
      <c r="U29" s="2317"/>
      <c r="V29" s="2318">
        <f>SUM(V19:AA28)</f>
        <v>148</v>
      </c>
      <c r="W29" s="2316"/>
      <c r="X29" s="2316"/>
      <c r="Y29" s="2316"/>
      <c r="Z29" s="2316"/>
      <c r="AA29" s="2317"/>
      <c r="AB29" s="2318">
        <f>SUM(AB19:AG28)</f>
        <v>48</v>
      </c>
      <c r="AC29" s="2316"/>
      <c r="AD29" s="2316"/>
      <c r="AE29" s="2316"/>
      <c r="AF29" s="2316"/>
      <c r="AG29" s="2317"/>
      <c r="AH29" s="2318">
        <f>SUM(AH19:AM28)</f>
        <v>0</v>
      </c>
      <c r="AI29" s="2316"/>
      <c r="AJ29" s="2316"/>
      <c r="AK29" s="2316"/>
      <c r="AL29" s="2316"/>
      <c r="AM29" s="2317"/>
      <c r="AN29" s="2318">
        <f>SUM(AN19:AS28)</f>
        <v>0</v>
      </c>
      <c r="AO29" s="2316"/>
      <c r="AP29" s="2316"/>
      <c r="AQ29" s="2316"/>
      <c r="AR29" s="2316"/>
      <c r="AS29" s="2317"/>
      <c r="AT29" s="2335">
        <f t="shared" si="1"/>
        <v>1</v>
      </c>
      <c r="AU29" s="2336"/>
      <c r="AV29" s="2336"/>
      <c r="AW29" s="2336"/>
      <c r="AX29" s="2336"/>
      <c r="AY29" s="2337"/>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3" t="s">
        <v>1798</v>
      </c>
      <c r="C31" s="2324"/>
      <c r="D31" s="2324"/>
      <c r="E31" s="2324"/>
      <c r="F31" s="2324"/>
      <c r="G31" s="2324"/>
      <c r="H31" s="2324"/>
      <c r="I31" s="2324"/>
      <c r="J31" s="2324"/>
      <c r="K31" s="2324"/>
      <c r="L31" s="2324"/>
      <c r="M31" s="2324"/>
      <c r="N31" s="2324"/>
      <c r="O31" s="2324"/>
      <c r="P31" s="2324"/>
      <c r="Q31" s="2324"/>
      <c r="R31" s="2324"/>
      <c r="S31" s="2324"/>
      <c r="T31" s="2324"/>
      <c r="U31" s="2324"/>
      <c r="V31" s="2324"/>
      <c r="W31" s="2324"/>
      <c r="X31" s="2324"/>
      <c r="Y31" s="2324"/>
      <c r="Z31" s="2324"/>
      <c r="AA31" s="2324"/>
      <c r="AB31" s="2324"/>
      <c r="AC31" s="2324"/>
      <c r="AD31" s="2324"/>
      <c r="AE31" s="2324"/>
      <c r="AF31" s="2324"/>
      <c r="AG31" s="2324"/>
      <c r="AH31" s="2324"/>
      <c r="AI31" s="2324"/>
      <c r="AJ31" s="2324"/>
      <c r="AK31" s="2324"/>
      <c r="AL31" s="2324"/>
      <c r="AM31" s="2324"/>
      <c r="AN31" s="2324"/>
      <c r="AO31" s="2324"/>
      <c r="AP31" s="2324"/>
      <c r="AQ31" s="2324"/>
      <c r="AR31" s="2324"/>
      <c r="AS31" s="2324"/>
      <c r="AT31" s="2324"/>
      <c r="AU31" s="2324"/>
      <c r="AV31" s="2324"/>
      <c r="AW31" s="2324"/>
      <c r="AX31" s="2324"/>
      <c r="AY31" s="2324"/>
      <c r="AZ31" s="2324"/>
      <c r="BA31" s="2324"/>
      <c r="BB31" s="2324"/>
      <c r="BC31" s="2324"/>
      <c r="BD31" s="2325"/>
      <c r="BE31" s="1202"/>
    </row>
    <row r="32" spans="1:58" thickBot="1">
      <c r="A32" s="1206"/>
      <c r="B32" s="2338" t="s">
        <v>2471</v>
      </c>
      <c r="C32" s="2339"/>
      <c r="D32" s="2339"/>
      <c r="E32" s="2339"/>
      <c r="F32" s="2339"/>
      <c r="G32" s="2339"/>
      <c r="H32" s="2339"/>
      <c r="I32" s="2339"/>
      <c r="J32" s="2309" t="s">
        <v>2472</v>
      </c>
      <c r="K32" s="2310"/>
      <c r="L32" s="2310"/>
      <c r="M32" s="2310"/>
      <c r="N32" s="2309" t="s">
        <v>1799</v>
      </c>
      <c r="O32" s="2310"/>
      <c r="P32" s="2310"/>
      <c r="Q32" s="2312"/>
      <c r="R32" s="2332" t="s">
        <v>1800</v>
      </c>
      <c r="S32" s="2333"/>
      <c r="T32" s="2333"/>
      <c r="U32" s="2333"/>
      <c r="V32" s="2333"/>
      <c r="W32" s="2333"/>
      <c r="X32" s="2333"/>
      <c r="Y32" s="2333"/>
      <c r="Z32" s="2333"/>
      <c r="AA32" s="2333"/>
      <c r="AB32" s="2333"/>
      <c r="AC32" s="2333"/>
      <c r="AD32" s="2333"/>
      <c r="AE32" s="2333"/>
      <c r="AF32" s="2333"/>
      <c r="AG32" s="2333"/>
      <c r="AH32" s="2333"/>
      <c r="AI32" s="2333"/>
      <c r="AJ32" s="2333"/>
      <c r="AK32" s="2333"/>
      <c r="AL32" s="2333"/>
      <c r="AM32" s="2333"/>
      <c r="AN32" s="2333"/>
      <c r="AO32" s="2333"/>
      <c r="AP32" s="2333"/>
      <c r="AQ32" s="2333"/>
      <c r="AR32" s="2333"/>
      <c r="AS32" s="2333"/>
      <c r="AT32" s="2333"/>
      <c r="AU32" s="2333"/>
      <c r="AV32" s="2333"/>
      <c r="AW32" s="2333"/>
      <c r="AX32" s="2333"/>
      <c r="AY32" s="2333"/>
      <c r="AZ32" s="2333"/>
      <c r="BA32" s="2333"/>
      <c r="BB32" s="2333"/>
      <c r="BC32" s="2333"/>
      <c r="BD32" s="2334"/>
      <c r="BE32" s="1202"/>
    </row>
    <row r="33" spans="1:58" ht="15" customHeight="1">
      <c r="A33" s="1206"/>
      <c r="B33" s="2340"/>
      <c r="C33" s="2341"/>
      <c r="D33" s="2341"/>
      <c r="E33" s="2341"/>
      <c r="F33" s="2341"/>
      <c r="G33" s="2341"/>
      <c r="H33" s="2341"/>
      <c r="I33" s="2341"/>
      <c r="J33" s="2311"/>
      <c r="K33" s="2311"/>
      <c r="L33" s="2311"/>
      <c r="M33" s="2311"/>
      <c r="N33" s="2311"/>
      <c r="O33" s="2311"/>
      <c r="P33" s="2311"/>
      <c r="Q33" s="2313"/>
      <c r="R33" s="2326" t="s">
        <v>1801</v>
      </c>
      <c r="S33" s="2327"/>
      <c r="T33" s="2327"/>
      <c r="U33" s="2327"/>
      <c r="V33" s="2327"/>
      <c r="W33" s="2327"/>
      <c r="X33" s="2327"/>
      <c r="Y33" s="2327"/>
      <c r="Z33" s="2327"/>
      <c r="AA33" s="2327"/>
      <c r="AB33" s="2327"/>
      <c r="AC33" s="2327"/>
      <c r="AD33" s="2327"/>
      <c r="AE33" s="2327"/>
      <c r="AF33" s="2327"/>
      <c r="AG33" s="2327"/>
      <c r="AH33" s="2327"/>
      <c r="AI33" s="2327"/>
      <c r="AJ33" s="2327"/>
      <c r="AK33" s="2327"/>
      <c r="AL33" s="2327"/>
      <c r="AM33" s="2327"/>
      <c r="AN33" s="2327"/>
      <c r="AO33" s="2327"/>
      <c r="AP33" s="2327"/>
      <c r="AQ33" s="2327"/>
      <c r="AR33" s="2327"/>
      <c r="AS33" s="2327"/>
      <c r="AT33" s="2327"/>
      <c r="AU33" s="2327"/>
      <c r="AV33" s="2327"/>
      <c r="AW33" s="2327"/>
      <c r="AX33" s="2327"/>
      <c r="AY33" s="2327"/>
      <c r="AZ33" s="2327"/>
      <c r="BA33" s="2327"/>
      <c r="BB33" s="2327"/>
      <c r="BC33" s="2327"/>
      <c r="BD33" s="2328"/>
      <c r="BE33" s="1202"/>
    </row>
    <row r="34" spans="1:58" ht="15.75" customHeight="1" thickBot="1">
      <c r="A34" s="1206"/>
      <c r="B34" s="2340"/>
      <c r="C34" s="2341"/>
      <c r="D34" s="2341"/>
      <c r="E34" s="2341"/>
      <c r="F34" s="2341"/>
      <c r="G34" s="2341"/>
      <c r="H34" s="2341"/>
      <c r="I34" s="2341"/>
      <c r="J34" s="2311"/>
      <c r="K34" s="2311"/>
      <c r="L34" s="2311"/>
      <c r="M34" s="2311"/>
      <c r="N34" s="2311"/>
      <c r="O34" s="2311"/>
      <c r="P34" s="2311"/>
      <c r="Q34" s="2313"/>
      <c r="R34" s="2329"/>
      <c r="S34" s="2330"/>
      <c r="T34" s="2330"/>
      <c r="U34" s="2330"/>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1"/>
      <c r="BE34" s="1202"/>
    </row>
    <row r="35" spans="1:58" ht="15.75" customHeight="1">
      <c r="A35" s="1206"/>
      <c r="B35" s="2340"/>
      <c r="C35" s="2341"/>
      <c r="D35" s="2341"/>
      <c r="E35" s="2341"/>
      <c r="F35" s="2341"/>
      <c r="G35" s="2341"/>
      <c r="H35" s="2341"/>
      <c r="I35" s="2341"/>
      <c r="J35" s="2311"/>
      <c r="K35" s="2311"/>
      <c r="L35" s="2311"/>
      <c r="M35" s="2311"/>
      <c r="N35" s="2311"/>
      <c r="O35" s="2311"/>
      <c r="P35" s="2311"/>
      <c r="Q35" s="2311"/>
      <c r="R35" s="2314">
        <v>0.3</v>
      </c>
      <c r="S35" s="2314"/>
      <c r="T35" s="2314"/>
      <c r="U35" s="2314"/>
      <c r="V35" s="2314">
        <v>0.4</v>
      </c>
      <c r="W35" s="2314"/>
      <c r="X35" s="2314"/>
      <c r="Y35" s="2314"/>
      <c r="Z35" s="2314">
        <v>0.5</v>
      </c>
      <c r="AA35" s="2314"/>
      <c r="AB35" s="2314"/>
      <c r="AC35" s="2314"/>
      <c r="AD35" s="2314">
        <v>0.6</v>
      </c>
      <c r="AE35" s="2314"/>
      <c r="AF35" s="2314"/>
      <c r="AG35" s="2314"/>
      <c r="AH35" s="2314">
        <v>0.7</v>
      </c>
      <c r="AI35" s="2314"/>
      <c r="AJ35" s="2314"/>
      <c r="AK35" s="2314"/>
      <c r="AL35" s="2290">
        <v>0.8</v>
      </c>
      <c r="AM35" s="2291"/>
      <c r="AN35" s="2291"/>
      <c r="AO35" s="2292"/>
      <c r="AP35" s="2293">
        <v>1.2</v>
      </c>
      <c r="AQ35" s="2294"/>
      <c r="AR35" s="2295"/>
      <c r="AS35" s="2296" t="s">
        <v>1802</v>
      </c>
      <c r="AT35" s="2297"/>
      <c r="AU35" s="2297"/>
      <c r="AV35" s="2297"/>
      <c r="AW35" s="2297"/>
      <c r="AX35" s="2298"/>
      <c r="AY35" s="2296" t="s">
        <v>1803</v>
      </c>
      <c r="AZ35" s="2297"/>
      <c r="BA35" s="2297"/>
      <c r="BB35" s="2297"/>
      <c r="BC35" s="2297"/>
      <c r="BD35" s="2299"/>
      <c r="BE35" s="1202"/>
    </row>
    <row r="36" spans="1:58" ht="15.75" customHeight="1">
      <c r="A36" s="1206"/>
      <c r="B36" s="2319" t="s">
        <v>1804</v>
      </c>
      <c r="C36" s="2320"/>
      <c r="D36" s="2320"/>
      <c r="E36" s="2320"/>
      <c r="F36" s="2320"/>
      <c r="G36" s="2320"/>
      <c r="H36" s="2320"/>
      <c r="I36" s="2320"/>
      <c r="J36" s="2321" t="s">
        <v>1805</v>
      </c>
      <c r="K36" s="2321"/>
      <c r="L36" s="2321"/>
      <c r="M36" s="2321"/>
      <c r="N36" s="2321">
        <v>55</v>
      </c>
      <c r="O36" s="2321"/>
      <c r="P36" s="2321"/>
      <c r="Q36" s="2321"/>
      <c r="R36" s="2322">
        <v>0</v>
      </c>
      <c r="S36" s="2322"/>
      <c r="T36" s="2322"/>
      <c r="U36" s="2322"/>
      <c r="V36" s="2322">
        <v>0</v>
      </c>
      <c r="W36" s="2322"/>
      <c r="X36" s="2322"/>
      <c r="Y36" s="2322"/>
      <c r="Z36" s="2322">
        <v>10</v>
      </c>
      <c r="AA36" s="2322"/>
      <c r="AB36" s="2322"/>
      <c r="AC36" s="2322"/>
      <c r="AD36" s="2322">
        <v>10</v>
      </c>
      <c r="AE36" s="2322"/>
      <c r="AF36" s="2322"/>
      <c r="AG36" s="2322"/>
      <c r="AH36" s="2322">
        <v>30</v>
      </c>
      <c r="AI36" s="2322"/>
      <c r="AJ36" s="2322"/>
      <c r="AK36" s="2322"/>
      <c r="AL36" s="2342">
        <v>0</v>
      </c>
      <c r="AM36" s="2343"/>
      <c r="AN36" s="2343"/>
      <c r="AO36" s="2344"/>
      <c r="AP36" s="2342">
        <v>0</v>
      </c>
      <c r="AQ36" s="2343"/>
      <c r="AR36" s="2344"/>
      <c r="AS36" s="2345">
        <f t="shared" ref="AS36:AS47" si="2">SUM(R36:AR36)</f>
        <v>50</v>
      </c>
      <c r="AT36" s="2346"/>
      <c r="AU36" s="2346"/>
      <c r="AV36" s="2346"/>
      <c r="AW36" s="2346"/>
      <c r="AX36" s="2347"/>
      <c r="AY36" s="2348">
        <f t="shared" ref="AY36:AY47" si="3">AS36/$J$29</f>
        <v>0.25510204081632654</v>
      </c>
      <c r="AZ36" s="2349"/>
      <c r="BA36" s="2349"/>
      <c r="BB36" s="2349"/>
      <c r="BC36" s="2349"/>
      <c r="BD36" s="2350"/>
      <c r="BE36" s="1202"/>
    </row>
    <row r="37" spans="1:58" ht="15.75" customHeight="1">
      <c r="A37" s="1206"/>
      <c r="B37" s="2319" t="s">
        <v>2473</v>
      </c>
      <c r="C37" s="2320"/>
      <c r="D37" s="2320"/>
      <c r="E37" s="2320"/>
      <c r="F37" s="2320"/>
      <c r="G37" s="2320"/>
      <c r="H37" s="2320"/>
      <c r="I37" s="2320"/>
      <c r="J37" s="2321" t="s">
        <v>1806</v>
      </c>
      <c r="K37" s="2321"/>
      <c r="L37" s="2321"/>
      <c r="M37" s="2321"/>
      <c r="N37" s="2321">
        <v>55</v>
      </c>
      <c r="O37" s="2321"/>
      <c r="P37" s="2321"/>
      <c r="Q37" s="2321"/>
      <c r="R37" s="2322">
        <v>10</v>
      </c>
      <c r="S37" s="2322"/>
      <c r="T37" s="2322"/>
      <c r="U37" s="2322"/>
      <c r="V37" s="2322"/>
      <c r="W37" s="2322"/>
      <c r="X37" s="2322"/>
      <c r="Y37" s="2322"/>
      <c r="Z37" s="2322"/>
      <c r="AA37" s="2322"/>
      <c r="AB37" s="2322"/>
      <c r="AC37" s="2322"/>
      <c r="AD37" s="2322"/>
      <c r="AE37" s="2322"/>
      <c r="AF37" s="2322"/>
      <c r="AG37" s="2322"/>
      <c r="AH37" s="2322"/>
      <c r="AI37" s="2322"/>
      <c r="AJ37" s="2322"/>
      <c r="AK37" s="2322"/>
      <c r="AL37" s="2342"/>
      <c r="AM37" s="2343"/>
      <c r="AN37" s="2343"/>
      <c r="AO37" s="2344"/>
      <c r="AP37" s="2342"/>
      <c r="AQ37" s="2343"/>
      <c r="AR37" s="2344"/>
      <c r="AS37" s="2345">
        <f t="shared" si="2"/>
        <v>10</v>
      </c>
      <c r="AT37" s="2346"/>
      <c r="AU37" s="2346"/>
      <c r="AV37" s="2346"/>
      <c r="AW37" s="2346"/>
      <c r="AX37" s="2347"/>
      <c r="AY37" s="2348">
        <f t="shared" si="3"/>
        <v>5.1020408163265307E-2</v>
      </c>
      <c r="AZ37" s="2349"/>
      <c r="BA37" s="2349"/>
      <c r="BB37" s="2349"/>
      <c r="BC37" s="2349"/>
      <c r="BD37" s="2350"/>
      <c r="BE37" s="1202"/>
    </row>
    <row r="38" spans="1:58" ht="15.75" customHeight="1">
      <c r="A38" s="1206"/>
      <c r="B38" s="2319" t="s">
        <v>2412</v>
      </c>
      <c r="C38" s="2320"/>
      <c r="D38" s="2320"/>
      <c r="E38" s="2320"/>
      <c r="F38" s="2320"/>
      <c r="G38" s="2320"/>
      <c r="H38" s="2320"/>
      <c r="I38" s="2320"/>
      <c r="J38" s="2321" t="s">
        <v>1807</v>
      </c>
      <c r="K38" s="2321"/>
      <c r="L38" s="2321"/>
      <c r="M38" s="2321"/>
      <c r="N38" s="2321">
        <v>55</v>
      </c>
      <c r="O38" s="2321"/>
      <c r="P38" s="2321"/>
      <c r="Q38" s="2321"/>
      <c r="R38" s="2322"/>
      <c r="S38" s="2322"/>
      <c r="T38" s="2322"/>
      <c r="U38" s="2322"/>
      <c r="V38" s="2322"/>
      <c r="W38" s="2322"/>
      <c r="X38" s="2322"/>
      <c r="Y38" s="2322"/>
      <c r="Z38" s="2322"/>
      <c r="AA38" s="2322"/>
      <c r="AB38" s="2322"/>
      <c r="AC38" s="2322"/>
      <c r="AD38" s="2322"/>
      <c r="AE38" s="2322"/>
      <c r="AF38" s="2322"/>
      <c r="AG38" s="2322"/>
      <c r="AH38" s="2322"/>
      <c r="AI38" s="2322"/>
      <c r="AJ38" s="2322"/>
      <c r="AK38" s="2322"/>
      <c r="AL38" s="2342"/>
      <c r="AM38" s="2343"/>
      <c r="AN38" s="2343"/>
      <c r="AO38" s="2344"/>
      <c r="AP38" s="2342"/>
      <c r="AQ38" s="2343"/>
      <c r="AR38" s="2344"/>
      <c r="AS38" s="2345">
        <f t="shared" si="2"/>
        <v>0</v>
      </c>
      <c r="AT38" s="2346"/>
      <c r="AU38" s="2346"/>
      <c r="AV38" s="2346"/>
      <c r="AW38" s="2346"/>
      <c r="AX38" s="2347"/>
      <c r="AY38" s="2348">
        <f t="shared" si="3"/>
        <v>0</v>
      </c>
      <c r="AZ38" s="2349"/>
      <c r="BA38" s="2349"/>
      <c r="BB38" s="2349"/>
      <c r="BC38" s="2349"/>
      <c r="BD38" s="2350"/>
      <c r="BE38" s="1202"/>
    </row>
    <row r="39" spans="1:58" ht="15.75" customHeight="1">
      <c r="A39" s="1206"/>
      <c r="B39" s="2319" t="s">
        <v>1808</v>
      </c>
      <c r="C39" s="2320"/>
      <c r="D39" s="2320"/>
      <c r="E39" s="2320"/>
      <c r="F39" s="2320"/>
      <c r="G39" s="2320"/>
      <c r="H39" s="2320"/>
      <c r="I39" s="2320"/>
      <c r="J39" s="2321"/>
      <c r="K39" s="2321"/>
      <c r="L39" s="2321"/>
      <c r="M39" s="2321"/>
      <c r="N39" s="2321"/>
      <c r="O39" s="2321"/>
      <c r="P39" s="2321"/>
      <c r="Q39" s="2321"/>
      <c r="R39" s="2322"/>
      <c r="S39" s="2322"/>
      <c r="T39" s="2322"/>
      <c r="U39" s="2322"/>
      <c r="V39" s="2322"/>
      <c r="W39" s="2322"/>
      <c r="X39" s="2322"/>
      <c r="Y39" s="2322"/>
      <c r="Z39" s="2322"/>
      <c r="AA39" s="2322"/>
      <c r="AB39" s="2322"/>
      <c r="AC39" s="2322"/>
      <c r="AD39" s="2322"/>
      <c r="AE39" s="2322"/>
      <c r="AF39" s="2322"/>
      <c r="AG39" s="2322"/>
      <c r="AH39" s="2322"/>
      <c r="AI39" s="2322"/>
      <c r="AJ39" s="2322"/>
      <c r="AK39" s="2322"/>
      <c r="AL39" s="2342"/>
      <c r="AM39" s="2343"/>
      <c r="AN39" s="2343"/>
      <c r="AO39" s="2344"/>
      <c r="AP39" s="2342"/>
      <c r="AQ39" s="2343"/>
      <c r="AR39" s="2344"/>
      <c r="AS39" s="2345">
        <f t="shared" si="2"/>
        <v>0</v>
      </c>
      <c r="AT39" s="2346"/>
      <c r="AU39" s="2346"/>
      <c r="AV39" s="2346"/>
      <c r="AW39" s="2346"/>
      <c r="AX39" s="2347"/>
      <c r="AY39" s="2348">
        <f t="shared" si="3"/>
        <v>0</v>
      </c>
      <c r="AZ39" s="2349"/>
      <c r="BA39" s="2349"/>
      <c r="BB39" s="2349"/>
      <c r="BC39" s="2349"/>
      <c r="BD39" s="2350"/>
      <c r="BE39" s="1202"/>
    </row>
    <row r="40" spans="1:58" ht="15.75" customHeight="1">
      <c r="A40" s="1206"/>
      <c r="B40" s="2319" t="s">
        <v>1808</v>
      </c>
      <c r="C40" s="2320"/>
      <c r="D40" s="2320"/>
      <c r="E40" s="2320"/>
      <c r="F40" s="2320"/>
      <c r="G40" s="2320"/>
      <c r="H40" s="2320"/>
      <c r="I40" s="2320"/>
      <c r="J40" s="2321"/>
      <c r="K40" s="2321"/>
      <c r="L40" s="2321"/>
      <c r="M40" s="2321"/>
      <c r="N40" s="2321"/>
      <c r="O40" s="2321"/>
      <c r="P40" s="2321"/>
      <c r="Q40" s="2321"/>
      <c r="R40" s="2322"/>
      <c r="S40" s="2322"/>
      <c r="T40" s="2322"/>
      <c r="U40" s="2322"/>
      <c r="V40" s="2322"/>
      <c r="W40" s="2322"/>
      <c r="X40" s="2322"/>
      <c r="Y40" s="2322"/>
      <c r="Z40" s="2322"/>
      <c r="AA40" s="2322"/>
      <c r="AB40" s="2322"/>
      <c r="AC40" s="2322"/>
      <c r="AD40" s="2322"/>
      <c r="AE40" s="2322"/>
      <c r="AF40" s="2322"/>
      <c r="AG40" s="2322"/>
      <c r="AH40" s="2322"/>
      <c r="AI40" s="2322"/>
      <c r="AJ40" s="2322"/>
      <c r="AK40" s="2322"/>
      <c r="AL40" s="2342"/>
      <c r="AM40" s="2343"/>
      <c r="AN40" s="2343"/>
      <c r="AO40" s="2344"/>
      <c r="AP40" s="2342"/>
      <c r="AQ40" s="2343"/>
      <c r="AR40" s="2344"/>
      <c r="AS40" s="2345">
        <f t="shared" si="2"/>
        <v>0</v>
      </c>
      <c r="AT40" s="2346"/>
      <c r="AU40" s="2346"/>
      <c r="AV40" s="2346"/>
      <c r="AW40" s="2346"/>
      <c r="AX40" s="2347"/>
      <c r="AY40" s="2348">
        <f t="shared" si="3"/>
        <v>0</v>
      </c>
      <c r="AZ40" s="2349"/>
      <c r="BA40" s="2349"/>
      <c r="BB40" s="2349"/>
      <c r="BC40" s="2349"/>
      <c r="BD40" s="2350"/>
      <c r="BE40" s="1202"/>
    </row>
    <row r="41" spans="1:58" ht="15.75" customHeight="1">
      <c r="A41" s="1206"/>
      <c r="B41" s="2319" t="s">
        <v>1809</v>
      </c>
      <c r="C41" s="2320"/>
      <c r="D41" s="2320"/>
      <c r="E41" s="2320"/>
      <c r="F41" s="2320"/>
      <c r="G41" s="2320"/>
      <c r="H41" s="2320"/>
      <c r="I41" s="2320"/>
      <c r="J41" s="2321"/>
      <c r="K41" s="2321"/>
      <c r="L41" s="2321"/>
      <c r="M41" s="2321"/>
      <c r="N41" s="2321"/>
      <c r="O41" s="2321"/>
      <c r="P41" s="2321"/>
      <c r="Q41" s="2321"/>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42"/>
      <c r="AM41" s="2343"/>
      <c r="AN41" s="2343"/>
      <c r="AO41" s="2344"/>
      <c r="AP41" s="2342"/>
      <c r="AQ41" s="2343"/>
      <c r="AR41" s="2344"/>
      <c r="AS41" s="2345">
        <f t="shared" si="2"/>
        <v>0</v>
      </c>
      <c r="AT41" s="2346"/>
      <c r="AU41" s="2346"/>
      <c r="AV41" s="2346"/>
      <c r="AW41" s="2346"/>
      <c r="AX41" s="2347"/>
      <c r="AY41" s="2348">
        <f t="shared" si="3"/>
        <v>0</v>
      </c>
      <c r="AZ41" s="2349"/>
      <c r="BA41" s="2349"/>
      <c r="BB41" s="2349"/>
      <c r="BC41" s="2349"/>
      <c r="BD41" s="2350"/>
      <c r="BE41" s="1202"/>
    </row>
    <row r="42" spans="1:58" ht="15.75" customHeight="1">
      <c r="A42" s="1206"/>
      <c r="B42" s="2319" t="s">
        <v>1809</v>
      </c>
      <c r="C42" s="2320"/>
      <c r="D42" s="2320"/>
      <c r="E42" s="2320"/>
      <c r="F42" s="2320"/>
      <c r="G42" s="2320"/>
      <c r="H42" s="2320"/>
      <c r="I42" s="2320"/>
      <c r="J42" s="2321"/>
      <c r="K42" s="2321"/>
      <c r="L42" s="2321"/>
      <c r="M42" s="2321"/>
      <c r="N42" s="2321"/>
      <c r="O42" s="2321"/>
      <c r="P42" s="2321"/>
      <c r="Q42" s="2321"/>
      <c r="R42" s="2322"/>
      <c r="S42" s="2322"/>
      <c r="T42" s="2322"/>
      <c r="U42" s="2322"/>
      <c r="V42" s="2322"/>
      <c r="W42" s="2322"/>
      <c r="X42" s="2322"/>
      <c r="Y42" s="2322"/>
      <c r="Z42" s="2322"/>
      <c r="AA42" s="2322"/>
      <c r="AB42" s="2322"/>
      <c r="AC42" s="2322"/>
      <c r="AD42" s="2322"/>
      <c r="AE42" s="2322"/>
      <c r="AF42" s="2322"/>
      <c r="AG42" s="2322"/>
      <c r="AH42" s="2322"/>
      <c r="AI42" s="2322"/>
      <c r="AJ42" s="2322"/>
      <c r="AK42" s="2322"/>
      <c r="AL42" s="2342"/>
      <c r="AM42" s="2343"/>
      <c r="AN42" s="2343"/>
      <c r="AO42" s="2344"/>
      <c r="AP42" s="2342"/>
      <c r="AQ42" s="2343"/>
      <c r="AR42" s="2344"/>
      <c r="AS42" s="2345">
        <f t="shared" si="2"/>
        <v>0</v>
      </c>
      <c r="AT42" s="2346"/>
      <c r="AU42" s="2346"/>
      <c r="AV42" s="2346"/>
      <c r="AW42" s="2346"/>
      <c r="AX42" s="2347"/>
      <c r="AY42" s="2348">
        <f t="shared" si="3"/>
        <v>0</v>
      </c>
      <c r="AZ42" s="2349"/>
      <c r="BA42" s="2349"/>
      <c r="BB42" s="2349"/>
      <c r="BC42" s="2349"/>
      <c r="BD42" s="2350"/>
      <c r="BE42" s="1202"/>
    </row>
    <row r="43" spans="1:58" ht="15.75" customHeight="1">
      <c r="A43" s="1206"/>
      <c r="B43" s="2351" t="s">
        <v>1810</v>
      </c>
      <c r="C43" s="2352"/>
      <c r="D43" s="2352"/>
      <c r="E43" s="2352"/>
      <c r="F43" s="2352"/>
      <c r="G43" s="2352"/>
      <c r="H43" s="2352"/>
      <c r="I43" s="2352"/>
      <c r="J43" s="2321"/>
      <c r="K43" s="2321"/>
      <c r="L43" s="2321"/>
      <c r="M43" s="2321"/>
      <c r="N43" s="2321"/>
      <c r="O43" s="2321"/>
      <c r="P43" s="2321"/>
      <c r="Q43" s="2321"/>
      <c r="R43" s="2322"/>
      <c r="S43" s="2322"/>
      <c r="T43" s="2322"/>
      <c r="U43" s="2322"/>
      <c r="V43" s="2322"/>
      <c r="W43" s="2322"/>
      <c r="X43" s="2322"/>
      <c r="Y43" s="2322"/>
      <c r="Z43" s="2322"/>
      <c r="AA43" s="2322"/>
      <c r="AB43" s="2322"/>
      <c r="AC43" s="2322"/>
      <c r="AD43" s="2322"/>
      <c r="AE43" s="2322"/>
      <c r="AF43" s="2322"/>
      <c r="AG43" s="2322"/>
      <c r="AH43" s="2322"/>
      <c r="AI43" s="2322"/>
      <c r="AJ43" s="2322"/>
      <c r="AK43" s="2322"/>
      <c r="AL43" s="2342"/>
      <c r="AM43" s="2343"/>
      <c r="AN43" s="2343"/>
      <c r="AO43" s="2344"/>
      <c r="AP43" s="2342"/>
      <c r="AQ43" s="2343"/>
      <c r="AR43" s="2344"/>
      <c r="AS43" s="2345">
        <f t="shared" si="2"/>
        <v>0</v>
      </c>
      <c r="AT43" s="2346"/>
      <c r="AU43" s="2346"/>
      <c r="AV43" s="2346"/>
      <c r="AW43" s="2346"/>
      <c r="AX43" s="2347"/>
      <c r="AY43" s="2348">
        <f t="shared" si="3"/>
        <v>0</v>
      </c>
      <c r="AZ43" s="2349"/>
      <c r="BA43" s="2349"/>
      <c r="BB43" s="2349"/>
      <c r="BC43" s="2349"/>
      <c r="BD43" s="2350"/>
      <c r="BE43" s="1202"/>
    </row>
    <row r="44" spans="1:58" ht="15.75" customHeight="1">
      <c r="A44" s="1206"/>
      <c r="B44" s="2351" t="s">
        <v>1811</v>
      </c>
      <c r="C44" s="2352"/>
      <c r="D44" s="2352"/>
      <c r="E44" s="2352"/>
      <c r="F44" s="2352"/>
      <c r="G44" s="2352"/>
      <c r="H44" s="2352"/>
      <c r="I44" s="2352"/>
      <c r="J44" s="2321"/>
      <c r="K44" s="2321"/>
      <c r="L44" s="2321"/>
      <c r="M44" s="2321"/>
      <c r="N44" s="2321"/>
      <c r="O44" s="2321"/>
      <c r="P44" s="2321"/>
      <c r="Q44" s="2321"/>
      <c r="R44" s="2322"/>
      <c r="S44" s="2322"/>
      <c r="T44" s="2322"/>
      <c r="U44" s="2322"/>
      <c r="V44" s="2322"/>
      <c r="W44" s="2322"/>
      <c r="X44" s="2322"/>
      <c r="Y44" s="2322"/>
      <c r="Z44" s="2322"/>
      <c r="AA44" s="2322"/>
      <c r="AB44" s="2322"/>
      <c r="AC44" s="2322"/>
      <c r="AD44" s="2322"/>
      <c r="AE44" s="2322"/>
      <c r="AF44" s="2322"/>
      <c r="AG44" s="2322"/>
      <c r="AH44" s="2322"/>
      <c r="AI44" s="2322"/>
      <c r="AJ44" s="2322"/>
      <c r="AK44" s="2322"/>
      <c r="AL44" s="2342"/>
      <c r="AM44" s="2343"/>
      <c r="AN44" s="2343"/>
      <c r="AO44" s="2344"/>
      <c r="AP44" s="2342"/>
      <c r="AQ44" s="2343"/>
      <c r="AR44" s="2344"/>
      <c r="AS44" s="2345">
        <f t="shared" si="2"/>
        <v>0</v>
      </c>
      <c r="AT44" s="2346"/>
      <c r="AU44" s="2346"/>
      <c r="AV44" s="2346"/>
      <c r="AW44" s="2346"/>
      <c r="AX44" s="2347"/>
      <c r="AY44" s="2348">
        <f t="shared" si="3"/>
        <v>0</v>
      </c>
      <c r="AZ44" s="2349"/>
      <c r="BA44" s="2349"/>
      <c r="BB44" s="2349"/>
      <c r="BC44" s="2349"/>
      <c r="BD44" s="2350"/>
      <c r="BE44" s="1202"/>
    </row>
    <row r="45" spans="1:58" ht="15.75" customHeight="1">
      <c r="A45" s="1206"/>
      <c r="B45" s="2351" t="s">
        <v>1812</v>
      </c>
      <c r="C45" s="2352"/>
      <c r="D45" s="2352"/>
      <c r="E45" s="2352"/>
      <c r="F45" s="2352"/>
      <c r="G45" s="2352"/>
      <c r="H45" s="2352"/>
      <c r="I45" s="2352"/>
      <c r="J45" s="2321"/>
      <c r="K45" s="2321"/>
      <c r="L45" s="2321"/>
      <c r="M45" s="2321"/>
      <c r="N45" s="2321"/>
      <c r="O45" s="2321"/>
      <c r="P45" s="2321"/>
      <c r="Q45" s="2321"/>
      <c r="R45" s="2322"/>
      <c r="S45" s="2322"/>
      <c r="T45" s="2322"/>
      <c r="U45" s="2322"/>
      <c r="V45" s="2322"/>
      <c r="W45" s="2322"/>
      <c r="X45" s="2322"/>
      <c r="Y45" s="2322"/>
      <c r="Z45" s="2322"/>
      <c r="AA45" s="2322"/>
      <c r="AB45" s="2322"/>
      <c r="AC45" s="2322"/>
      <c r="AD45" s="2322"/>
      <c r="AE45" s="2322"/>
      <c r="AF45" s="2322"/>
      <c r="AG45" s="2322"/>
      <c r="AH45" s="2322"/>
      <c r="AI45" s="2322"/>
      <c r="AJ45" s="2322"/>
      <c r="AK45" s="2322"/>
      <c r="AL45" s="2342"/>
      <c r="AM45" s="2343"/>
      <c r="AN45" s="2343"/>
      <c r="AO45" s="2344"/>
      <c r="AP45" s="2342"/>
      <c r="AQ45" s="2343"/>
      <c r="AR45" s="2344"/>
      <c r="AS45" s="2345">
        <f t="shared" si="2"/>
        <v>0</v>
      </c>
      <c r="AT45" s="2346"/>
      <c r="AU45" s="2346"/>
      <c r="AV45" s="2346"/>
      <c r="AW45" s="2346"/>
      <c r="AX45" s="2347"/>
      <c r="AY45" s="2348">
        <f t="shared" si="3"/>
        <v>0</v>
      </c>
      <c r="AZ45" s="2349"/>
      <c r="BA45" s="2349"/>
      <c r="BB45" s="2349"/>
      <c r="BC45" s="2349"/>
      <c r="BD45" s="2350"/>
      <c r="BE45" s="1202"/>
    </row>
    <row r="46" spans="1:58" ht="15.75" customHeight="1">
      <c r="A46" s="1206"/>
      <c r="B46" s="2351" t="s">
        <v>1813</v>
      </c>
      <c r="C46" s="2352"/>
      <c r="D46" s="2352"/>
      <c r="E46" s="2352"/>
      <c r="F46" s="2352"/>
      <c r="G46" s="2352"/>
      <c r="H46" s="2352"/>
      <c r="I46" s="2352"/>
      <c r="J46" s="2321"/>
      <c r="K46" s="2321"/>
      <c r="L46" s="2321"/>
      <c r="M46" s="2321"/>
      <c r="N46" s="2321">
        <v>99</v>
      </c>
      <c r="O46" s="2321"/>
      <c r="P46" s="2321"/>
      <c r="Q46" s="2321"/>
      <c r="R46" s="2322"/>
      <c r="S46" s="2322"/>
      <c r="T46" s="2322"/>
      <c r="U46" s="2322"/>
      <c r="V46" s="2322"/>
      <c r="W46" s="2322"/>
      <c r="X46" s="2322"/>
      <c r="Y46" s="2322"/>
      <c r="Z46" s="2322"/>
      <c r="AA46" s="2322"/>
      <c r="AB46" s="2322"/>
      <c r="AC46" s="2322"/>
      <c r="AD46" s="2322"/>
      <c r="AE46" s="2322"/>
      <c r="AF46" s="2322"/>
      <c r="AG46" s="2322"/>
      <c r="AH46" s="2322"/>
      <c r="AI46" s="2322"/>
      <c r="AJ46" s="2322"/>
      <c r="AK46" s="2322"/>
      <c r="AL46" s="2342"/>
      <c r="AM46" s="2343"/>
      <c r="AN46" s="2343"/>
      <c r="AO46" s="2344"/>
      <c r="AP46" s="2342"/>
      <c r="AQ46" s="2343"/>
      <c r="AR46" s="2344"/>
      <c r="AS46" s="2345">
        <f t="shared" si="2"/>
        <v>0</v>
      </c>
      <c r="AT46" s="2346"/>
      <c r="AU46" s="2346"/>
      <c r="AV46" s="2346"/>
      <c r="AW46" s="2346"/>
      <c r="AX46" s="2347"/>
      <c r="AY46" s="2348">
        <f t="shared" si="3"/>
        <v>0</v>
      </c>
      <c r="AZ46" s="2349"/>
      <c r="BA46" s="2349"/>
      <c r="BB46" s="2349"/>
      <c r="BC46" s="2349"/>
      <c r="BD46" s="2350"/>
      <c r="BE46" s="1202"/>
    </row>
    <row r="47" spans="1:58" ht="15.75" customHeight="1" thickBot="1">
      <c r="A47" s="1206"/>
      <c r="B47" s="2365" t="s">
        <v>301</v>
      </c>
      <c r="C47" s="2366"/>
      <c r="D47" s="2366"/>
      <c r="E47" s="2366"/>
      <c r="F47" s="2366"/>
      <c r="G47" s="2366"/>
      <c r="H47" s="2366"/>
      <c r="I47" s="2366"/>
      <c r="J47" s="2367"/>
      <c r="K47" s="2367"/>
      <c r="L47" s="2367"/>
      <c r="M47" s="2367"/>
      <c r="N47" s="2367"/>
      <c r="O47" s="2367"/>
      <c r="P47" s="2367"/>
      <c r="Q47" s="2367"/>
      <c r="R47" s="2364"/>
      <c r="S47" s="2364"/>
      <c r="T47" s="2364"/>
      <c r="U47" s="2364"/>
      <c r="V47" s="2364"/>
      <c r="W47" s="2364"/>
      <c r="X47" s="2364"/>
      <c r="Y47" s="2364"/>
      <c r="Z47" s="2364"/>
      <c r="AA47" s="2364"/>
      <c r="AB47" s="2364"/>
      <c r="AC47" s="2364"/>
      <c r="AD47" s="2364"/>
      <c r="AE47" s="2364"/>
      <c r="AF47" s="2364"/>
      <c r="AG47" s="2364"/>
      <c r="AH47" s="2364"/>
      <c r="AI47" s="2364"/>
      <c r="AJ47" s="2364"/>
      <c r="AK47" s="2364"/>
      <c r="AL47" s="2353"/>
      <c r="AM47" s="2354"/>
      <c r="AN47" s="2354"/>
      <c r="AO47" s="2355"/>
      <c r="AP47" s="2353"/>
      <c r="AQ47" s="2354"/>
      <c r="AR47" s="2355"/>
      <c r="AS47" s="2345">
        <f t="shared" si="2"/>
        <v>0</v>
      </c>
      <c r="AT47" s="2346"/>
      <c r="AU47" s="2346"/>
      <c r="AV47" s="2346"/>
      <c r="AW47" s="2346"/>
      <c r="AX47" s="2347"/>
      <c r="AY47" s="2356">
        <f t="shared" si="3"/>
        <v>0</v>
      </c>
      <c r="AZ47" s="2357"/>
      <c r="BA47" s="2357"/>
      <c r="BB47" s="2357"/>
      <c r="BC47" s="2357"/>
      <c r="BD47" s="2358"/>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9" t="s">
        <v>1814</v>
      </c>
      <c r="C50" s="2360"/>
      <c r="D50" s="2360"/>
      <c r="E50" s="2360"/>
      <c r="F50" s="2360"/>
      <c r="G50" s="2360"/>
      <c r="H50" s="2360"/>
      <c r="I50" s="2360"/>
      <c r="J50" s="2360"/>
      <c r="K50" s="2360"/>
      <c r="L50" s="2360"/>
      <c r="M50" s="2360"/>
      <c r="N50" s="2360"/>
      <c r="O50" s="2360"/>
      <c r="P50" s="2360"/>
      <c r="Q50" s="2360"/>
      <c r="R50" s="2360"/>
      <c r="S50" s="2360"/>
      <c r="T50" s="2360"/>
      <c r="U50" s="2360"/>
      <c r="V50" s="2360"/>
      <c r="W50" s="2360"/>
      <c r="X50" s="2360"/>
      <c r="Y50" s="2360"/>
      <c r="Z50" s="2360"/>
      <c r="AA50" s="2360"/>
      <c r="AB50" s="2360"/>
      <c r="AC50" s="2360"/>
      <c r="AD50" s="2360"/>
      <c r="AE50" s="2360"/>
      <c r="AF50" s="2360"/>
      <c r="AG50" s="2360"/>
      <c r="AH50" s="2360"/>
      <c r="AI50" s="2360"/>
      <c r="AJ50" s="2360"/>
      <c r="AK50" s="2360"/>
      <c r="AL50" s="2360"/>
      <c r="AM50" s="2360"/>
      <c r="AN50" s="2360"/>
      <c r="AO50" s="236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4" t="s">
        <v>1815</v>
      </c>
      <c r="C51" s="2205"/>
      <c r="D51" s="2205"/>
      <c r="E51" s="2205"/>
      <c r="F51" s="2205"/>
      <c r="G51" s="2205"/>
      <c r="H51" s="2205"/>
      <c r="I51" s="2205"/>
      <c r="J51" s="2205" t="s">
        <v>2475</v>
      </c>
      <c r="K51" s="2205"/>
      <c r="L51" s="2205"/>
      <c r="M51" s="2205"/>
      <c r="N51" s="2205"/>
      <c r="O51" s="2205"/>
      <c r="P51" s="2205"/>
      <c r="Q51" s="2205"/>
      <c r="R51" s="2362" t="s">
        <v>2476</v>
      </c>
      <c r="S51" s="2362"/>
      <c r="T51" s="2362"/>
      <c r="U51" s="2362"/>
      <c r="V51" s="2362"/>
      <c r="W51" s="2362"/>
      <c r="X51" s="2362"/>
      <c r="Y51" s="2362"/>
      <c r="Z51" s="2362" t="s">
        <v>1816</v>
      </c>
      <c r="AA51" s="2362"/>
      <c r="AB51" s="2362"/>
      <c r="AC51" s="2362"/>
      <c r="AD51" s="2362"/>
      <c r="AE51" s="2362"/>
      <c r="AF51" s="2362"/>
      <c r="AG51" s="2362"/>
      <c r="AH51" s="2362" t="s">
        <v>1817</v>
      </c>
      <c r="AI51" s="2362"/>
      <c r="AJ51" s="2362"/>
      <c r="AK51" s="2362"/>
      <c r="AL51" s="2362"/>
      <c r="AM51" s="2362"/>
      <c r="AN51" s="2362"/>
      <c r="AO51" s="2363"/>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1" t="s">
        <v>2183</v>
      </c>
      <c r="C52" s="2352"/>
      <c r="D52" s="2352"/>
      <c r="E52" s="2352"/>
      <c r="F52" s="2352"/>
      <c r="G52" s="2352"/>
      <c r="H52" s="2352"/>
      <c r="I52" s="2352"/>
      <c r="J52" s="2368">
        <v>0</v>
      </c>
      <c r="K52" s="2368"/>
      <c r="L52" s="2368"/>
      <c r="M52" s="2368"/>
      <c r="N52" s="2368"/>
      <c r="O52" s="2368"/>
      <c r="P52" s="2368"/>
      <c r="Q52" s="2368"/>
      <c r="R52" s="2369">
        <v>0</v>
      </c>
      <c r="S52" s="2369"/>
      <c r="T52" s="2369"/>
      <c r="U52" s="2369"/>
      <c r="V52" s="2369"/>
      <c r="W52" s="2369"/>
      <c r="X52" s="2369"/>
      <c r="Y52" s="2369"/>
      <c r="Z52" s="2370">
        <v>0</v>
      </c>
      <c r="AA52" s="2370"/>
      <c r="AB52" s="2370"/>
      <c r="AC52" s="2370"/>
      <c r="AD52" s="2370"/>
      <c r="AE52" s="2370"/>
      <c r="AF52" s="2370"/>
      <c r="AG52" s="2370"/>
      <c r="AH52" s="2371"/>
      <c r="AI52" s="2371"/>
      <c r="AJ52" s="2371"/>
      <c r="AK52" s="2371"/>
      <c r="AL52" s="2371"/>
      <c r="AM52" s="2371"/>
      <c r="AN52" s="2371"/>
      <c r="AO52" s="2372"/>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1" t="s">
        <v>2184</v>
      </c>
      <c r="C53" s="2352"/>
      <c r="D53" s="2352"/>
      <c r="E53" s="2352"/>
      <c r="F53" s="2352"/>
      <c r="G53" s="2352"/>
      <c r="H53" s="2352"/>
      <c r="I53" s="2352"/>
      <c r="J53" s="2368">
        <v>0</v>
      </c>
      <c r="K53" s="2368"/>
      <c r="L53" s="2368"/>
      <c r="M53" s="2368"/>
      <c r="N53" s="2368"/>
      <c r="O53" s="2368"/>
      <c r="P53" s="2368"/>
      <c r="Q53" s="2368"/>
      <c r="R53" s="2369">
        <v>0</v>
      </c>
      <c r="S53" s="2369"/>
      <c r="T53" s="2369"/>
      <c r="U53" s="2369"/>
      <c r="V53" s="2369"/>
      <c r="W53" s="2369"/>
      <c r="X53" s="2369"/>
      <c r="Y53" s="2369"/>
      <c r="Z53" s="2370">
        <v>0</v>
      </c>
      <c r="AA53" s="2370"/>
      <c r="AB53" s="2370"/>
      <c r="AC53" s="2370"/>
      <c r="AD53" s="2370"/>
      <c r="AE53" s="2370"/>
      <c r="AF53" s="2370"/>
      <c r="AG53" s="2370"/>
      <c r="AH53" s="2371"/>
      <c r="AI53" s="2371"/>
      <c r="AJ53" s="2371"/>
      <c r="AK53" s="2371"/>
      <c r="AL53" s="2371"/>
      <c r="AM53" s="2371"/>
      <c r="AN53" s="2371"/>
      <c r="AO53" s="2372"/>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1"/>
      <c r="C54" s="2352"/>
      <c r="D54" s="2352"/>
      <c r="E54" s="2352"/>
      <c r="F54" s="2352"/>
      <c r="G54" s="2352"/>
      <c r="H54" s="2352"/>
      <c r="I54" s="2352"/>
      <c r="J54" s="2368"/>
      <c r="K54" s="2368"/>
      <c r="L54" s="2368"/>
      <c r="M54" s="2368"/>
      <c r="N54" s="2368"/>
      <c r="O54" s="2368"/>
      <c r="P54" s="2368"/>
      <c r="Q54" s="2368"/>
      <c r="R54" s="2369"/>
      <c r="S54" s="2369"/>
      <c r="T54" s="2369"/>
      <c r="U54" s="2369"/>
      <c r="V54" s="2369"/>
      <c r="W54" s="2369"/>
      <c r="X54" s="2369"/>
      <c r="Y54" s="2369"/>
      <c r="Z54" s="2370"/>
      <c r="AA54" s="2370"/>
      <c r="AB54" s="2370"/>
      <c r="AC54" s="2370"/>
      <c r="AD54" s="2370"/>
      <c r="AE54" s="2370"/>
      <c r="AF54" s="2370"/>
      <c r="AG54" s="2370"/>
      <c r="AH54" s="2371"/>
      <c r="AI54" s="2371"/>
      <c r="AJ54" s="2371"/>
      <c r="AK54" s="2371"/>
      <c r="AL54" s="2371"/>
      <c r="AM54" s="2371"/>
      <c r="AN54" s="2371"/>
      <c r="AO54" s="2372"/>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1"/>
      <c r="C55" s="2352"/>
      <c r="D55" s="2352"/>
      <c r="E55" s="2352"/>
      <c r="F55" s="2352"/>
      <c r="G55" s="2352"/>
      <c r="H55" s="2352"/>
      <c r="I55" s="2352"/>
      <c r="J55" s="2368"/>
      <c r="K55" s="2368"/>
      <c r="L55" s="2368"/>
      <c r="M55" s="2368"/>
      <c r="N55" s="2368"/>
      <c r="O55" s="2368"/>
      <c r="P55" s="2368"/>
      <c r="Q55" s="2368"/>
      <c r="R55" s="2369"/>
      <c r="S55" s="2369"/>
      <c r="T55" s="2369"/>
      <c r="U55" s="2369"/>
      <c r="V55" s="2369"/>
      <c r="W55" s="2369"/>
      <c r="X55" s="2369"/>
      <c r="Y55" s="2369"/>
      <c r="Z55" s="2370"/>
      <c r="AA55" s="2370"/>
      <c r="AB55" s="2370"/>
      <c r="AC55" s="2370"/>
      <c r="AD55" s="2370"/>
      <c r="AE55" s="2370"/>
      <c r="AF55" s="2370"/>
      <c r="AG55" s="2370"/>
      <c r="AH55" s="2371"/>
      <c r="AI55" s="2371"/>
      <c r="AJ55" s="2371"/>
      <c r="AK55" s="2371"/>
      <c r="AL55" s="2371"/>
      <c r="AM55" s="2371"/>
      <c r="AN55" s="2371"/>
      <c r="AO55" s="2372"/>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1"/>
      <c r="C56" s="2352"/>
      <c r="D56" s="2352"/>
      <c r="E56" s="2352"/>
      <c r="F56" s="2352"/>
      <c r="G56" s="2352"/>
      <c r="H56" s="2352"/>
      <c r="I56" s="2352"/>
      <c r="J56" s="2368"/>
      <c r="K56" s="2368"/>
      <c r="L56" s="2368"/>
      <c r="M56" s="2368"/>
      <c r="N56" s="2368"/>
      <c r="O56" s="2368"/>
      <c r="P56" s="2368"/>
      <c r="Q56" s="2368"/>
      <c r="R56" s="2369"/>
      <c r="S56" s="2369"/>
      <c r="T56" s="2369"/>
      <c r="U56" s="2369"/>
      <c r="V56" s="2369"/>
      <c r="W56" s="2369"/>
      <c r="X56" s="2369"/>
      <c r="Y56" s="2369"/>
      <c r="Z56" s="2370"/>
      <c r="AA56" s="2370"/>
      <c r="AB56" s="2370"/>
      <c r="AC56" s="2370"/>
      <c r="AD56" s="2370"/>
      <c r="AE56" s="2370"/>
      <c r="AF56" s="2370"/>
      <c r="AG56" s="2370"/>
      <c r="AH56" s="2371"/>
      <c r="AI56" s="2371"/>
      <c r="AJ56" s="2371"/>
      <c r="AK56" s="2371"/>
      <c r="AL56" s="2371"/>
      <c r="AM56" s="2371"/>
      <c r="AN56" s="2371"/>
      <c r="AO56" s="2372"/>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4" t="s">
        <v>1696</v>
      </c>
      <c r="C57" s="2225"/>
      <c r="D57" s="2225"/>
      <c r="E57" s="2225"/>
      <c r="F57" s="2225"/>
      <c r="G57" s="2225"/>
      <c r="H57" s="2225"/>
      <c r="I57" s="2225"/>
      <c r="J57" s="2225"/>
      <c r="K57" s="2225"/>
      <c r="L57" s="2225"/>
      <c r="M57" s="2225"/>
      <c r="N57" s="2225"/>
      <c r="O57" s="2225"/>
      <c r="P57" s="2225"/>
      <c r="Q57" s="2225"/>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6" t="s">
        <v>1815</v>
      </c>
      <c r="C59" s="2387"/>
      <c r="D59" s="2387"/>
      <c r="E59" s="2387"/>
      <c r="F59" s="2387"/>
      <c r="G59" s="2387"/>
      <c r="H59" s="2387"/>
      <c r="I59" s="2388"/>
      <c r="J59" s="2272" t="s">
        <v>2477</v>
      </c>
      <c r="K59" s="2272"/>
      <c r="L59" s="2272"/>
      <c r="M59" s="2272"/>
      <c r="N59" s="2272"/>
      <c r="O59" s="2272"/>
      <c r="P59" s="2272"/>
      <c r="Q59" s="2272"/>
      <c r="R59" s="2272"/>
      <c r="S59" s="2272"/>
      <c r="T59" s="2272"/>
      <c r="U59" s="2272"/>
      <c r="V59" s="2272"/>
      <c r="W59" s="2272"/>
      <c r="X59" s="2272"/>
      <c r="Y59" s="2272"/>
      <c r="Z59" s="2272"/>
      <c r="AA59" s="2272"/>
      <c r="AB59" s="2272"/>
      <c r="AC59" s="2272"/>
      <c r="AD59" s="2272"/>
      <c r="AE59" s="2272"/>
      <c r="AF59" s="2272"/>
      <c r="AG59" s="2272"/>
      <c r="AH59" s="2272"/>
      <c r="AI59" s="2272"/>
      <c r="AJ59" s="2272"/>
      <c r="AK59" s="2272"/>
      <c r="AL59" s="2272"/>
      <c r="AM59" s="2272"/>
      <c r="AN59" s="2272"/>
      <c r="AO59" s="2272"/>
      <c r="AP59" s="2272"/>
      <c r="AQ59" s="2272"/>
      <c r="AR59" s="2272"/>
      <c r="AS59" s="2272"/>
      <c r="AT59" s="2272"/>
      <c r="AU59" s="2272"/>
      <c r="AV59" s="2272"/>
      <c r="AW59" s="2273"/>
      <c r="AX59" s="1206"/>
      <c r="AY59" s="1206"/>
      <c r="AZ59" s="1206"/>
      <c r="BA59" s="1206"/>
      <c r="BB59" s="1206"/>
      <c r="BC59" s="1206"/>
      <c r="BD59" s="1206"/>
      <c r="BE59" s="1202"/>
    </row>
    <row r="60" spans="1:58" ht="15.75" customHeight="1">
      <c r="A60" s="1206"/>
      <c r="B60" s="2373" t="str">
        <f>IF(B52="", "", B52)</f>
        <v>Services Company 1</v>
      </c>
      <c r="C60" s="2374"/>
      <c r="D60" s="2374"/>
      <c r="E60" s="2374"/>
      <c r="F60" s="2374"/>
      <c r="G60" s="2374"/>
      <c r="H60" s="2374"/>
      <c r="I60" s="2375"/>
      <c r="J60" s="2376"/>
      <c r="K60" s="2377"/>
      <c r="L60" s="2377"/>
      <c r="M60" s="2377"/>
      <c r="N60" s="2377"/>
      <c r="O60" s="2377"/>
      <c r="P60" s="2377"/>
      <c r="Q60" s="2377"/>
      <c r="R60" s="2377"/>
      <c r="S60" s="2377"/>
      <c r="T60" s="2377"/>
      <c r="U60" s="2377"/>
      <c r="V60" s="2377"/>
      <c r="W60" s="2377"/>
      <c r="X60" s="2377"/>
      <c r="Y60" s="2377"/>
      <c r="Z60" s="2377"/>
      <c r="AA60" s="2377"/>
      <c r="AB60" s="2377"/>
      <c r="AC60" s="2377"/>
      <c r="AD60" s="2377"/>
      <c r="AE60" s="2377"/>
      <c r="AF60" s="2377"/>
      <c r="AG60" s="2377"/>
      <c r="AH60" s="2377"/>
      <c r="AI60" s="2377"/>
      <c r="AJ60" s="2377"/>
      <c r="AK60" s="2377"/>
      <c r="AL60" s="2377"/>
      <c r="AM60" s="2377"/>
      <c r="AN60" s="2377"/>
      <c r="AO60" s="2377"/>
      <c r="AP60" s="2377"/>
      <c r="AQ60" s="2377"/>
      <c r="AR60" s="2377"/>
      <c r="AS60" s="2377"/>
      <c r="AT60" s="2377"/>
      <c r="AU60" s="2377"/>
      <c r="AV60" s="2377"/>
      <c r="AW60" s="2378"/>
      <c r="AX60" s="1206"/>
      <c r="AY60" s="1206"/>
      <c r="AZ60" s="1206"/>
      <c r="BA60" s="1206"/>
      <c r="BB60" s="1206"/>
      <c r="BC60" s="1206"/>
      <c r="BD60" s="1206"/>
      <c r="BE60" s="1202"/>
    </row>
    <row r="61" spans="1:58" ht="15.75" customHeight="1">
      <c r="A61" s="1206"/>
      <c r="B61" s="2373" t="str">
        <f>IF(B53="", "", B53)</f>
        <v>Services Company 2</v>
      </c>
      <c r="C61" s="2374"/>
      <c r="D61" s="2374"/>
      <c r="E61" s="2374"/>
      <c r="F61" s="2374"/>
      <c r="G61" s="2374"/>
      <c r="H61" s="2374"/>
      <c r="I61" s="2375"/>
      <c r="J61" s="2376"/>
      <c r="K61" s="2377"/>
      <c r="L61" s="2377"/>
      <c r="M61" s="2377"/>
      <c r="N61" s="2377"/>
      <c r="O61" s="2377"/>
      <c r="P61" s="2377"/>
      <c r="Q61" s="2377"/>
      <c r="R61" s="2377"/>
      <c r="S61" s="2377"/>
      <c r="T61" s="2377"/>
      <c r="U61" s="2377"/>
      <c r="V61" s="2377"/>
      <c r="W61" s="2377"/>
      <c r="X61" s="2377"/>
      <c r="Y61" s="2377"/>
      <c r="Z61" s="2377"/>
      <c r="AA61" s="2377"/>
      <c r="AB61" s="2377"/>
      <c r="AC61" s="2377"/>
      <c r="AD61" s="2377"/>
      <c r="AE61" s="2377"/>
      <c r="AF61" s="2377"/>
      <c r="AG61" s="2377"/>
      <c r="AH61" s="2377"/>
      <c r="AI61" s="2377"/>
      <c r="AJ61" s="2377"/>
      <c r="AK61" s="2377"/>
      <c r="AL61" s="2377"/>
      <c r="AM61" s="2377"/>
      <c r="AN61" s="2377"/>
      <c r="AO61" s="2377"/>
      <c r="AP61" s="2377"/>
      <c r="AQ61" s="2377"/>
      <c r="AR61" s="2377"/>
      <c r="AS61" s="2377"/>
      <c r="AT61" s="2377"/>
      <c r="AU61" s="2377"/>
      <c r="AV61" s="2377"/>
      <c r="AW61" s="2378"/>
      <c r="AX61" s="1206"/>
      <c r="AY61" s="1206"/>
      <c r="AZ61" s="1206"/>
      <c r="BA61" s="1206"/>
      <c r="BB61" s="1206"/>
      <c r="BC61" s="1206"/>
      <c r="BD61" s="1206"/>
      <c r="BE61" s="1202"/>
    </row>
    <row r="62" spans="1:58" ht="15.75" customHeight="1">
      <c r="A62" s="1206"/>
      <c r="B62" s="2373" t="str">
        <f>IF(B54="", "", B54)</f>
        <v/>
      </c>
      <c r="C62" s="2374"/>
      <c r="D62" s="2374"/>
      <c r="E62" s="2374"/>
      <c r="F62" s="2374"/>
      <c r="G62" s="2374"/>
      <c r="H62" s="2374"/>
      <c r="I62" s="2375"/>
      <c r="J62" s="2376"/>
      <c r="K62" s="2377"/>
      <c r="L62" s="2377"/>
      <c r="M62" s="2377"/>
      <c r="N62" s="2377"/>
      <c r="O62" s="2377"/>
      <c r="P62" s="2377"/>
      <c r="Q62" s="2377"/>
      <c r="R62" s="2377"/>
      <c r="S62" s="2377"/>
      <c r="T62" s="2377"/>
      <c r="U62" s="2377"/>
      <c r="V62" s="2377"/>
      <c r="W62" s="2377"/>
      <c r="X62" s="2377"/>
      <c r="Y62" s="2377"/>
      <c r="Z62" s="2377"/>
      <c r="AA62" s="2377"/>
      <c r="AB62" s="2377"/>
      <c r="AC62" s="2377"/>
      <c r="AD62" s="2377"/>
      <c r="AE62" s="2377"/>
      <c r="AF62" s="2377"/>
      <c r="AG62" s="2377"/>
      <c r="AH62" s="2377"/>
      <c r="AI62" s="2377"/>
      <c r="AJ62" s="2377"/>
      <c r="AK62" s="2377"/>
      <c r="AL62" s="2377"/>
      <c r="AM62" s="2377"/>
      <c r="AN62" s="2377"/>
      <c r="AO62" s="2377"/>
      <c r="AP62" s="2377"/>
      <c r="AQ62" s="2377"/>
      <c r="AR62" s="2377"/>
      <c r="AS62" s="2377"/>
      <c r="AT62" s="2377"/>
      <c r="AU62" s="2377"/>
      <c r="AV62" s="2377"/>
      <c r="AW62" s="2378"/>
      <c r="AX62" s="1206"/>
      <c r="AY62" s="1206"/>
      <c r="AZ62" s="1206"/>
      <c r="BA62" s="1206"/>
      <c r="BB62" s="1206"/>
      <c r="BC62" s="1206"/>
      <c r="BD62" s="1206"/>
      <c r="BE62" s="1202"/>
    </row>
    <row r="63" spans="1:58" ht="15.75" customHeight="1">
      <c r="A63" s="1206"/>
      <c r="B63" s="2373" t="str">
        <f>IF(B55="", "", B55)</f>
        <v/>
      </c>
      <c r="C63" s="2374"/>
      <c r="D63" s="2374"/>
      <c r="E63" s="2374"/>
      <c r="F63" s="2374"/>
      <c r="G63" s="2374"/>
      <c r="H63" s="2374"/>
      <c r="I63" s="2375"/>
      <c r="J63" s="2376"/>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7"/>
      <c r="AK63" s="2377"/>
      <c r="AL63" s="2377"/>
      <c r="AM63" s="2377"/>
      <c r="AN63" s="2377"/>
      <c r="AO63" s="2377"/>
      <c r="AP63" s="2377"/>
      <c r="AQ63" s="2377"/>
      <c r="AR63" s="2377"/>
      <c r="AS63" s="2377"/>
      <c r="AT63" s="2377"/>
      <c r="AU63" s="2377"/>
      <c r="AV63" s="2377"/>
      <c r="AW63" s="2378"/>
      <c r="AX63" s="1206"/>
      <c r="AY63" s="1206"/>
      <c r="AZ63" s="1206"/>
      <c r="BA63" s="1206"/>
      <c r="BB63" s="1206"/>
      <c r="BC63" s="1206"/>
      <c r="BD63" s="1206"/>
      <c r="BE63" s="1202"/>
    </row>
    <row r="64" spans="1:58" ht="15.75" customHeight="1" thickBot="1">
      <c r="A64" s="1206"/>
      <c r="B64" s="2379" t="str">
        <f>IF(B56="", "", B56)</f>
        <v/>
      </c>
      <c r="C64" s="2380"/>
      <c r="D64" s="2380"/>
      <c r="E64" s="2380"/>
      <c r="F64" s="2380"/>
      <c r="G64" s="2380"/>
      <c r="H64" s="2380"/>
      <c r="I64" s="2381"/>
      <c r="J64" s="2389"/>
      <c r="K64" s="2390"/>
      <c r="L64" s="2390"/>
      <c r="M64" s="2390"/>
      <c r="N64" s="2390"/>
      <c r="O64" s="2390"/>
      <c r="P64" s="2390"/>
      <c r="Q64" s="2390"/>
      <c r="R64" s="2390"/>
      <c r="S64" s="2390"/>
      <c r="T64" s="2390"/>
      <c r="U64" s="2390"/>
      <c r="V64" s="2390"/>
      <c r="W64" s="2390"/>
      <c r="X64" s="2390"/>
      <c r="Y64" s="2390"/>
      <c r="Z64" s="2390"/>
      <c r="AA64" s="2390"/>
      <c r="AB64" s="2390"/>
      <c r="AC64" s="2390"/>
      <c r="AD64" s="2390"/>
      <c r="AE64" s="2390"/>
      <c r="AF64" s="2390"/>
      <c r="AG64" s="2390"/>
      <c r="AH64" s="2390"/>
      <c r="AI64" s="2390"/>
      <c r="AJ64" s="2390"/>
      <c r="AK64" s="2390"/>
      <c r="AL64" s="2390"/>
      <c r="AM64" s="2390"/>
      <c r="AN64" s="2390"/>
      <c r="AO64" s="2390"/>
      <c r="AP64" s="2390"/>
      <c r="AQ64" s="2390"/>
      <c r="AR64" s="2390"/>
      <c r="AS64" s="2390"/>
      <c r="AT64" s="2390"/>
      <c r="AU64" s="2390"/>
      <c r="AV64" s="2390"/>
      <c r="AW64" s="2391"/>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1" t="s">
        <v>1819</v>
      </c>
      <c r="C68" s="2272"/>
      <c r="D68" s="2272"/>
      <c r="E68" s="2272"/>
      <c r="F68" s="2272"/>
      <c r="G68" s="2272"/>
      <c r="H68" s="2272"/>
      <c r="I68" s="2272"/>
      <c r="J68" s="2272"/>
      <c r="K68" s="2272"/>
      <c r="L68" s="2272"/>
      <c r="M68" s="2272"/>
      <c r="N68" s="2272"/>
      <c r="O68" s="2272"/>
      <c r="P68" s="2272"/>
      <c r="Q68" s="2272"/>
      <c r="R68" s="2272"/>
      <c r="S68" s="2272"/>
      <c r="T68" s="2272"/>
      <c r="U68" s="2272"/>
      <c r="V68" s="2272"/>
      <c r="W68" s="2272"/>
      <c r="X68" s="2272"/>
      <c r="Y68" s="2272"/>
      <c r="Z68" s="2272"/>
      <c r="AA68" s="2273"/>
      <c r="AB68" s="1206"/>
      <c r="AC68" s="2464" t="s">
        <v>1820</v>
      </c>
      <c r="AD68" s="2465"/>
      <c r="AE68" s="2465"/>
      <c r="AF68" s="2465"/>
      <c r="AG68" s="2465"/>
      <c r="AH68" s="2465"/>
      <c r="AI68" s="2465"/>
      <c r="AJ68" s="2465"/>
      <c r="AK68" s="2465"/>
      <c r="AL68" s="2465"/>
      <c r="AM68" s="2465"/>
      <c r="AN68" s="2465"/>
      <c r="AO68" s="2465"/>
      <c r="AP68" s="2465"/>
      <c r="AQ68" s="2465"/>
      <c r="AR68" s="2465"/>
      <c r="AS68" s="2465"/>
      <c r="AT68" s="2465"/>
      <c r="AU68" s="2465"/>
      <c r="AV68" s="2591" t="s">
        <v>677</v>
      </c>
      <c r="AW68" s="2424"/>
      <c r="AX68" s="2424"/>
      <c r="AY68" s="2424"/>
      <c r="AZ68" s="2424"/>
      <c r="BA68" s="2424"/>
      <c r="BB68" s="2424"/>
      <c r="BC68" s="2425"/>
      <c r="BD68" s="1206"/>
      <c r="BE68" s="1202"/>
      <c r="BM68" s="1251" t="s">
        <v>2478</v>
      </c>
    </row>
    <row r="69" spans="1:65" ht="15.75" customHeight="1" thickTop="1" thickBot="1">
      <c r="A69" s="1206"/>
      <c r="B69" s="2592" t="s">
        <v>1821</v>
      </c>
      <c r="C69" s="2593"/>
      <c r="D69" s="2593"/>
      <c r="E69" s="2593"/>
      <c r="F69" s="2593"/>
      <c r="G69" s="2593"/>
      <c r="H69" s="2593"/>
      <c r="I69" s="2593"/>
      <c r="J69" s="2593"/>
      <c r="K69" s="2593"/>
      <c r="L69" s="2593"/>
      <c r="M69" s="2593"/>
      <c r="N69" s="2593"/>
      <c r="O69" s="2594" t="s">
        <v>1822</v>
      </c>
      <c r="P69" s="2595"/>
      <c r="Q69" s="2595"/>
      <c r="R69" s="2595"/>
      <c r="S69" s="2595"/>
      <c r="T69" s="2595"/>
      <c r="U69" s="2595"/>
      <c r="V69" s="2595"/>
      <c r="W69" s="2595"/>
      <c r="X69" s="2595"/>
      <c r="Y69" s="2595"/>
      <c r="Z69" s="2595"/>
      <c r="AA69" s="2596"/>
      <c r="AB69" s="1206"/>
      <c r="AC69" s="2597" t="s">
        <v>1823</v>
      </c>
      <c r="AD69" s="2598"/>
      <c r="AE69" s="2598"/>
      <c r="AF69" s="2598"/>
      <c r="AG69" s="2598"/>
      <c r="AH69" s="2598"/>
      <c r="AI69" s="2598"/>
      <c r="AJ69" s="2598"/>
      <c r="AK69" s="2598"/>
      <c r="AL69" s="2598"/>
      <c r="AM69" s="2598"/>
      <c r="AN69" s="2598"/>
      <c r="AO69" s="2598"/>
      <c r="AP69" s="2598"/>
      <c r="AQ69" s="2598"/>
      <c r="AR69" s="2598"/>
      <c r="AS69" s="2598"/>
      <c r="AT69" s="2598"/>
      <c r="AU69" s="2598"/>
      <c r="AV69" s="2599"/>
      <c r="AW69" s="2600"/>
      <c r="AX69" s="2600"/>
      <c r="AY69" s="2600"/>
      <c r="AZ69" s="2600"/>
      <c r="BA69" s="2600"/>
      <c r="BB69" s="2600"/>
      <c r="BC69" s="2601"/>
      <c r="BD69" s="1206"/>
      <c r="BE69" s="1202"/>
      <c r="BM69" s="1250" t="s">
        <v>553</v>
      </c>
    </row>
    <row r="70" spans="1:65" ht="15.75" customHeight="1">
      <c r="A70" s="1206"/>
      <c r="B70" s="2319" t="s">
        <v>2479</v>
      </c>
      <c r="C70" s="2320"/>
      <c r="D70" s="2320"/>
      <c r="E70" s="2320"/>
      <c r="F70" s="2320"/>
      <c r="G70" s="2320"/>
      <c r="H70" s="2320"/>
      <c r="I70" s="2320"/>
      <c r="J70" s="2320"/>
      <c r="K70" s="2320"/>
      <c r="L70" s="2320"/>
      <c r="M70" s="2320"/>
      <c r="N70" s="2320"/>
      <c r="O70" s="2399">
        <v>0</v>
      </c>
      <c r="P70" s="2399"/>
      <c r="Q70" s="2399"/>
      <c r="R70" s="2399"/>
      <c r="S70" s="2399"/>
      <c r="T70" s="2399"/>
      <c r="U70" s="2399"/>
      <c r="V70" s="2399"/>
      <c r="W70" s="2399"/>
      <c r="X70" s="2399"/>
      <c r="Y70" s="2399"/>
      <c r="Z70" s="2399"/>
      <c r="AA70" s="2400"/>
      <c r="AB70" s="1206"/>
      <c r="AC70" s="2359" t="s">
        <v>1824</v>
      </c>
      <c r="AD70" s="2360"/>
      <c r="AE70" s="2360"/>
      <c r="AF70" s="2403"/>
      <c r="AG70" s="2403"/>
      <c r="AH70" s="2403"/>
      <c r="AI70" s="2403"/>
      <c r="AJ70" s="2403"/>
      <c r="AK70" s="2403"/>
      <c r="AL70" s="2403"/>
      <c r="AM70" s="2403"/>
      <c r="AN70" s="2403"/>
      <c r="AO70" s="2403"/>
      <c r="AP70" s="2403"/>
      <c r="AQ70" s="2403"/>
      <c r="AR70" s="2403"/>
      <c r="AS70" s="2403"/>
      <c r="AT70" s="2403"/>
      <c r="AU70" s="2404"/>
      <c r="AV70" s="1206"/>
      <c r="AW70" s="1206"/>
      <c r="AX70" s="1206"/>
      <c r="AY70" s="1206"/>
      <c r="AZ70" s="1206"/>
      <c r="BA70" s="1206"/>
      <c r="BB70" s="1206"/>
      <c r="BC70" s="1206"/>
      <c r="BD70" s="1206"/>
      <c r="BE70" s="1202"/>
      <c r="BM70" s="1249" t="s">
        <v>677</v>
      </c>
    </row>
    <row r="71" spans="1:65" ht="15.75" customHeight="1" thickBot="1">
      <c r="A71" s="1206"/>
      <c r="B71" s="2319" t="s">
        <v>2480</v>
      </c>
      <c r="C71" s="2320"/>
      <c r="D71" s="2320"/>
      <c r="E71" s="2320"/>
      <c r="F71" s="2320"/>
      <c r="G71" s="2320"/>
      <c r="H71" s="2320"/>
      <c r="I71" s="2320"/>
      <c r="J71" s="2320"/>
      <c r="K71" s="2320"/>
      <c r="L71" s="2320"/>
      <c r="M71" s="2320"/>
      <c r="N71" s="2320"/>
      <c r="O71" s="2399">
        <v>0</v>
      </c>
      <c r="P71" s="2399"/>
      <c r="Q71" s="2399"/>
      <c r="R71" s="2399"/>
      <c r="S71" s="2399"/>
      <c r="T71" s="2399"/>
      <c r="U71" s="2399"/>
      <c r="V71" s="2399"/>
      <c r="W71" s="2399"/>
      <c r="X71" s="2399"/>
      <c r="Y71" s="2399"/>
      <c r="Z71" s="2399"/>
      <c r="AA71" s="2400"/>
      <c r="AB71" s="1206"/>
      <c r="AC71" s="2405" t="s">
        <v>1825</v>
      </c>
      <c r="AD71" s="2406"/>
      <c r="AE71" s="2406"/>
      <c r="AF71" s="2390"/>
      <c r="AG71" s="2390"/>
      <c r="AH71" s="2390"/>
      <c r="AI71" s="2390"/>
      <c r="AJ71" s="2390"/>
      <c r="AK71" s="2390"/>
      <c r="AL71" s="2390"/>
      <c r="AM71" s="2390"/>
      <c r="AN71" s="2390"/>
      <c r="AO71" s="2390"/>
      <c r="AP71" s="2390"/>
      <c r="AQ71" s="2390"/>
      <c r="AR71" s="2390"/>
      <c r="AS71" s="2390"/>
      <c r="AT71" s="2390"/>
      <c r="AU71" s="2391"/>
      <c r="AV71" s="1206"/>
      <c r="AW71" s="1206"/>
      <c r="AX71" s="1206"/>
      <c r="AY71" s="1206"/>
      <c r="AZ71" s="1206"/>
      <c r="BA71" s="1206"/>
      <c r="BB71" s="1206"/>
      <c r="BC71" s="1206"/>
      <c r="BD71" s="1206"/>
      <c r="BE71" s="1202"/>
      <c r="BM71" s="1197" t="s">
        <v>2481</v>
      </c>
    </row>
    <row r="72" spans="1:65" ht="15.75" customHeight="1">
      <c r="A72" s="1206"/>
      <c r="B72" s="2319" t="s">
        <v>2482</v>
      </c>
      <c r="C72" s="2320"/>
      <c r="D72" s="2320"/>
      <c r="E72" s="2320"/>
      <c r="F72" s="2320"/>
      <c r="G72" s="2320"/>
      <c r="H72" s="2320"/>
      <c r="I72" s="2320"/>
      <c r="J72" s="2320"/>
      <c r="K72" s="2320"/>
      <c r="L72" s="2320"/>
      <c r="M72" s="2320"/>
      <c r="N72" s="2320"/>
      <c r="O72" s="2399">
        <v>0</v>
      </c>
      <c r="P72" s="2399"/>
      <c r="Q72" s="2399"/>
      <c r="R72" s="2399"/>
      <c r="S72" s="2399"/>
      <c r="T72" s="2399"/>
      <c r="U72" s="2399"/>
      <c r="V72" s="2399"/>
      <c r="W72" s="2399"/>
      <c r="X72" s="2399"/>
      <c r="Y72" s="2399"/>
      <c r="Z72" s="2399"/>
      <c r="AA72" s="2400"/>
      <c r="AB72" s="1206"/>
      <c r="AC72" s="2606" t="s">
        <v>2483</v>
      </c>
      <c r="AD72" s="2607"/>
      <c r="AE72" s="2607"/>
      <c r="AF72" s="2607"/>
      <c r="AG72" s="2607"/>
      <c r="AH72" s="2607"/>
      <c r="AI72" s="2607"/>
      <c r="AJ72" s="2607"/>
      <c r="AK72" s="2607"/>
      <c r="AL72" s="2607"/>
      <c r="AM72" s="2607"/>
      <c r="AN72" s="2607"/>
      <c r="AO72" s="2607"/>
      <c r="AP72" s="2607"/>
      <c r="AQ72" s="2607"/>
      <c r="AR72" s="2607"/>
      <c r="AS72" s="2607"/>
      <c r="AT72" s="2607"/>
      <c r="AU72" s="2607"/>
      <c r="AV72" s="2360"/>
      <c r="AW72" s="2360"/>
      <c r="AX72" s="2360"/>
      <c r="AY72" s="2360"/>
      <c r="AZ72" s="2360"/>
      <c r="BA72" s="2360"/>
      <c r="BB72" s="2360"/>
      <c r="BC72" s="2361"/>
      <c r="BD72" s="1206"/>
      <c r="BE72" s="1202"/>
    </row>
    <row r="73" spans="1:65" ht="15.75" customHeight="1">
      <c r="A73" s="1206"/>
      <c r="B73" s="2351" t="s">
        <v>2484</v>
      </c>
      <c r="C73" s="2352"/>
      <c r="D73" s="2352"/>
      <c r="E73" s="2352"/>
      <c r="F73" s="2352"/>
      <c r="G73" s="2352"/>
      <c r="H73" s="2352"/>
      <c r="I73" s="2352"/>
      <c r="J73" s="2352"/>
      <c r="K73" s="2352"/>
      <c r="L73" s="2352"/>
      <c r="M73" s="2352"/>
      <c r="N73" s="2352"/>
      <c r="O73" s="2399">
        <v>0</v>
      </c>
      <c r="P73" s="2399"/>
      <c r="Q73" s="2399"/>
      <c r="R73" s="2399"/>
      <c r="S73" s="2399"/>
      <c r="T73" s="2399"/>
      <c r="U73" s="2399"/>
      <c r="V73" s="2399"/>
      <c r="W73" s="2399"/>
      <c r="X73" s="2399"/>
      <c r="Y73" s="2399"/>
      <c r="Z73" s="2399"/>
      <c r="AA73" s="2400"/>
      <c r="AB73" s="1206"/>
      <c r="AC73" s="2392" t="s">
        <v>2185</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75" customHeight="1">
      <c r="A74" s="1206"/>
      <c r="B74" s="2398"/>
      <c r="C74" s="2368"/>
      <c r="D74" s="2368"/>
      <c r="E74" s="2368"/>
      <c r="F74" s="2368"/>
      <c r="G74" s="2368"/>
      <c r="H74" s="2368"/>
      <c r="I74" s="2368"/>
      <c r="J74" s="2368"/>
      <c r="K74" s="2368"/>
      <c r="L74" s="2368"/>
      <c r="M74" s="2368"/>
      <c r="N74" s="2368"/>
      <c r="O74" s="2399"/>
      <c r="P74" s="2399"/>
      <c r="Q74" s="2399"/>
      <c r="R74" s="2399"/>
      <c r="S74" s="2399"/>
      <c r="T74" s="2399"/>
      <c r="U74" s="2399"/>
      <c r="V74" s="2399"/>
      <c r="W74" s="2399"/>
      <c r="X74" s="2399"/>
      <c r="Y74" s="2399"/>
      <c r="Z74" s="2399"/>
      <c r="AA74" s="2400"/>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75" customHeight="1" thickBot="1">
      <c r="A75" s="1206"/>
      <c r="B75" s="2401" t="s">
        <v>124</v>
      </c>
      <c r="C75" s="2402"/>
      <c r="D75" s="2402"/>
      <c r="E75" s="2402"/>
      <c r="F75" s="2402"/>
      <c r="G75" s="2402"/>
      <c r="H75" s="2402"/>
      <c r="I75" s="2402"/>
      <c r="J75" s="2402"/>
      <c r="K75" s="2402"/>
      <c r="L75" s="2402"/>
      <c r="M75" s="2402"/>
      <c r="N75" s="2402"/>
      <c r="O75" s="2582">
        <f>SUM(O70:AA74)</f>
        <v>0</v>
      </c>
      <c r="P75" s="2582"/>
      <c r="Q75" s="2582"/>
      <c r="R75" s="2582"/>
      <c r="S75" s="2582"/>
      <c r="T75" s="2582"/>
      <c r="U75" s="2582"/>
      <c r="V75" s="2582"/>
      <c r="W75" s="2582"/>
      <c r="X75" s="2582"/>
      <c r="Y75" s="2582"/>
      <c r="Z75" s="2582"/>
      <c r="AA75" s="2583"/>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4"/>
      <c r="G79" s="2585"/>
      <c r="H79" s="2585"/>
      <c r="I79" s="2585"/>
      <c r="J79" s="2585"/>
      <c r="K79" s="2585"/>
      <c r="L79" s="2585"/>
      <c r="M79" s="2586"/>
      <c r="N79" s="2586"/>
      <c r="O79" s="2586"/>
      <c r="P79" s="2586"/>
      <c r="Q79" s="258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8" t="e">
        <f>BR96/SUM($BR$96:$BR$98)</f>
        <v>#DIV/0!</v>
      </c>
      <c r="P80" s="2589"/>
      <c r="Q80" s="259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2" t="s">
        <v>2549</v>
      </c>
      <c r="P81" s="2603"/>
      <c r="Q81" s="26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9" t="s">
        <v>2168</v>
      </c>
      <c r="C83" s="2210"/>
      <c r="D83" s="2210"/>
      <c r="E83" s="2210"/>
      <c r="F83" s="2210"/>
      <c r="G83" s="2210"/>
      <c r="H83" s="2210"/>
      <c r="I83" s="2210"/>
      <c r="J83" s="2210"/>
      <c r="K83" s="2210"/>
      <c r="L83" s="2210"/>
      <c r="M83" s="2210"/>
      <c r="N83" s="2210"/>
      <c r="O83" s="2210"/>
      <c r="P83" s="2210"/>
      <c r="Q83" s="2210"/>
      <c r="R83" s="2210"/>
      <c r="S83" s="2210"/>
      <c r="T83" s="2210"/>
      <c r="U83" s="2210"/>
      <c r="V83" s="2210"/>
      <c r="W83" s="2210"/>
      <c r="X83" s="2210"/>
      <c r="Y83" s="2210"/>
      <c r="Z83" s="2210"/>
      <c r="AA83" s="2210"/>
      <c r="AB83" s="2210"/>
      <c r="AC83" s="2210"/>
      <c r="AD83" s="2210"/>
      <c r="AE83" s="2210"/>
      <c r="AF83" s="2210"/>
      <c r="AG83" s="2210"/>
      <c r="AH83" s="2211"/>
      <c r="AI83" s="1206"/>
      <c r="AJ83" s="2245" t="s">
        <v>2616</v>
      </c>
      <c r="AK83" s="2246"/>
      <c r="AL83" s="2246"/>
      <c r="AM83" s="2246"/>
      <c r="AN83" s="2246"/>
      <c r="AO83" s="2246"/>
      <c r="AP83" s="2246"/>
      <c r="AQ83" s="2246"/>
      <c r="AR83" s="2246"/>
      <c r="AS83" s="2246"/>
      <c r="AT83" s="2246"/>
      <c r="AU83" s="2246"/>
      <c r="AV83" s="2246"/>
      <c r="AW83" s="2246"/>
      <c r="AX83" s="2246"/>
      <c r="AY83" s="2249" t="s">
        <v>553</v>
      </c>
      <c r="AZ83" s="2249"/>
      <c r="BA83" s="2249"/>
      <c r="BB83" s="2250"/>
      <c r="BC83" s="1206"/>
      <c r="BD83" s="1206"/>
      <c r="BE83" s="1202"/>
    </row>
    <row r="84" spans="1:70" ht="15.75" customHeight="1">
      <c r="A84" s="1206"/>
      <c r="B84" s="2204"/>
      <c r="C84" s="2205"/>
      <c r="D84" s="2205"/>
      <c r="E84" s="2205"/>
      <c r="F84" s="2205"/>
      <c r="G84" s="2205"/>
      <c r="H84" s="2205"/>
      <c r="I84" s="2205" t="s">
        <v>1826</v>
      </c>
      <c r="J84" s="2205"/>
      <c r="K84" s="2205"/>
      <c r="L84" s="2205"/>
      <c r="M84" s="2205"/>
      <c r="N84" s="2205"/>
      <c r="O84" s="2205" t="s">
        <v>1827</v>
      </c>
      <c r="P84" s="2205"/>
      <c r="Q84" s="2205"/>
      <c r="R84" s="2205"/>
      <c r="S84" s="2205"/>
      <c r="T84" s="2205"/>
      <c r="U84" s="2205"/>
      <c r="V84" s="2201" t="s">
        <v>2186</v>
      </c>
      <c r="W84" s="2201"/>
      <c r="X84" s="2201"/>
      <c r="Y84" s="2201"/>
      <c r="Z84" s="2201"/>
      <c r="AA84" s="2201"/>
      <c r="AB84" s="2202" t="s">
        <v>1828</v>
      </c>
      <c r="AC84" s="2202"/>
      <c r="AD84" s="2202"/>
      <c r="AE84" s="2202"/>
      <c r="AF84" s="2202"/>
      <c r="AG84" s="2202"/>
      <c r="AH84" s="2203"/>
      <c r="AI84" s="1206"/>
      <c r="AJ84" s="2247"/>
      <c r="AK84" s="2248"/>
      <c r="AL84" s="2248"/>
      <c r="AM84" s="2248"/>
      <c r="AN84" s="2248"/>
      <c r="AO84" s="2248"/>
      <c r="AP84" s="2248"/>
      <c r="AQ84" s="2248"/>
      <c r="AR84" s="2248"/>
      <c r="AS84" s="2248"/>
      <c r="AT84" s="2248"/>
      <c r="AU84" s="2248"/>
      <c r="AV84" s="2248"/>
      <c r="AW84" s="2248"/>
      <c r="AX84" s="2248"/>
      <c r="AY84" s="2251"/>
      <c r="AZ84" s="2251"/>
      <c r="BA84" s="2251"/>
      <c r="BB84" s="2252"/>
      <c r="BC84" s="1206"/>
      <c r="BD84" s="1206"/>
      <c r="BE84" s="1202"/>
    </row>
    <row r="85" spans="1:70" ht="15.75" customHeight="1">
      <c r="A85" s="1206"/>
      <c r="B85" s="2204"/>
      <c r="C85" s="2205"/>
      <c r="D85" s="2205"/>
      <c r="E85" s="2205"/>
      <c r="F85" s="2205"/>
      <c r="G85" s="2205"/>
      <c r="H85" s="2205"/>
      <c r="I85" s="2205"/>
      <c r="J85" s="2205"/>
      <c r="K85" s="2205"/>
      <c r="L85" s="2205"/>
      <c r="M85" s="2205"/>
      <c r="N85" s="2205"/>
      <c r="O85" s="2205"/>
      <c r="P85" s="2205"/>
      <c r="Q85" s="2205"/>
      <c r="R85" s="2205"/>
      <c r="S85" s="2205"/>
      <c r="T85" s="2205"/>
      <c r="U85" s="2205"/>
      <c r="V85" s="2201"/>
      <c r="W85" s="2201"/>
      <c r="X85" s="2201"/>
      <c r="Y85" s="2201"/>
      <c r="Z85" s="2201"/>
      <c r="AA85" s="2201"/>
      <c r="AB85" s="2202"/>
      <c r="AC85" s="2202"/>
      <c r="AD85" s="2202"/>
      <c r="AE85" s="2202"/>
      <c r="AF85" s="2202"/>
      <c r="AG85" s="2202"/>
      <c r="AH85" s="2203"/>
      <c r="AI85" s="1206"/>
      <c r="AJ85" s="2247"/>
      <c r="AK85" s="2248"/>
      <c r="AL85" s="2248"/>
      <c r="AM85" s="2248"/>
      <c r="AN85" s="2248"/>
      <c r="AO85" s="2248"/>
      <c r="AP85" s="2248"/>
      <c r="AQ85" s="2248"/>
      <c r="AR85" s="2248"/>
      <c r="AS85" s="2248"/>
      <c r="AT85" s="2248"/>
      <c r="AU85" s="2248"/>
      <c r="AV85" s="2248"/>
      <c r="AW85" s="2248"/>
      <c r="AX85" s="2248"/>
      <c r="AY85" s="2251"/>
      <c r="AZ85" s="2251"/>
      <c r="BA85" s="2251"/>
      <c r="BB85" s="2252"/>
      <c r="BC85" s="1206"/>
      <c r="BD85" s="1206"/>
      <c r="BE85" s="1202"/>
    </row>
    <row r="86" spans="1:70" ht="15.75" customHeight="1">
      <c r="A86" s="1206"/>
      <c r="B86" s="2204" t="s">
        <v>2169</v>
      </c>
      <c r="C86" s="2205"/>
      <c r="D86" s="2205"/>
      <c r="E86" s="2205"/>
      <c r="F86" s="2205"/>
      <c r="G86" s="2205"/>
      <c r="H86" s="2205"/>
      <c r="I86" s="2206">
        <v>0</v>
      </c>
      <c r="J86" s="2206"/>
      <c r="K86" s="2206"/>
      <c r="L86" s="2206"/>
      <c r="M86" s="2206"/>
      <c r="N86" s="2206"/>
      <c r="O86" s="2206">
        <v>0</v>
      </c>
      <c r="P86" s="2206"/>
      <c r="Q86" s="2206"/>
      <c r="R86" s="2206"/>
      <c r="S86" s="2206"/>
      <c r="T86" s="2206"/>
      <c r="U86" s="2206"/>
      <c r="V86" s="2206">
        <v>0</v>
      </c>
      <c r="W86" s="2206"/>
      <c r="X86" s="2206"/>
      <c r="Y86" s="2206"/>
      <c r="Z86" s="2206"/>
      <c r="AA86" s="2206"/>
      <c r="AB86" s="2206">
        <v>0</v>
      </c>
      <c r="AC86" s="2206"/>
      <c r="AD86" s="2206"/>
      <c r="AE86" s="2206"/>
      <c r="AF86" s="2206"/>
      <c r="AG86" s="2206"/>
      <c r="AH86" s="2212"/>
      <c r="AI86" s="1206"/>
      <c r="AJ86" s="2247"/>
      <c r="AK86" s="2248"/>
      <c r="AL86" s="2248"/>
      <c r="AM86" s="2248"/>
      <c r="AN86" s="2248"/>
      <c r="AO86" s="2248"/>
      <c r="AP86" s="2248"/>
      <c r="AQ86" s="2248"/>
      <c r="AR86" s="2248"/>
      <c r="AS86" s="2248"/>
      <c r="AT86" s="2248"/>
      <c r="AU86" s="2248"/>
      <c r="AV86" s="2248"/>
      <c r="AW86" s="2248"/>
      <c r="AX86" s="2248"/>
      <c r="AY86" s="2251"/>
      <c r="AZ86" s="2251"/>
      <c r="BA86" s="2251"/>
      <c r="BB86" s="2252"/>
      <c r="BC86" s="1206"/>
      <c r="BD86" s="1206"/>
      <c r="BE86" s="1202"/>
    </row>
    <row r="87" spans="1:70" ht="15.75" customHeight="1">
      <c r="A87" s="1206"/>
      <c r="B87" s="2204" t="s">
        <v>2170</v>
      </c>
      <c r="C87" s="2205"/>
      <c r="D87" s="2205"/>
      <c r="E87" s="2205"/>
      <c r="F87" s="2205"/>
      <c r="G87" s="2205"/>
      <c r="H87" s="2205"/>
      <c r="I87" s="2206">
        <v>0</v>
      </c>
      <c r="J87" s="2206"/>
      <c r="K87" s="2206"/>
      <c r="L87" s="2206"/>
      <c r="M87" s="2206"/>
      <c r="N87" s="2206"/>
      <c r="O87" s="2206">
        <v>0</v>
      </c>
      <c r="P87" s="2206"/>
      <c r="Q87" s="2206"/>
      <c r="R87" s="2206"/>
      <c r="S87" s="2206"/>
      <c r="T87" s="2206"/>
      <c r="U87" s="2206"/>
      <c r="V87" s="2206">
        <v>0</v>
      </c>
      <c r="W87" s="2206"/>
      <c r="X87" s="2206"/>
      <c r="Y87" s="2206"/>
      <c r="Z87" s="2206"/>
      <c r="AA87" s="2206"/>
      <c r="AB87" s="2206">
        <v>0</v>
      </c>
      <c r="AC87" s="2206"/>
      <c r="AD87" s="2206"/>
      <c r="AE87" s="2206"/>
      <c r="AF87" s="2206"/>
      <c r="AG87" s="2206"/>
      <c r="AH87" s="2212"/>
      <c r="AI87" s="1206"/>
      <c r="AJ87" s="2218" t="s">
        <v>2485</v>
      </c>
      <c r="AK87" s="2219"/>
      <c r="AL87" s="2219"/>
      <c r="AM87" s="2219"/>
      <c r="AN87" s="2219"/>
      <c r="AO87" s="2219"/>
      <c r="AP87" s="2219"/>
      <c r="AQ87" s="2219"/>
      <c r="AR87" s="2219"/>
      <c r="AS87" s="2219"/>
      <c r="AT87" s="2219"/>
      <c r="AU87" s="2219"/>
      <c r="AV87" s="2219"/>
      <c r="AW87" s="2219"/>
      <c r="AX87" s="2219"/>
      <c r="AY87" s="2219"/>
      <c r="AZ87" s="2219"/>
      <c r="BA87" s="2219"/>
      <c r="BB87" s="2220"/>
      <c r="BC87" s="1206"/>
      <c r="BD87" s="1206"/>
      <c r="BE87" s="1202"/>
    </row>
    <row r="88" spans="1:70" ht="15.75" customHeight="1" thickBot="1">
      <c r="A88" s="1206"/>
      <c r="B88" s="2224" t="s">
        <v>1829</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6"/>
      <c r="AJ88" s="2221"/>
      <c r="AK88" s="2222"/>
      <c r="AL88" s="2222"/>
      <c r="AM88" s="2222"/>
      <c r="AN88" s="2222"/>
      <c r="AO88" s="2222"/>
      <c r="AP88" s="2222"/>
      <c r="AQ88" s="2222"/>
      <c r="AR88" s="2222"/>
      <c r="AS88" s="2222"/>
      <c r="AT88" s="2222"/>
      <c r="AU88" s="2222"/>
      <c r="AV88" s="2222"/>
      <c r="AW88" s="2222"/>
      <c r="AX88" s="2222"/>
      <c r="AY88" s="2222"/>
      <c r="AZ88" s="2222"/>
      <c r="BA88" s="2222"/>
      <c r="BB88" s="2223"/>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5"/>
      <c r="G92" s="2586"/>
      <c r="H92" s="2586"/>
      <c r="I92" s="2586"/>
      <c r="J92" s="2586"/>
      <c r="K92" s="2586"/>
      <c r="L92" s="2586"/>
      <c r="M92" s="2586"/>
      <c r="N92" s="2586"/>
      <c r="O92" s="2586"/>
      <c r="P92" s="2586"/>
      <c r="Q92" s="258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8" t="e">
        <f>BR97/SUM($BR$96:$BR$98)</f>
        <v>#DIV/0!</v>
      </c>
      <c r="P93" s="2589"/>
      <c r="Q93" s="259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2" t="s">
        <v>2549</v>
      </c>
      <c r="P94" s="2603"/>
      <c r="Q94" s="26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9" t="s">
        <v>2613</v>
      </c>
      <c r="C96" s="2210"/>
      <c r="D96" s="2210"/>
      <c r="E96" s="2210"/>
      <c r="F96" s="2210"/>
      <c r="G96" s="2210"/>
      <c r="H96" s="2210"/>
      <c r="I96" s="2210"/>
      <c r="J96" s="2210"/>
      <c r="K96" s="2210"/>
      <c r="L96" s="2210"/>
      <c r="M96" s="2210"/>
      <c r="N96" s="2210"/>
      <c r="O96" s="2210"/>
      <c r="P96" s="2210"/>
      <c r="Q96" s="2210"/>
      <c r="R96" s="2210"/>
      <c r="S96" s="2210"/>
      <c r="T96" s="2210"/>
      <c r="U96" s="2210"/>
      <c r="V96" s="2210"/>
      <c r="W96" s="2210"/>
      <c r="X96" s="2210"/>
      <c r="Y96" s="2210"/>
      <c r="Z96" s="2210"/>
      <c r="AA96" s="2210"/>
      <c r="AB96" s="2210"/>
      <c r="AC96" s="2210"/>
      <c r="AD96" s="2210"/>
      <c r="AE96" s="2210"/>
      <c r="AF96" s="2210"/>
      <c r="AG96" s="2210"/>
      <c r="AH96" s="2211"/>
      <c r="AI96" s="1206"/>
      <c r="AJ96" s="2245" t="s">
        <v>2612</v>
      </c>
      <c r="AK96" s="2246"/>
      <c r="AL96" s="2246"/>
      <c r="AM96" s="2246"/>
      <c r="AN96" s="2246"/>
      <c r="AO96" s="2246"/>
      <c r="AP96" s="2246"/>
      <c r="AQ96" s="2246"/>
      <c r="AR96" s="2246"/>
      <c r="AS96" s="2246"/>
      <c r="AT96" s="2246"/>
      <c r="AU96" s="2246"/>
      <c r="AV96" s="2246"/>
      <c r="AW96" s="2246"/>
      <c r="AX96" s="2246"/>
      <c r="AY96" s="2249" t="s">
        <v>553</v>
      </c>
      <c r="AZ96" s="2249"/>
      <c r="BA96" s="2249"/>
      <c r="BB96" s="2250"/>
      <c r="BC96" s="1206"/>
      <c r="BD96" s="1206"/>
      <c r="BE96" s="1202"/>
      <c r="BQ96" s="1245" t="str">
        <f>Application!M243</f>
        <v>Spira Brandon Place, LP</v>
      </c>
      <c r="BR96" s="1245">
        <f>Application!AH245</f>
        <v>0</v>
      </c>
    </row>
    <row r="97" spans="1:70" ht="15.75" customHeight="1">
      <c r="A97" s="1206"/>
      <c r="B97" s="2204"/>
      <c r="C97" s="2205"/>
      <c r="D97" s="2205"/>
      <c r="E97" s="2205"/>
      <c r="F97" s="2205"/>
      <c r="G97" s="2205"/>
      <c r="H97" s="2205"/>
      <c r="I97" s="2205" t="s">
        <v>1826</v>
      </c>
      <c r="J97" s="2205"/>
      <c r="K97" s="2205"/>
      <c r="L97" s="2205"/>
      <c r="M97" s="2205"/>
      <c r="N97" s="2205"/>
      <c r="O97" s="2205" t="s">
        <v>1827</v>
      </c>
      <c r="P97" s="2205"/>
      <c r="Q97" s="2205"/>
      <c r="R97" s="2205"/>
      <c r="S97" s="2205"/>
      <c r="T97" s="2205"/>
      <c r="U97" s="2205"/>
      <c r="V97" s="2201" t="s">
        <v>2186</v>
      </c>
      <c r="W97" s="2201"/>
      <c r="X97" s="2201"/>
      <c r="Y97" s="2201"/>
      <c r="Z97" s="2201"/>
      <c r="AA97" s="2201"/>
      <c r="AB97" s="2202" t="s">
        <v>1828</v>
      </c>
      <c r="AC97" s="2202"/>
      <c r="AD97" s="2202"/>
      <c r="AE97" s="2202"/>
      <c r="AF97" s="2202"/>
      <c r="AG97" s="2202"/>
      <c r="AH97" s="2203"/>
      <c r="AI97" s="1206"/>
      <c r="AJ97" s="2247"/>
      <c r="AK97" s="2248"/>
      <c r="AL97" s="2248"/>
      <c r="AM97" s="2248"/>
      <c r="AN97" s="2248"/>
      <c r="AO97" s="2248"/>
      <c r="AP97" s="2248"/>
      <c r="AQ97" s="2248"/>
      <c r="AR97" s="2248"/>
      <c r="AS97" s="2248"/>
      <c r="AT97" s="2248"/>
      <c r="AU97" s="2248"/>
      <c r="AV97" s="2248"/>
      <c r="AW97" s="2248"/>
      <c r="AX97" s="2248"/>
      <c r="AY97" s="2251"/>
      <c r="AZ97" s="2251"/>
      <c r="BA97" s="2251"/>
      <c r="BB97" s="2252"/>
      <c r="BC97" s="1206"/>
      <c r="BD97" s="1206"/>
      <c r="BE97" s="1202"/>
      <c r="BQ97" s="1245" t="str">
        <f>Application!M251</f>
        <v>FFAH II BP Senior Apartments, LLC</v>
      </c>
      <c r="BR97" s="1245">
        <f>Application!AH253</f>
        <v>0</v>
      </c>
    </row>
    <row r="98" spans="1:70" ht="15.75" customHeight="1">
      <c r="A98" s="1206"/>
      <c r="B98" s="2204"/>
      <c r="C98" s="2205"/>
      <c r="D98" s="2205"/>
      <c r="E98" s="2205"/>
      <c r="F98" s="2205"/>
      <c r="G98" s="2205"/>
      <c r="H98" s="2205"/>
      <c r="I98" s="2205"/>
      <c r="J98" s="2205"/>
      <c r="K98" s="2205"/>
      <c r="L98" s="2205"/>
      <c r="M98" s="2205"/>
      <c r="N98" s="2205"/>
      <c r="O98" s="2205"/>
      <c r="P98" s="2205"/>
      <c r="Q98" s="2205"/>
      <c r="R98" s="2205"/>
      <c r="S98" s="2205"/>
      <c r="T98" s="2205"/>
      <c r="U98" s="2205"/>
      <c r="V98" s="2201"/>
      <c r="W98" s="2201"/>
      <c r="X98" s="2201"/>
      <c r="Y98" s="2201"/>
      <c r="Z98" s="2201"/>
      <c r="AA98" s="2201"/>
      <c r="AB98" s="2202"/>
      <c r="AC98" s="2202"/>
      <c r="AD98" s="2202"/>
      <c r="AE98" s="2202"/>
      <c r="AF98" s="2202"/>
      <c r="AG98" s="2202"/>
      <c r="AH98" s="2203"/>
      <c r="AI98" s="1206"/>
      <c r="AJ98" s="2247"/>
      <c r="AK98" s="2248"/>
      <c r="AL98" s="2248"/>
      <c r="AM98" s="2248"/>
      <c r="AN98" s="2248"/>
      <c r="AO98" s="2248"/>
      <c r="AP98" s="2248"/>
      <c r="AQ98" s="2248"/>
      <c r="AR98" s="2248"/>
      <c r="AS98" s="2248"/>
      <c r="AT98" s="2248"/>
      <c r="AU98" s="2248"/>
      <c r="AV98" s="2248"/>
      <c r="AW98" s="2248"/>
      <c r="AX98" s="2248"/>
      <c r="AY98" s="2251"/>
      <c r="AZ98" s="2251"/>
      <c r="BA98" s="2251"/>
      <c r="BB98" s="2252"/>
      <c r="BC98" s="1206"/>
      <c r="BD98" s="1206"/>
      <c r="BE98" s="1202"/>
      <c r="BQ98" s="1245" t="str">
        <f>Application!M259</f>
        <v>N/A</v>
      </c>
      <c r="BR98" s="1245">
        <f>Application!AH261</f>
        <v>0</v>
      </c>
    </row>
    <row r="99" spans="1:70" ht="15.75" customHeight="1">
      <c r="A99" s="1206"/>
      <c r="B99" s="2204" t="s">
        <v>2169</v>
      </c>
      <c r="C99" s="2205"/>
      <c r="D99" s="2205"/>
      <c r="E99" s="2205"/>
      <c r="F99" s="2205"/>
      <c r="G99" s="2205"/>
      <c r="H99" s="2205"/>
      <c r="I99" s="2206">
        <v>0</v>
      </c>
      <c r="J99" s="2206"/>
      <c r="K99" s="2206"/>
      <c r="L99" s="2206"/>
      <c r="M99" s="2206"/>
      <c r="N99" s="2206"/>
      <c r="O99" s="2206">
        <v>0</v>
      </c>
      <c r="P99" s="2206"/>
      <c r="Q99" s="2206"/>
      <c r="R99" s="2206"/>
      <c r="S99" s="2206"/>
      <c r="T99" s="2206"/>
      <c r="U99" s="2206"/>
      <c r="V99" s="2206">
        <v>0</v>
      </c>
      <c r="W99" s="2206"/>
      <c r="X99" s="2206"/>
      <c r="Y99" s="2206"/>
      <c r="Z99" s="2206"/>
      <c r="AA99" s="2206"/>
      <c r="AB99" s="2206">
        <v>0</v>
      </c>
      <c r="AC99" s="2206"/>
      <c r="AD99" s="2206"/>
      <c r="AE99" s="2206"/>
      <c r="AF99" s="2206"/>
      <c r="AG99" s="2206"/>
      <c r="AH99" s="2212"/>
      <c r="AI99" s="1206"/>
      <c r="AJ99" s="2247"/>
      <c r="AK99" s="2248"/>
      <c r="AL99" s="2248"/>
      <c r="AM99" s="2248"/>
      <c r="AN99" s="2248"/>
      <c r="AO99" s="2248"/>
      <c r="AP99" s="2248"/>
      <c r="AQ99" s="2248"/>
      <c r="AR99" s="2248"/>
      <c r="AS99" s="2248"/>
      <c r="AT99" s="2248"/>
      <c r="AU99" s="2248"/>
      <c r="AV99" s="2248"/>
      <c r="AW99" s="2248"/>
      <c r="AX99" s="2248"/>
      <c r="AY99" s="2251"/>
      <c r="AZ99" s="2251"/>
      <c r="BA99" s="2251"/>
      <c r="BB99" s="2252"/>
      <c r="BC99" s="1206"/>
      <c r="BD99" s="1206"/>
      <c r="BE99" s="1202"/>
    </row>
    <row r="100" spans="1:70" ht="15.75" customHeight="1">
      <c r="A100" s="1206"/>
      <c r="B100" s="2204" t="s">
        <v>2170</v>
      </c>
      <c r="C100" s="2205"/>
      <c r="D100" s="2205"/>
      <c r="E100" s="2205"/>
      <c r="F100" s="2205"/>
      <c r="G100" s="2205"/>
      <c r="H100" s="2205"/>
      <c r="I100" s="2206">
        <v>0</v>
      </c>
      <c r="J100" s="2206"/>
      <c r="K100" s="2206"/>
      <c r="L100" s="2206"/>
      <c r="M100" s="2206"/>
      <c r="N100" s="2206"/>
      <c r="O100" s="2206">
        <v>0</v>
      </c>
      <c r="P100" s="2206"/>
      <c r="Q100" s="2206"/>
      <c r="R100" s="2206"/>
      <c r="S100" s="2206"/>
      <c r="T100" s="2206"/>
      <c r="U100" s="2206"/>
      <c r="V100" s="2206">
        <v>0</v>
      </c>
      <c r="W100" s="2206"/>
      <c r="X100" s="2206"/>
      <c r="Y100" s="2206"/>
      <c r="Z100" s="2206"/>
      <c r="AA100" s="2206"/>
      <c r="AB100" s="2206">
        <v>0</v>
      </c>
      <c r="AC100" s="2206"/>
      <c r="AD100" s="2206"/>
      <c r="AE100" s="2206"/>
      <c r="AF100" s="2206"/>
      <c r="AG100" s="2206"/>
      <c r="AH100" s="2212"/>
      <c r="AI100" s="1206"/>
      <c r="AJ100" s="2218" t="s">
        <v>2485</v>
      </c>
      <c r="AK100" s="2219"/>
      <c r="AL100" s="2219"/>
      <c r="AM100" s="2219"/>
      <c r="AN100" s="2219"/>
      <c r="AO100" s="2219"/>
      <c r="AP100" s="2219"/>
      <c r="AQ100" s="2219"/>
      <c r="AR100" s="2219"/>
      <c r="AS100" s="2219"/>
      <c r="AT100" s="2219"/>
      <c r="AU100" s="2219"/>
      <c r="AV100" s="2219"/>
      <c r="AW100" s="2219"/>
      <c r="AX100" s="2219"/>
      <c r="AY100" s="2219"/>
      <c r="AZ100" s="2219"/>
      <c r="BA100" s="2219"/>
      <c r="BB100" s="2220"/>
      <c r="BC100" s="1206"/>
      <c r="BD100" s="1206"/>
      <c r="BE100" s="1202"/>
    </row>
    <row r="101" spans="1:70" ht="15.75" customHeight="1" thickBot="1">
      <c r="A101" s="1206"/>
      <c r="B101" s="2224" t="s">
        <v>1829</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6"/>
      <c r="AJ101" s="2221"/>
      <c r="AK101" s="2222"/>
      <c r="AL101" s="2222"/>
      <c r="AM101" s="2222"/>
      <c r="AN101" s="2222"/>
      <c r="AO101" s="2222"/>
      <c r="AP101" s="2222"/>
      <c r="AQ101" s="2222"/>
      <c r="AR101" s="2222"/>
      <c r="AS101" s="2222"/>
      <c r="AT101" s="2222"/>
      <c r="AU101" s="2222"/>
      <c r="AV101" s="2222"/>
      <c r="AW101" s="2222"/>
      <c r="AX101" s="2222"/>
      <c r="AY101" s="2222"/>
      <c r="AZ101" s="2222"/>
      <c r="BA101" s="2222"/>
      <c r="BB101" s="2223"/>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3"/>
      <c r="G104" s="2544"/>
      <c r="H104" s="2544"/>
      <c r="I104" s="2544"/>
      <c r="J104" s="2544"/>
      <c r="K104" s="2544"/>
      <c r="L104" s="2544"/>
      <c r="M104" s="2544"/>
      <c r="N104" s="2544"/>
      <c r="O104" s="2544"/>
      <c r="P104" s="2544"/>
      <c r="Q104" s="2544"/>
      <c r="R104" s="254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2" t="e">
        <f>BR98/SUM(BR96:BR98)</f>
        <v>#DIV/0!</v>
      </c>
      <c r="P105" s="2603"/>
      <c r="Q105" s="2603"/>
      <c r="R105" s="26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4" t="s">
        <v>2609</v>
      </c>
      <c r="C107" s="2465"/>
      <c r="D107" s="2465"/>
      <c r="E107" s="2465"/>
      <c r="F107" s="2465"/>
      <c r="G107" s="2465"/>
      <c r="H107" s="2465"/>
      <c r="I107" s="2465"/>
      <c r="J107" s="2465"/>
      <c r="K107" s="2465"/>
      <c r="L107" s="2465"/>
      <c r="M107" s="2465"/>
      <c r="N107" s="2465"/>
      <c r="O107" s="2465"/>
      <c r="P107" s="2465"/>
      <c r="Q107" s="2465"/>
      <c r="R107" s="2465"/>
      <c r="S107" s="2465"/>
      <c r="T107" s="2465"/>
      <c r="U107" s="2465"/>
      <c r="V107" s="2465"/>
      <c r="W107" s="2465"/>
      <c r="X107" s="2465"/>
      <c r="Y107" s="2465"/>
      <c r="Z107" s="2465"/>
      <c r="AA107" s="2465"/>
      <c r="AB107" s="2465"/>
      <c r="AC107" s="2465"/>
      <c r="AD107" s="2465"/>
      <c r="AE107" s="2465"/>
      <c r="AF107" s="2465"/>
      <c r="AG107" s="2465"/>
      <c r="AH107" s="246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4"/>
      <c r="C108" s="2205"/>
      <c r="D108" s="2205"/>
      <c r="E108" s="2205"/>
      <c r="F108" s="2205"/>
      <c r="G108" s="2205"/>
      <c r="H108" s="2205"/>
      <c r="I108" s="2205" t="s">
        <v>1826</v>
      </c>
      <c r="J108" s="2205"/>
      <c r="K108" s="2205"/>
      <c r="L108" s="2205"/>
      <c r="M108" s="2205"/>
      <c r="N108" s="2205"/>
      <c r="O108" s="2205" t="s">
        <v>1827</v>
      </c>
      <c r="P108" s="2205"/>
      <c r="Q108" s="2205"/>
      <c r="R108" s="2205"/>
      <c r="S108" s="2205"/>
      <c r="T108" s="2205"/>
      <c r="U108" s="2205"/>
      <c r="V108" s="2201" t="s">
        <v>2186</v>
      </c>
      <c r="W108" s="2201"/>
      <c r="X108" s="2201"/>
      <c r="Y108" s="2201"/>
      <c r="Z108" s="2201"/>
      <c r="AA108" s="2201"/>
      <c r="AB108" s="2202" t="s">
        <v>1828</v>
      </c>
      <c r="AC108" s="2202"/>
      <c r="AD108" s="2202"/>
      <c r="AE108" s="2202"/>
      <c r="AF108" s="2202"/>
      <c r="AG108" s="2202"/>
      <c r="AH108" s="220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4"/>
      <c r="C109" s="2205"/>
      <c r="D109" s="2205"/>
      <c r="E109" s="2205"/>
      <c r="F109" s="2205"/>
      <c r="G109" s="2205"/>
      <c r="H109" s="2205"/>
      <c r="I109" s="2205"/>
      <c r="J109" s="2205"/>
      <c r="K109" s="2205"/>
      <c r="L109" s="2205"/>
      <c r="M109" s="2205"/>
      <c r="N109" s="2205"/>
      <c r="O109" s="2205"/>
      <c r="P109" s="2205"/>
      <c r="Q109" s="2205"/>
      <c r="R109" s="2205"/>
      <c r="S109" s="2205"/>
      <c r="T109" s="2205"/>
      <c r="U109" s="2205"/>
      <c r="V109" s="2201"/>
      <c r="W109" s="2201"/>
      <c r="X109" s="2201"/>
      <c r="Y109" s="2201"/>
      <c r="Z109" s="2201"/>
      <c r="AA109" s="2201"/>
      <c r="AB109" s="2202"/>
      <c r="AC109" s="2202"/>
      <c r="AD109" s="2202"/>
      <c r="AE109" s="2202"/>
      <c r="AF109" s="2202"/>
      <c r="AG109" s="2202"/>
      <c r="AH109" s="220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4" t="s">
        <v>2169</v>
      </c>
      <c r="C110" s="2205"/>
      <c r="D110" s="2205"/>
      <c r="E110" s="2205"/>
      <c r="F110" s="2205"/>
      <c r="G110" s="2205"/>
      <c r="H110" s="2205"/>
      <c r="I110" s="2206">
        <v>0</v>
      </c>
      <c r="J110" s="2206"/>
      <c r="K110" s="2206"/>
      <c r="L110" s="2206"/>
      <c r="M110" s="2206"/>
      <c r="N110" s="2206"/>
      <c r="O110" s="2206">
        <v>0</v>
      </c>
      <c r="P110" s="2206"/>
      <c r="Q110" s="2206"/>
      <c r="R110" s="2206"/>
      <c r="S110" s="2206"/>
      <c r="T110" s="2206"/>
      <c r="U110" s="2206"/>
      <c r="V110" s="2206">
        <v>0</v>
      </c>
      <c r="W110" s="2206"/>
      <c r="X110" s="2206"/>
      <c r="Y110" s="2206"/>
      <c r="Z110" s="2206"/>
      <c r="AA110" s="2206"/>
      <c r="AB110" s="2206">
        <v>0</v>
      </c>
      <c r="AC110" s="2206"/>
      <c r="AD110" s="2206"/>
      <c r="AE110" s="2206"/>
      <c r="AF110" s="2206"/>
      <c r="AG110" s="2206"/>
      <c r="AH110" s="221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4" t="s">
        <v>2170</v>
      </c>
      <c r="C111" s="2205"/>
      <c r="D111" s="2205"/>
      <c r="E111" s="2205"/>
      <c r="F111" s="2205"/>
      <c r="G111" s="2205"/>
      <c r="H111" s="2205"/>
      <c r="I111" s="2206">
        <v>0</v>
      </c>
      <c r="J111" s="2206"/>
      <c r="K111" s="2206"/>
      <c r="L111" s="2206"/>
      <c r="M111" s="2206"/>
      <c r="N111" s="2206"/>
      <c r="O111" s="2206">
        <v>0</v>
      </c>
      <c r="P111" s="2206"/>
      <c r="Q111" s="2206"/>
      <c r="R111" s="2206"/>
      <c r="S111" s="2206"/>
      <c r="T111" s="2206"/>
      <c r="U111" s="2206"/>
      <c r="V111" s="2206">
        <v>0</v>
      </c>
      <c r="W111" s="2206"/>
      <c r="X111" s="2206"/>
      <c r="Y111" s="2206"/>
      <c r="Z111" s="2206"/>
      <c r="AA111" s="2206"/>
      <c r="AB111" s="2206">
        <v>0</v>
      </c>
      <c r="AC111" s="2206"/>
      <c r="AD111" s="2206"/>
      <c r="AE111" s="2206"/>
      <c r="AF111" s="2206"/>
      <c r="AG111" s="2206"/>
      <c r="AH111" s="221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4" t="s">
        <v>1829</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3"/>
      <c r="G115" s="2544"/>
      <c r="H115" s="2544"/>
      <c r="I115" s="2544"/>
      <c r="J115" s="2544"/>
      <c r="K115" s="2544"/>
      <c r="L115" s="2544"/>
      <c r="M115" s="2544"/>
      <c r="N115" s="2544"/>
      <c r="O115" s="2544"/>
      <c r="P115" s="2544"/>
      <c r="Q115" s="2544"/>
      <c r="R115" s="254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5" t="s">
        <v>2486</v>
      </c>
      <c r="C117" s="2246"/>
      <c r="D117" s="2246"/>
      <c r="E117" s="2246"/>
      <c r="F117" s="2246"/>
      <c r="G117" s="2246"/>
      <c r="H117" s="2246"/>
      <c r="I117" s="2246"/>
      <c r="J117" s="2246"/>
      <c r="K117" s="2246"/>
      <c r="L117" s="2246"/>
      <c r="M117" s="2246"/>
      <c r="N117" s="2246"/>
      <c r="O117" s="2246"/>
      <c r="P117" s="2246"/>
      <c r="Q117" s="2249" t="s">
        <v>553</v>
      </c>
      <c r="R117" s="2249"/>
      <c r="S117" s="2249"/>
      <c r="T117" s="225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7"/>
      <c r="C118" s="2248"/>
      <c r="D118" s="2248"/>
      <c r="E118" s="2248"/>
      <c r="F118" s="2248"/>
      <c r="G118" s="2248"/>
      <c r="H118" s="2248"/>
      <c r="I118" s="2248"/>
      <c r="J118" s="2248"/>
      <c r="K118" s="2248"/>
      <c r="L118" s="2248"/>
      <c r="M118" s="2248"/>
      <c r="N118" s="2248"/>
      <c r="O118" s="2248"/>
      <c r="P118" s="2248"/>
      <c r="Q118" s="2251"/>
      <c r="R118" s="2251"/>
      <c r="S118" s="2251"/>
      <c r="T118" s="225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7"/>
      <c r="C119" s="2248"/>
      <c r="D119" s="2248"/>
      <c r="E119" s="2248"/>
      <c r="F119" s="2248"/>
      <c r="G119" s="2248"/>
      <c r="H119" s="2248"/>
      <c r="I119" s="2248"/>
      <c r="J119" s="2248"/>
      <c r="K119" s="2248"/>
      <c r="L119" s="2248"/>
      <c r="M119" s="2248"/>
      <c r="N119" s="2248"/>
      <c r="O119" s="2248"/>
      <c r="P119" s="2248"/>
      <c r="Q119" s="2251"/>
      <c r="R119" s="2251"/>
      <c r="S119" s="2251"/>
      <c r="T119" s="225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7"/>
      <c r="C120" s="2248"/>
      <c r="D120" s="2248"/>
      <c r="E120" s="2248"/>
      <c r="F120" s="2248"/>
      <c r="G120" s="2248"/>
      <c r="H120" s="2248"/>
      <c r="I120" s="2248"/>
      <c r="J120" s="2248"/>
      <c r="K120" s="2248"/>
      <c r="L120" s="2248"/>
      <c r="M120" s="2248"/>
      <c r="N120" s="2248"/>
      <c r="O120" s="2248"/>
      <c r="P120" s="2248"/>
      <c r="Q120" s="2251"/>
      <c r="R120" s="2251"/>
      <c r="S120" s="2251"/>
      <c r="T120" s="225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8" t="s">
        <v>2187</v>
      </c>
      <c r="C121" s="2219"/>
      <c r="D121" s="2219"/>
      <c r="E121" s="2219"/>
      <c r="F121" s="2219"/>
      <c r="G121" s="2219"/>
      <c r="H121" s="2219"/>
      <c r="I121" s="2219"/>
      <c r="J121" s="2219"/>
      <c r="K121" s="2219"/>
      <c r="L121" s="2219"/>
      <c r="M121" s="2219"/>
      <c r="N121" s="2219"/>
      <c r="O121" s="2219"/>
      <c r="P121" s="2219"/>
      <c r="Q121" s="2219"/>
      <c r="R121" s="2219"/>
      <c r="S121" s="2219"/>
      <c r="T121" s="222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1"/>
      <c r="C122" s="2222"/>
      <c r="D122" s="2222"/>
      <c r="E122" s="2222"/>
      <c r="F122" s="2222"/>
      <c r="G122" s="2222"/>
      <c r="H122" s="2222"/>
      <c r="I122" s="2222"/>
      <c r="J122" s="2222"/>
      <c r="K122" s="2222"/>
      <c r="L122" s="2222"/>
      <c r="M122" s="2222"/>
      <c r="N122" s="2222"/>
      <c r="O122" s="2222"/>
      <c r="P122" s="2222"/>
      <c r="Q122" s="2222"/>
      <c r="R122" s="2222"/>
      <c r="S122" s="2222"/>
      <c r="T122" s="222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5" t="s">
        <v>2171</v>
      </c>
      <c r="Y125" s="2246"/>
      <c r="Z125" s="2246"/>
      <c r="AA125" s="2246"/>
      <c r="AB125" s="2246"/>
      <c r="AC125" s="2246"/>
      <c r="AD125" s="2246"/>
      <c r="AE125" s="2246"/>
      <c r="AF125" s="2246"/>
      <c r="AG125" s="2246"/>
      <c r="AH125" s="2246"/>
      <c r="AI125" s="2246"/>
      <c r="AJ125" s="2246"/>
      <c r="AK125" s="2246"/>
      <c r="AL125" s="2246"/>
      <c r="AM125" s="2246"/>
      <c r="AN125" s="2246"/>
      <c r="AO125" s="2246"/>
      <c r="AP125" s="2246"/>
      <c r="AQ125" s="2246"/>
      <c r="AR125" s="2246"/>
      <c r="AS125" s="2246"/>
      <c r="AT125" s="2246"/>
      <c r="AU125" s="2246"/>
      <c r="AV125" s="2246"/>
      <c r="AW125" s="2246"/>
      <c r="AX125" s="2246"/>
      <c r="AY125" s="2246"/>
      <c r="AZ125" s="2246"/>
      <c r="BA125" s="2246"/>
      <c r="BB125" s="2246"/>
      <c r="BC125" s="2246"/>
      <c r="BD125" s="2407"/>
      <c r="BE125" s="1202"/>
    </row>
    <row r="126" spans="1:57" ht="15.75" customHeight="1">
      <c r="A126" s="1206"/>
      <c r="B126" s="2409" t="s">
        <v>1686</v>
      </c>
      <c r="C126" s="2410"/>
      <c r="D126" s="2410"/>
      <c r="E126" s="2410"/>
      <c r="F126" s="2410"/>
      <c r="G126" s="2410"/>
      <c r="H126" s="2410"/>
      <c r="I126" s="2410"/>
      <c r="J126" s="2410"/>
      <c r="K126" s="2410"/>
      <c r="L126" s="2410"/>
      <c r="M126" s="2410"/>
      <c r="N126" s="2410"/>
      <c r="O126" s="2410"/>
      <c r="P126" s="2410"/>
      <c r="Q126" s="2410"/>
      <c r="R126" s="2410"/>
      <c r="S126" s="2410"/>
      <c r="T126" s="2410"/>
      <c r="U126" s="2411"/>
      <c r="V126" s="1206"/>
      <c r="W126" s="1206"/>
      <c r="X126" s="2247"/>
      <c r="Y126" s="2248"/>
      <c r="Z126" s="2248"/>
      <c r="AA126" s="2248"/>
      <c r="AB126" s="2248"/>
      <c r="AC126" s="2248"/>
      <c r="AD126" s="2248"/>
      <c r="AE126" s="2248"/>
      <c r="AF126" s="2248"/>
      <c r="AG126" s="2248"/>
      <c r="AH126" s="2248"/>
      <c r="AI126" s="2248"/>
      <c r="AJ126" s="2248"/>
      <c r="AK126" s="2248"/>
      <c r="AL126" s="2248"/>
      <c r="AM126" s="2248"/>
      <c r="AN126" s="2248"/>
      <c r="AO126" s="2248"/>
      <c r="AP126" s="2248"/>
      <c r="AQ126" s="2248"/>
      <c r="AR126" s="2248"/>
      <c r="AS126" s="2248"/>
      <c r="AT126" s="2248"/>
      <c r="AU126" s="2248"/>
      <c r="AV126" s="2248"/>
      <c r="AW126" s="2248"/>
      <c r="AX126" s="2248"/>
      <c r="AY126" s="2248"/>
      <c r="AZ126" s="2248"/>
      <c r="BA126" s="2248"/>
      <c r="BB126" s="2248"/>
      <c r="BC126" s="2248"/>
      <c r="BD126" s="2408"/>
      <c r="BE126" s="1202"/>
    </row>
    <row r="127" spans="1:57" ht="15.75" customHeight="1">
      <c r="A127" s="1206"/>
      <c r="B127" s="2412"/>
      <c r="C127" s="2413"/>
      <c r="D127" s="2413"/>
      <c r="E127" s="2413"/>
      <c r="F127" s="2413"/>
      <c r="G127" s="2413"/>
      <c r="H127" s="2413"/>
      <c r="I127" s="2205" t="s">
        <v>2172</v>
      </c>
      <c r="J127" s="2205"/>
      <c r="K127" s="2205"/>
      <c r="L127" s="2205"/>
      <c r="M127" s="2205"/>
      <c r="N127" s="2205"/>
      <c r="O127" s="2414" t="s">
        <v>2173</v>
      </c>
      <c r="P127" s="2414"/>
      <c r="Q127" s="2414"/>
      <c r="R127" s="2414"/>
      <c r="S127" s="2414"/>
      <c r="T127" s="2414"/>
      <c r="U127" s="2415"/>
      <c r="V127" s="1206"/>
      <c r="W127" s="1206"/>
      <c r="X127" s="2392" t="s">
        <v>2185</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75" customHeight="1">
      <c r="A128" s="1206"/>
      <c r="B128" s="2418" t="s">
        <v>2174</v>
      </c>
      <c r="C128" s="2419"/>
      <c r="D128" s="2419"/>
      <c r="E128" s="2419"/>
      <c r="F128" s="2419"/>
      <c r="G128" s="2419"/>
      <c r="H128" s="2419"/>
      <c r="I128" s="2206">
        <v>0</v>
      </c>
      <c r="J128" s="2206"/>
      <c r="K128" s="2206"/>
      <c r="L128" s="2206"/>
      <c r="M128" s="2206"/>
      <c r="N128" s="2206"/>
      <c r="O128" s="2206">
        <v>0</v>
      </c>
      <c r="P128" s="2206"/>
      <c r="Q128" s="2206"/>
      <c r="R128" s="2206"/>
      <c r="S128" s="2206"/>
      <c r="T128" s="2206"/>
      <c r="U128" s="2212"/>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75" customHeight="1" thickBot="1">
      <c r="A129" s="1206"/>
      <c r="B129" s="2420" t="s">
        <v>2175</v>
      </c>
      <c r="C129" s="2421"/>
      <c r="D129" s="2421"/>
      <c r="E129" s="2421"/>
      <c r="F129" s="2421"/>
      <c r="G129" s="2421"/>
      <c r="H129" s="2421"/>
      <c r="I129" s="2226">
        <v>0</v>
      </c>
      <c r="J129" s="2226"/>
      <c r="K129" s="2226"/>
      <c r="L129" s="2226"/>
      <c r="M129" s="2226"/>
      <c r="N129" s="2226"/>
      <c r="O129" s="2416"/>
      <c r="P129" s="2416"/>
      <c r="Q129" s="2416"/>
      <c r="R129" s="2416"/>
      <c r="S129" s="2416"/>
      <c r="T129" s="2416"/>
      <c r="U129" s="2417"/>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75" customHeight="1">
      <c r="A133" s="1206"/>
      <c r="B133" s="2271" t="s">
        <v>1832</v>
      </c>
      <c r="C133" s="2272"/>
      <c r="D133" s="2272"/>
      <c r="E133" s="2272"/>
      <c r="F133" s="2272"/>
      <c r="G133" s="2272"/>
      <c r="H133" s="2272"/>
      <c r="I133" s="2272"/>
      <c r="J133" s="2272"/>
      <c r="K133" s="2272"/>
      <c r="L133" s="2272"/>
      <c r="M133" s="2272"/>
      <c r="N133" s="2272"/>
      <c r="O133" s="2272"/>
      <c r="P133" s="2272"/>
      <c r="Q133" s="2272"/>
      <c r="R133" s="2272"/>
      <c r="S133" s="2272"/>
      <c r="T133" s="2272"/>
      <c r="U133" s="227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75" customHeight="1">
      <c r="A134" s="1206"/>
      <c r="B134" s="2412"/>
      <c r="C134" s="2413"/>
      <c r="D134" s="2413"/>
      <c r="E134" s="2413"/>
      <c r="F134" s="2413"/>
      <c r="G134" s="2413"/>
      <c r="H134" s="2413"/>
      <c r="I134" s="2436" t="s">
        <v>1827</v>
      </c>
      <c r="J134" s="2436"/>
      <c r="K134" s="2436"/>
      <c r="L134" s="2436"/>
      <c r="M134" s="2436"/>
      <c r="N134" s="2436"/>
      <c r="O134" s="2436"/>
      <c r="P134" s="2436" t="s">
        <v>2186</v>
      </c>
      <c r="Q134" s="2436"/>
      <c r="R134" s="2436"/>
      <c r="S134" s="2436"/>
      <c r="T134" s="2436"/>
      <c r="U134" s="2437"/>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75" customHeight="1">
      <c r="A135" s="1206"/>
      <c r="B135" s="2412"/>
      <c r="C135" s="2413"/>
      <c r="D135" s="2413"/>
      <c r="E135" s="2413"/>
      <c r="F135" s="2413"/>
      <c r="G135" s="2413"/>
      <c r="H135" s="2413"/>
      <c r="I135" s="2436"/>
      <c r="J135" s="2436"/>
      <c r="K135" s="2436"/>
      <c r="L135" s="2436"/>
      <c r="M135" s="2436"/>
      <c r="N135" s="2436"/>
      <c r="O135" s="2436"/>
      <c r="P135" s="2436"/>
      <c r="Q135" s="2436"/>
      <c r="R135" s="2436"/>
      <c r="S135" s="2436"/>
      <c r="T135" s="2436"/>
      <c r="U135" s="2437"/>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75" customHeight="1">
      <c r="A136" s="1206"/>
      <c r="B136" s="2418" t="s">
        <v>2174</v>
      </c>
      <c r="C136" s="2419"/>
      <c r="D136" s="2419"/>
      <c r="E136" s="2419"/>
      <c r="F136" s="2419"/>
      <c r="G136" s="2419"/>
      <c r="H136" s="2419"/>
      <c r="I136" s="2206">
        <v>0</v>
      </c>
      <c r="J136" s="2206"/>
      <c r="K136" s="2206"/>
      <c r="L136" s="2206"/>
      <c r="M136" s="2206"/>
      <c r="N136" s="2206"/>
      <c r="O136" s="2206"/>
      <c r="P136" s="2206">
        <v>0</v>
      </c>
      <c r="Q136" s="2206"/>
      <c r="R136" s="2206"/>
      <c r="S136" s="2206"/>
      <c r="T136" s="2206"/>
      <c r="U136" s="2212"/>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75" customHeight="1" thickBot="1">
      <c r="A137" s="1206"/>
      <c r="B137" s="2420" t="s">
        <v>2175</v>
      </c>
      <c r="C137" s="2421"/>
      <c r="D137" s="2421"/>
      <c r="E137" s="2421"/>
      <c r="F137" s="2421"/>
      <c r="G137" s="2421"/>
      <c r="H137" s="2421"/>
      <c r="I137" s="2226">
        <v>0</v>
      </c>
      <c r="J137" s="2226"/>
      <c r="K137" s="2226"/>
      <c r="L137" s="2226"/>
      <c r="M137" s="2226"/>
      <c r="N137" s="2226"/>
      <c r="O137" s="2226"/>
      <c r="P137" s="2226">
        <v>0</v>
      </c>
      <c r="Q137" s="2226"/>
      <c r="R137" s="2226"/>
      <c r="S137" s="2226"/>
      <c r="T137" s="2226"/>
      <c r="U137" s="2227"/>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2" t="s">
        <v>1833</v>
      </c>
      <c r="C139" s="2423"/>
      <c r="D139" s="2423"/>
      <c r="E139" s="2423"/>
      <c r="F139" s="2423"/>
      <c r="G139" s="2423"/>
      <c r="H139" s="2423"/>
      <c r="I139" s="2423"/>
      <c r="J139" s="2423"/>
      <c r="K139" s="2423"/>
      <c r="L139" s="2423"/>
      <c r="M139" s="2423"/>
      <c r="N139" s="2423"/>
      <c r="O139" s="2423"/>
      <c r="P139" s="2423"/>
      <c r="Q139" s="2423"/>
      <c r="R139" s="2423"/>
      <c r="S139" s="2423"/>
      <c r="T139" s="2423"/>
      <c r="U139" s="2423"/>
      <c r="V139" s="2423"/>
      <c r="W139" s="2423"/>
      <c r="X139" s="2423"/>
      <c r="Y139" s="2423"/>
      <c r="Z139" s="2423"/>
      <c r="AA139" s="2423"/>
      <c r="AB139" s="2423"/>
      <c r="AC139" s="2423"/>
      <c r="AD139" s="2423"/>
      <c r="AE139" s="2423"/>
      <c r="AF139" s="2423"/>
      <c r="AG139" s="2423"/>
      <c r="AH139" s="2424" t="s">
        <v>553</v>
      </c>
      <c r="AI139" s="2424"/>
      <c r="AJ139" s="2424"/>
      <c r="AK139" s="2424"/>
      <c r="AL139" s="2424"/>
      <c r="AM139" s="2424"/>
      <c r="AN139" s="2424"/>
      <c r="AO139" s="2424"/>
      <c r="AP139" s="2424"/>
      <c r="AQ139" s="2424"/>
      <c r="AR139" s="2424"/>
      <c r="AS139" s="2424"/>
      <c r="AT139" s="2424"/>
      <c r="AU139" s="2424"/>
      <c r="AV139" s="2424"/>
      <c r="AW139" s="2424"/>
      <c r="AX139" s="2425"/>
      <c r="AY139" s="1206"/>
      <c r="AZ139" s="1206"/>
      <c r="BA139" s="1206"/>
      <c r="BB139" s="1206"/>
      <c r="BC139" s="1206"/>
      <c r="BD139" s="1206"/>
      <c r="BE139" s="1202"/>
    </row>
    <row r="140" spans="1:57" ht="15.75" customHeight="1">
      <c r="A140" s="1206"/>
      <c r="B140" s="2426" t="s">
        <v>1834</v>
      </c>
      <c r="C140" s="2427"/>
      <c r="D140" s="2427"/>
      <c r="E140" s="2427"/>
      <c r="F140" s="2427"/>
      <c r="G140" s="2427"/>
      <c r="H140" s="2427"/>
      <c r="I140" s="2427"/>
      <c r="J140" s="2427"/>
      <c r="K140" s="2427"/>
      <c r="L140" s="2427"/>
      <c r="M140" s="2427"/>
      <c r="N140" s="2427"/>
      <c r="O140" s="2427"/>
      <c r="P140" s="2427"/>
      <c r="Q140" s="2427"/>
      <c r="R140" s="2428" t="s">
        <v>2188</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251</v>
      </c>
      <c r="BD140" s="1206"/>
      <c r="BE140" s="1202"/>
    </row>
    <row r="141" spans="1:57" ht="15.75" customHeight="1">
      <c r="A141" s="1206"/>
      <c r="B141" s="2430" t="s">
        <v>2189</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75"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75"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75"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75"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75"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75"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75"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75"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75"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9" t="s">
        <v>1836</v>
      </c>
      <c r="C154" s="2360"/>
      <c r="D154" s="2360"/>
      <c r="E154" s="2360"/>
      <c r="F154" s="2360"/>
      <c r="G154" s="2360"/>
      <c r="H154" s="2360"/>
      <c r="I154" s="2360"/>
      <c r="J154" s="2360"/>
      <c r="K154" s="2360"/>
      <c r="L154" s="2360"/>
      <c r="M154" s="2360"/>
      <c r="N154" s="2360"/>
      <c r="O154" s="2360"/>
      <c r="P154" s="2360"/>
      <c r="Q154" s="2360"/>
      <c r="R154" s="2360"/>
      <c r="S154" s="2360"/>
      <c r="T154" s="2360"/>
      <c r="U154" s="2361"/>
      <c r="V154" s="1206"/>
      <c r="W154" s="1214"/>
      <c r="X154" s="2359" t="s">
        <v>2191</v>
      </c>
      <c r="Y154" s="2360"/>
      <c r="Z154" s="2360"/>
      <c r="AA154" s="2360"/>
      <c r="AB154" s="2360"/>
      <c r="AC154" s="2360"/>
      <c r="AD154" s="2360"/>
      <c r="AE154" s="2360"/>
      <c r="AF154" s="2360"/>
      <c r="AG154" s="2360"/>
      <c r="AH154" s="2360"/>
      <c r="AI154" s="2360"/>
      <c r="AJ154" s="2360"/>
      <c r="AK154" s="2360"/>
      <c r="AL154" s="2360"/>
      <c r="AM154" s="2360"/>
      <c r="AN154" s="2360"/>
      <c r="AO154" s="2360"/>
      <c r="AP154" s="2360"/>
      <c r="AQ154" s="2361"/>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2"/>
      <c r="C155" s="2413"/>
      <c r="D155" s="2413"/>
      <c r="E155" s="2413"/>
      <c r="F155" s="2413"/>
      <c r="G155" s="2413"/>
      <c r="H155" s="2413"/>
      <c r="I155" s="2436" t="s">
        <v>1827</v>
      </c>
      <c r="J155" s="2436"/>
      <c r="K155" s="2436"/>
      <c r="L155" s="2436"/>
      <c r="M155" s="2436"/>
      <c r="N155" s="2436"/>
      <c r="O155" s="2436"/>
      <c r="P155" s="2436" t="s">
        <v>2192</v>
      </c>
      <c r="Q155" s="2436"/>
      <c r="R155" s="2436"/>
      <c r="S155" s="2436"/>
      <c r="T155" s="2436"/>
      <c r="U155" s="2437"/>
      <c r="V155" s="1206"/>
      <c r="W155" s="1206"/>
      <c r="X155" s="2412"/>
      <c r="Y155" s="2413"/>
      <c r="Z155" s="2413"/>
      <c r="AA155" s="2413"/>
      <c r="AB155" s="2413"/>
      <c r="AC155" s="2413"/>
      <c r="AD155" s="2413"/>
      <c r="AE155" s="2436" t="s">
        <v>1827</v>
      </c>
      <c r="AF155" s="2436"/>
      <c r="AG155" s="2436"/>
      <c r="AH155" s="2436"/>
      <c r="AI155" s="2436"/>
      <c r="AJ155" s="2436"/>
      <c r="AK155" s="2436"/>
      <c r="AL155" s="2436" t="s">
        <v>2186</v>
      </c>
      <c r="AM155" s="2436"/>
      <c r="AN155" s="2436"/>
      <c r="AO155" s="2436"/>
      <c r="AP155" s="2436"/>
      <c r="AQ155" s="2437"/>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2"/>
      <c r="C156" s="2413"/>
      <c r="D156" s="2413"/>
      <c r="E156" s="2413"/>
      <c r="F156" s="2413"/>
      <c r="G156" s="2413"/>
      <c r="H156" s="2413"/>
      <c r="I156" s="2436"/>
      <c r="J156" s="2436"/>
      <c r="K156" s="2436"/>
      <c r="L156" s="2436"/>
      <c r="M156" s="2436"/>
      <c r="N156" s="2436"/>
      <c r="O156" s="2436"/>
      <c r="P156" s="2436"/>
      <c r="Q156" s="2436"/>
      <c r="R156" s="2436"/>
      <c r="S156" s="2436"/>
      <c r="T156" s="2436"/>
      <c r="U156" s="2437"/>
      <c r="V156" s="1206"/>
      <c r="W156" s="1206"/>
      <c r="X156" s="2412"/>
      <c r="Y156" s="2413"/>
      <c r="Z156" s="2413"/>
      <c r="AA156" s="2413"/>
      <c r="AB156" s="2413"/>
      <c r="AC156" s="2413"/>
      <c r="AD156" s="2413"/>
      <c r="AE156" s="2436"/>
      <c r="AF156" s="2436"/>
      <c r="AG156" s="2436"/>
      <c r="AH156" s="2436"/>
      <c r="AI156" s="2436"/>
      <c r="AJ156" s="2436"/>
      <c r="AK156" s="2436"/>
      <c r="AL156" s="2436"/>
      <c r="AM156" s="2436"/>
      <c r="AN156" s="2436"/>
      <c r="AO156" s="2436"/>
      <c r="AP156" s="2436"/>
      <c r="AQ156" s="2437"/>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8" t="s">
        <v>2174</v>
      </c>
      <c r="C157" s="2419"/>
      <c r="D157" s="2419"/>
      <c r="E157" s="2419"/>
      <c r="F157" s="2419"/>
      <c r="G157" s="2419"/>
      <c r="H157" s="2419"/>
      <c r="I157" s="2206">
        <v>0</v>
      </c>
      <c r="J157" s="2206"/>
      <c r="K157" s="2206"/>
      <c r="L157" s="2206"/>
      <c r="M157" s="2206"/>
      <c r="N157" s="2206"/>
      <c r="O157" s="2206"/>
      <c r="P157" s="2206">
        <v>0</v>
      </c>
      <c r="Q157" s="2206"/>
      <c r="R157" s="2206"/>
      <c r="S157" s="2206"/>
      <c r="T157" s="2206"/>
      <c r="U157" s="2212"/>
      <c r="V157" s="1206"/>
      <c r="W157" s="1206"/>
      <c r="X157" s="2420" t="s">
        <v>2174</v>
      </c>
      <c r="Y157" s="2421"/>
      <c r="Z157" s="2421"/>
      <c r="AA157" s="2421"/>
      <c r="AB157" s="2421"/>
      <c r="AC157" s="2421"/>
      <c r="AD157" s="2421"/>
      <c r="AE157" s="2226">
        <v>0</v>
      </c>
      <c r="AF157" s="2226"/>
      <c r="AG157" s="2226"/>
      <c r="AH157" s="2226"/>
      <c r="AI157" s="2226"/>
      <c r="AJ157" s="2226"/>
      <c r="AK157" s="2226"/>
      <c r="AL157" s="2226">
        <v>0</v>
      </c>
      <c r="AM157" s="2226"/>
      <c r="AN157" s="2226"/>
      <c r="AO157" s="2226"/>
      <c r="AP157" s="2226"/>
      <c r="AQ157" s="2227"/>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0" t="s">
        <v>2175</v>
      </c>
      <c r="C158" s="2421"/>
      <c r="D158" s="2421"/>
      <c r="E158" s="2421"/>
      <c r="F158" s="2421"/>
      <c r="G158" s="2421"/>
      <c r="H158" s="2421"/>
      <c r="I158" s="2226">
        <v>0</v>
      </c>
      <c r="J158" s="2226"/>
      <c r="K158" s="2226"/>
      <c r="L158" s="2226"/>
      <c r="M158" s="2226"/>
      <c r="N158" s="2226"/>
      <c r="O158" s="2226"/>
      <c r="P158" s="2226">
        <v>0</v>
      </c>
      <c r="Q158" s="2226"/>
      <c r="R158" s="2226"/>
      <c r="S158" s="2226"/>
      <c r="T158" s="2226"/>
      <c r="U158" s="222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9" t="s">
        <v>2176</v>
      </c>
      <c r="D160" s="2360"/>
      <c r="E160" s="2360"/>
      <c r="F160" s="2360"/>
      <c r="G160" s="2360"/>
      <c r="H160" s="2360"/>
      <c r="I160" s="2360"/>
      <c r="J160" s="2360"/>
      <c r="K160" s="2360"/>
      <c r="L160" s="2360"/>
      <c r="M160" s="2360"/>
      <c r="N160" s="2360"/>
      <c r="O160" s="2360"/>
      <c r="P160" s="2360"/>
      <c r="Q160" s="2360"/>
      <c r="R160" s="2360"/>
      <c r="S160" s="2360"/>
      <c r="T160" s="2360"/>
      <c r="U160" s="2360"/>
      <c r="V160" s="2360"/>
      <c r="W160" s="2360"/>
      <c r="X160" s="2360"/>
      <c r="Y160" s="2360"/>
      <c r="Z160" s="2360"/>
      <c r="AA160" s="2360"/>
      <c r="AB160" s="2360"/>
      <c r="AC160" s="2360"/>
      <c r="AD160" s="2360"/>
      <c r="AE160" s="2360"/>
      <c r="AF160" s="2360"/>
      <c r="AG160" s="236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2" t="s">
        <v>1837</v>
      </c>
      <c r="D161" s="2413"/>
      <c r="E161" s="2413"/>
      <c r="F161" s="2413"/>
      <c r="G161" s="2413"/>
      <c r="H161" s="2413"/>
      <c r="I161" s="2413"/>
      <c r="J161" s="2413"/>
      <c r="K161" s="2413"/>
      <c r="L161" s="2413"/>
      <c r="M161" s="2413"/>
      <c r="N161" s="2413"/>
      <c r="O161" s="2413"/>
      <c r="P161" s="2413"/>
      <c r="Q161" s="2413" t="s">
        <v>1838</v>
      </c>
      <c r="R161" s="2413"/>
      <c r="S161" s="2413"/>
      <c r="T161" s="2202" t="s">
        <v>2177</v>
      </c>
      <c r="U161" s="2202"/>
      <c r="V161" s="2202"/>
      <c r="W161" s="2202"/>
      <c r="X161" s="2202"/>
      <c r="Y161" s="2202"/>
      <c r="Z161" s="2202"/>
      <c r="AA161" s="2202"/>
      <c r="AB161" s="2413" t="s">
        <v>1839</v>
      </c>
      <c r="AC161" s="2413"/>
      <c r="AD161" s="2413"/>
      <c r="AE161" s="2413"/>
      <c r="AF161" s="2413"/>
      <c r="AG161" s="243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9" t="s">
        <v>1840</v>
      </c>
      <c r="D162" s="2440"/>
      <c r="E162" s="2440"/>
      <c r="F162" s="2440"/>
      <c r="G162" s="2440"/>
      <c r="H162" s="2440"/>
      <c r="I162" s="2440"/>
      <c r="J162" s="2440"/>
      <c r="K162" s="2440"/>
      <c r="L162" s="2440"/>
      <c r="M162" s="2440"/>
      <c r="N162" s="2440"/>
      <c r="O162" s="2440"/>
      <c r="P162" s="2440"/>
      <c r="Q162" s="2441">
        <v>55</v>
      </c>
      <c r="R162" s="2441"/>
      <c r="S162" s="2441"/>
      <c r="T162" s="2442"/>
      <c r="U162" s="2442"/>
      <c r="V162" s="2442"/>
      <c r="W162" s="2442"/>
      <c r="X162" s="2442"/>
      <c r="Y162" s="2442"/>
      <c r="Z162" s="2442"/>
      <c r="AA162" s="2442"/>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9" t="s">
        <v>1841</v>
      </c>
      <c r="D163" s="2440"/>
      <c r="E163" s="2440"/>
      <c r="F163" s="2440"/>
      <c r="G163" s="2440"/>
      <c r="H163" s="2440"/>
      <c r="I163" s="2440"/>
      <c r="J163" s="2440"/>
      <c r="K163" s="2440"/>
      <c r="L163" s="2440"/>
      <c r="M163" s="2440"/>
      <c r="N163" s="2440"/>
      <c r="O163" s="2440"/>
      <c r="P163" s="2440"/>
      <c r="Q163" s="2441">
        <v>55</v>
      </c>
      <c r="R163" s="2441"/>
      <c r="S163" s="2441"/>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9" t="s">
        <v>1842</v>
      </c>
      <c r="D164" s="2440"/>
      <c r="E164" s="2440"/>
      <c r="F164" s="2440"/>
      <c r="G164" s="2440"/>
      <c r="H164" s="2440"/>
      <c r="I164" s="2440"/>
      <c r="J164" s="2440"/>
      <c r="K164" s="2440"/>
      <c r="L164" s="2440"/>
      <c r="M164" s="2440"/>
      <c r="N164" s="2440"/>
      <c r="O164" s="2440"/>
      <c r="P164" s="2440"/>
      <c r="Q164" s="2441">
        <v>55</v>
      </c>
      <c r="R164" s="2441"/>
      <c r="S164" s="2441"/>
      <c r="T164" s="2442"/>
      <c r="U164" s="2442"/>
      <c r="V164" s="2442"/>
      <c r="W164" s="2442"/>
      <c r="X164" s="2442"/>
      <c r="Y164" s="2442"/>
      <c r="Z164" s="2442"/>
      <c r="AA164" s="244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9" t="s">
        <v>1813</v>
      </c>
      <c r="D165" s="2440"/>
      <c r="E165" s="2440"/>
      <c r="F165" s="2440"/>
      <c r="G165" s="2440"/>
      <c r="H165" s="2440"/>
      <c r="I165" s="2440"/>
      <c r="J165" s="2440"/>
      <c r="K165" s="2440"/>
      <c r="L165" s="2440"/>
      <c r="M165" s="2440"/>
      <c r="N165" s="2440"/>
      <c r="O165" s="2440"/>
      <c r="P165" s="2440"/>
      <c r="Q165" s="2441">
        <v>55</v>
      </c>
      <c r="R165" s="2441"/>
      <c r="S165" s="2441"/>
      <c r="T165" s="2442"/>
      <c r="U165" s="2442"/>
      <c r="V165" s="2442"/>
      <c r="W165" s="2442"/>
      <c r="X165" s="2442"/>
      <c r="Y165" s="2442"/>
      <c r="Z165" s="2442"/>
      <c r="AA165" s="2442"/>
      <c r="AB165" s="2443">
        <v>0</v>
      </c>
      <c r="AC165" s="2443"/>
      <c r="AD165" s="2443"/>
      <c r="AE165" s="2443"/>
      <c r="AF165" s="2443"/>
      <c r="AG165" s="244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9" t="s">
        <v>170</v>
      </c>
      <c r="D166" s="2440"/>
      <c r="E166" s="2440"/>
      <c r="F166" s="2446" t="s">
        <v>1843</v>
      </c>
      <c r="G166" s="2446"/>
      <c r="H166" s="2446"/>
      <c r="I166" s="2446"/>
      <c r="J166" s="2446"/>
      <c r="K166" s="2446"/>
      <c r="L166" s="2446"/>
      <c r="M166" s="2446"/>
      <c r="N166" s="2446"/>
      <c r="O166" s="2446"/>
      <c r="P166" s="2446"/>
      <c r="Q166" s="2441">
        <v>55</v>
      </c>
      <c r="R166" s="2441"/>
      <c r="S166" s="2441"/>
      <c r="T166" s="2445"/>
      <c r="U166" s="2445"/>
      <c r="V166" s="2445"/>
      <c r="W166" s="2445"/>
      <c r="X166" s="2445"/>
      <c r="Y166" s="2445"/>
      <c r="Z166" s="2445"/>
      <c r="AA166" s="2445"/>
      <c r="AB166" s="2443">
        <v>0</v>
      </c>
      <c r="AC166" s="2443"/>
      <c r="AD166" s="2443"/>
      <c r="AE166" s="2443"/>
      <c r="AF166" s="2443"/>
      <c r="AG166" s="244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9" t="s">
        <v>170</v>
      </c>
      <c r="D167" s="2440"/>
      <c r="E167" s="2440"/>
      <c r="F167" s="2446" t="s">
        <v>1843</v>
      </c>
      <c r="G167" s="2446"/>
      <c r="H167" s="2446"/>
      <c r="I167" s="2446"/>
      <c r="J167" s="2446"/>
      <c r="K167" s="2446"/>
      <c r="L167" s="2446"/>
      <c r="M167" s="2446"/>
      <c r="N167" s="2446"/>
      <c r="O167" s="2446"/>
      <c r="P167" s="2446"/>
      <c r="Q167" s="2441">
        <v>55</v>
      </c>
      <c r="R167" s="2441"/>
      <c r="S167" s="2441"/>
      <c r="T167" s="2445"/>
      <c r="U167" s="2445"/>
      <c r="V167" s="2445"/>
      <c r="W167" s="2445"/>
      <c r="X167" s="2445"/>
      <c r="Y167" s="2445"/>
      <c r="Z167" s="2445"/>
      <c r="AA167" s="2445"/>
      <c r="AB167" s="2443">
        <v>0</v>
      </c>
      <c r="AC167" s="2443"/>
      <c r="AD167" s="2443"/>
      <c r="AE167" s="2443"/>
      <c r="AF167" s="2443"/>
      <c r="AG167" s="2444"/>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7" t="s">
        <v>170</v>
      </c>
      <c r="D168" s="2448"/>
      <c r="E168" s="2448"/>
      <c r="F168" s="2449" t="s">
        <v>1843</v>
      </c>
      <c r="G168" s="2449"/>
      <c r="H168" s="2449"/>
      <c r="I168" s="2449"/>
      <c r="J168" s="2449"/>
      <c r="K168" s="2449"/>
      <c r="L168" s="2449"/>
      <c r="M168" s="2449"/>
      <c r="N168" s="2449"/>
      <c r="O168" s="2449"/>
      <c r="P168" s="2449"/>
      <c r="Q168" s="2450">
        <v>55</v>
      </c>
      <c r="R168" s="2450"/>
      <c r="S168" s="2450"/>
      <c r="T168" s="2451"/>
      <c r="U168" s="2451"/>
      <c r="V168" s="2451"/>
      <c r="W168" s="2451"/>
      <c r="X168" s="2451"/>
      <c r="Y168" s="2451"/>
      <c r="Z168" s="2451"/>
      <c r="AA168" s="2451"/>
      <c r="AB168" s="2452">
        <v>0</v>
      </c>
      <c r="AC168" s="2452"/>
      <c r="AD168" s="2452"/>
      <c r="AE168" s="2452"/>
      <c r="AF168" s="2452"/>
      <c r="AG168" s="245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4" t="s">
        <v>1844</v>
      </c>
      <c r="D170" s="2465"/>
      <c r="E170" s="2465"/>
      <c r="F170" s="2465"/>
      <c r="G170" s="2465"/>
      <c r="H170" s="2465"/>
      <c r="I170" s="2465"/>
      <c r="J170" s="2465"/>
      <c r="K170" s="2465"/>
      <c r="L170" s="2465"/>
      <c r="M170" s="2465"/>
      <c r="N170" s="2466"/>
      <c r="O170" s="1206"/>
      <c r="P170" s="2422" t="s">
        <v>1845</v>
      </c>
      <c r="Q170" s="2423"/>
      <c r="R170" s="2423"/>
      <c r="S170" s="2423"/>
      <c r="T170" s="2423"/>
      <c r="U170" s="2423"/>
      <c r="V170" s="2423"/>
      <c r="W170" s="2423"/>
      <c r="X170" s="2423"/>
      <c r="Y170" s="2423"/>
      <c r="Z170" s="2423"/>
      <c r="AA170" s="2423"/>
      <c r="AB170" s="2423"/>
      <c r="AC170" s="2423"/>
      <c r="AD170" s="2423"/>
      <c r="AE170" s="2423"/>
      <c r="AF170" s="2423"/>
      <c r="AG170" s="2423"/>
      <c r="AH170" s="2423"/>
      <c r="AI170" s="2423"/>
      <c r="AJ170" s="2423"/>
      <c r="AK170" s="2423"/>
      <c r="AL170" s="2423"/>
      <c r="AM170" s="2423"/>
      <c r="AN170" s="2423"/>
      <c r="AO170" s="2467"/>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2" t="s">
        <v>1846</v>
      </c>
      <c r="D171" s="2413"/>
      <c r="E171" s="2413"/>
      <c r="F171" s="2413"/>
      <c r="G171" s="2413"/>
      <c r="H171" s="2413"/>
      <c r="I171" s="2413" t="s">
        <v>1847</v>
      </c>
      <c r="J171" s="2413"/>
      <c r="K171" s="2413"/>
      <c r="L171" s="2413"/>
      <c r="M171" s="2413"/>
      <c r="N171" s="2438"/>
      <c r="O171" s="1206"/>
      <c r="P171" s="2392" t="s">
        <v>2185</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8"/>
      <c r="D172" s="2368"/>
      <c r="E172" s="2368"/>
      <c r="F172" s="2368"/>
      <c r="G172" s="2368"/>
      <c r="H172" s="2368"/>
      <c r="I172" s="2442"/>
      <c r="J172" s="2442"/>
      <c r="K172" s="2442"/>
      <c r="L172" s="2442"/>
      <c r="M172" s="2442"/>
      <c r="N172" s="2468"/>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8"/>
      <c r="D173" s="2368"/>
      <c r="E173" s="2368"/>
      <c r="F173" s="2368"/>
      <c r="G173" s="2368"/>
      <c r="H173" s="2368"/>
      <c r="I173" s="2442"/>
      <c r="J173" s="2442"/>
      <c r="K173" s="2442"/>
      <c r="L173" s="2442"/>
      <c r="M173" s="2442"/>
      <c r="N173" s="2468"/>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8"/>
      <c r="D174" s="2368"/>
      <c r="E174" s="2368"/>
      <c r="F174" s="2368"/>
      <c r="G174" s="2368"/>
      <c r="H174" s="2368"/>
      <c r="I174" s="2442"/>
      <c r="J174" s="2442"/>
      <c r="K174" s="2442"/>
      <c r="L174" s="2442"/>
      <c r="M174" s="2442"/>
      <c r="N174" s="2468"/>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8"/>
      <c r="D175" s="2368"/>
      <c r="E175" s="2368"/>
      <c r="F175" s="2368"/>
      <c r="G175" s="2368"/>
      <c r="H175" s="2368"/>
      <c r="I175" s="2442"/>
      <c r="J175" s="2442"/>
      <c r="K175" s="2442"/>
      <c r="L175" s="2442"/>
      <c r="M175" s="2442"/>
      <c r="N175" s="2468"/>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8"/>
      <c r="D176" s="2368"/>
      <c r="E176" s="2368"/>
      <c r="F176" s="2368"/>
      <c r="G176" s="2368"/>
      <c r="H176" s="2368"/>
      <c r="I176" s="2442"/>
      <c r="J176" s="2442"/>
      <c r="K176" s="2442"/>
      <c r="L176" s="2442"/>
      <c r="M176" s="2442"/>
      <c r="N176" s="2468"/>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8"/>
      <c r="D177" s="2368"/>
      <c r="E177" s="2368"/>
      <c r="F177" s="2368"/>
      <c r="G177" s="2368"/>
      <c r="H177" s="2368"/>
      <c r="I177" s="2442"/>
      <c r="J177" s="2442"/>
      <c r="K177" s="2442"/>
      <c r="L177" s="2442"/>
      <c r="M177" s="2442"/>
      <c r="N177" s="2468"/>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4"/>
      <c r="D178" s="2455"/>
      <c r="E178" s="2455"/>
      <c r="F178" s="2455"/>
      <c r="G178" s="2455"/>
      <c r="H178" s="2455"/>
      <c r="I178" s="2456"/>
      <c r="J178" s="2456"/>
      <c r="K178" s="2456"/>
      <c r="L178" s="2456"/>
      <c r="M178" s="2456"/>
      <c r="N178" s="2457"/>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8" t="s">
        <v>2487</v>
      </c>
      <c r="D180" s="2459"/>
      <c r="E180" s="2459"/>
      <c r="F180" s="2459"/>
      <c r="G180" s="2459"/>
      <c r="H180" s="2459"/>
      <c r="I180" s="2459"/>
      <c r="J180" s="2459"/>
      <c r="K180" s="2459"/>
      <c r="L180" s="2459"/>
      <c r="M180" s="2459"/>
      <c r="N180" s="2459"/>
      <c r="O180" s="2459"/>
      <c r="P180" s="2459"/>
      <c r="Q180" s="2459"/>
      <c r="R180" s="2459"/>
      <c r="S180" s="2459"/>
      <c r="T180" s="2459"/>
      <c r="U180" s="2459"/>
      <c r="V180" s="2459"/>
      <c r="W180" s="2459"/>
      <c r="X180" s="2459"/>
      <c r="Y180" s="2459"/>
      <c r="Z180" s="2459"/>
      <c r="AA180" s="2459"/>
      <c r="AB180" s="2459"/>
      <c r="AC180" s="2459"/>
      <c r="AD180" s="2459"/>
      <c r="AE180" s="2460"/>
      <c r="AF180" s="1206"/>
      <c r="AG180" s="1206"/>
      <c r="AH180" s="2213" t="s">
        <v>2602</v>
      </c>
      <c r="AI180" s="2214"/>
      <c r="AJ180" s="2214"/>
      <c r="AK180" s="2214"/>
      <c r="AL180" s="2214"/>
      <c r="AM180" s="2214"/>
      <c r="AN180" s="2214"/>
      <c r="AO180" s="2214"/>
      <c r="AP180" s="2214"/>
      <c r="AQ180" s="2214"/>
      <c r="AR180" s="2214"/>
      <c r="AS180" s="2214"/>
      <c r="AT180" s="2214"/>
      <c r="AU180" s="2214"/>
      <c r="AV180" s="2214"/>
      <c r="AW180" s="2214"/>
      <c r="AX180" s="2214"/>
      <c r="AY180" s="2214"/>
      <c r="AZ180" s="2214"/>
      <c r="BA180" s="2214"/>
      <c r="BB180" s="2214"/>
      <c r="BC180" s="2214"/>
      <c r="BD180" s="2214"/>
      <c r="BE180" s="2215"/>
    </row>
    <row r="181" spans="1:57" ht="15.75" customHeight="1" thickBot="1">
      <c r="A181" s="1206"/>
      <c r="B181" s="1206"/>
      <c r="C181" s="2461"/>
      <c r="D181" s="2462"/>
      <c r="E181" s="2462"/>
      <c r="F181" s="2462"/>
      <c r="G181" s="2462"/>
      <c r="H181" s="2462"/>
      <c r="I181" s="2462"/>
      <c r="J181" s="2462"/>
      <c r="K181" s="2462"/>
      <c r="L181" s="2462"/>
      <c r="M181" s="2462"/>
      <c r="N181" s="2462"/>
      <c r="O181" s="2462"/>
      <c r="P181" s="2462"/>
      <c r="Q181" s="2462"/>
      <c r="R181" s="2462"/>
      <c r="S181" s="2462"/>
      <c r="T181" s="2462"/>
      <c r="U181" s="2462"/>
      <c r="V181" s="2462"/>
      <c r="W181" s="2462"/>
      <c r="X181" s="2462"/>
      <c r="Y181" s="2462"/>
      <c r="Z181" s="2462"/>
      <c r="AA181" s="2462"/>
      <c r="AB181" s="2462"/>
      <c r="AC181" s="2462"/>
      <c r="AD181" s="2462"/>
      <c r="AE181" s="2463"/>
      <c r="AF181" s="1206"/>
      <c r="AG181" s="1206"/>
      <c r="AH181" s="2216" t="s">
        <v>2623</v>
      </c>
      <c r="AI181" s="2216"/>
      <c r="AJ181" s="2216"/>
      <c r="AK181" s="2216"/>
      <c r="AL181" s="2216"/>
      <c r="AM181" s="2216"/>
      <c r="AN181" s="2216"/>
      <c r="AO181" s="2216"/>
      <c r="AP181" s="2216"/>
      <c r="AQ181" s="2216"/>
      <c r="AR181" s="2216"/>
      <c r="AS181" s="2216"/>
      <c r="AT181" s="2216"/>
      <c r="AU181" s="2216"/>
      <c r="AV181" s="2216"/>
      <c r="AW181" s="2216"/>
      <c r="AX181" s="2216"/>
      <c r="AY181" s="2216"/>
      <c r="AZ181" s="2216"/>
      <c r="BA181" s="2216"/>
      <c r="BB181" s="2216"/>
      <c r="BC181" s="2216"/>
      <c r="BD181" s="2216"/>
      <c r="BE181" s="2216"/>
    </row>
    <row r="182" spans="1:57" ht="15.75" customHeight="1">
      <c r="A182" s="1206"/>
      <c r="B182" s="1206"/>
      <c r="C182" s="2464" t="s">
        <v>1837</v>
      </c>
      <c r="D182" s="2465"/>
      <c r="E182" s="2465"/>
      <c r="F182" s="2465"/>
      <c r="G182" s="2465"/>
      <c r="H182" s="2465"/>
      <c r="I182" s="2465"/>
      <c r="J182" s="2465"/>
      <c r="K182" s="2465"/>
      <c r="L182" s="2465"/>
      <c r="M182" s="2465"/>
      <c r="N182" s="2465" t="s">
        <v>1848</v>
      </c>
      <c r="O182" s="2465"/>
      <c r="P182" s="2465"/>
      <c r="Q182" s="2465"/>
      <c r="R182" s="2465"/>
      <c r="S182" s="2465"/>
      <c r="T182" s="2465"/>
      <c r="U182" s="2360" t="s">
        <v>1837</v>
      </c>
      <c r="V182" s="2360"/>
      <c r="W182" s="2360"/>
      <c r="X182" s="2360"/>
      <c r="Y182" s="2360"/>
      <c r="Z182" s="2360"/>
      <c r="AA182" s="2360"/>
      <c r="AB182" s="2360"/>
      <c r="AC182" s="2360"/>
      <c r="AD182" s="2360"/>
      <c r="AE182" s="2361"/>
      <c r="AF182" s="1206"/>
      <c r="AG182" s="1206"/>
      <c r="AH182" s="2217" t="s">
        <v>2607</v>
      </c>
      <c r="AI182" s="2217"/>
      <c r="AJ182" s="2217"/>
      <c r="AK182" s="2217"/>
      <c r="AL182" s="2217"/>
      <c r="AM182" s="2217"/>
      <c r="AN182" s="2217"/>
      <c r="AO182" s="2217"/>
      <c r="AP182" s="2217"/>
      <c r="AQ182" s="2217"/>
      <c r="AR182" s="2217"/>
      <c r="AS182" s="2217"/>
      <c r="AT182" s="2217"/>
      <c r="AU182" s="2183">
        <v>2500000</v>
      </c>
      <c r="AV182" s="2183"/>
      <c r="AW182" s="2183"/>
      <c r="AX182" s="2183"/>
      <c r="AY182" s="2183"/>
      <c r="AZ182" s="2183"/>
      <c r="BA182" s="2183"/>
      <c r="BB182" s="2183"/>
      <c r="BC182" s="2191"/>
      <c r="BD182" s="2192"/>
      <c r="BE182" s="2193"/>
    </row>
    <row r="183" spans="1:57" ht="15.75" customHeight="1">
      <c r="A183" s="1206"/>
      <c r="B183" s="1206"/>
      <c r="C183" s="2207" t="s">
        <v>2488</v>
      </c>
      <c r="D183" s="2208"/>
      <c r="E183" s="2208"/>
      <c r="F183" s="2208"/>
      <c r="G183" s="2208"/>
      <c r="H183" s="2208"/>
      <c r="I183" s="2208"/>
      <c r="J183" s="2208"/>
      <c r="K183" s="2208"/>
      <c r="L183" s="2208"/>
      <c r="M183" s="2208"/>
      <c r="N183" s="2470">
        <f>'Sources and Uses Budget'!B105</f>
        <v>56571727.049999997</v>
      </c>
      <c r="O183" s="2470"/>
      <c r="P183" s="2470"/>
      <c r="Q183" s="2470"/>
      <c r="R183" s="2470"/>
      <c r="S183" s="2470"/>
      <c r="T183" s="2470"/>
      <c r="U183" s="2471"/>
      <c r="V183" s="2471"/>
      <c r="W183" s="2471"/>
      <c r="X183" s="2471"/>
      <c r="Y183" s="2471"/>
      <c r="Z183" s="2471"/>
      <c r="AA183" s="2471"/>
      <c r="AB183" s="2471"/>
      <c r="AC183" s="2471"/>
      <c r="AD183" s="2471"/>
      <c r="AE183" s="2472"/>
      <c r="AF183" s="1206"/>
      <c r="AG183" s="1206"/>
      <c r="AH183" s="2217" t="s">
        <v>2606</v>
      </c>
      <c r="AI183" s="2217"/>
      <c r="AJ183" s="2217"/>
      <c r="AK183" s="2217"/>
      <c r="AL183" s="2217"/>
      <c r="AM183" s="2217"/>
      <c r="AN183" s="2217"/>
      <c r="AO183" s="2217"/>
      <c r="AP183" s="2217"/>
      <c r="AQ183" s="2217"/>
      <c r="AR183" s="2217"/>
      <c r="AS183" s="2217"/>
      <c r="AT183" s="2217"/>
      <c r="AU183" s="2184">
        <f>MAX(0,Application!AG439-100)*20000</f>
        <v>1920000</v>
      </c>
      <c r="AV183" s="2184"/>
      <c r="AW183" s="2184"/>
      <c r="AX183" s="2184"/>
      <c r="AY183" s="2184"/>
      <c r="AZ183" s="2184"/>
      <c r="BA183" s="2184"/>
      <c r="BB183" s="2184"/>
      <c r="BC183" s="2188"/>
      <c r="BD183" s="2189"/>
      <c r="BE183" s="2190"/>
    </row>
    <row r="184" spans="1:57" ht="15.75" customHeight="1">
      <c r="A184" s="1206"/>
      <c r="B184" s="1206"/>
      <c r="C184" s="2207" t="s">
        <v>2489</v>
      </c>
      <c r="D184" s="2208"/>
      <c r="E184" s="2208"/>
      <c r="F184" s="2208"/>
      <c r="G184" s="2208"/>
      <c r="H184" s="2208"/>
      <c r="I184" s="2208"/>
      <c r="J184" s="2208"/>
      <c r="K184" s="2208"/>
      <c r="L184" s="2208"/>
      <c r="M184" s="2208"/>
      <c r="N184" s="2470">
        <f>N183/J29</f>
        <v>288631.26045918366</v>
      </c>
      <c r="O184" s="2470"/>
      <c r="P184" s="2470"/>
      <c r="Q184" s="2470"/>
      <c r="R184" s="2470"/>
      <c r="S184" s="2470"/>
      <c r="T184" s="2470"/>
      <c r="U184" s="1222"/>
      <c r="V184" s="1222"/>
      <c r="W184" s="1222"/>
      <c r="X184" s="1222"/>
      <c r="Y184" s="1222"/>
      <c r="Z184" s="1222"/>
      <c r="AA184" s="1222"/>
      <c r="AB184" s="1222"/>
      <c r="AC184" s="1222"/>
      <c r="AD184" s="1222"/>
      <c r="AE184" s="1221"/>
      <c r="AF184" s="1206"/>
      <c r="AG184" s="1206"/>
      <c r="AH184" s="2194" t="s">
        <v>2605</v>
      </c>
      <c r="AI184" s="2194"/>
      <c r="AJ184" s="2194"/>
      <c r="AK184" s="2194"/>
      <c r="AL184" s="2194"/>
      <c r="AM184" s="2194"/>
      <c r="AN184" s="2194"/>
      <c r="AO184" s="2194"/>
      <c r="AP184" s="2194"/>
      <c r="AQ184" s="2194"/>
      <c r="AR184" s="2194"/>
      <c r="AS184" s="2194"/>
      <c r="AT184" s="2194"/>
      <c r="AU184" s="2185">
        <f>AU182+AU183</f>
        <v>4420000</v>
      </c>
      <c r="AV184" s="2185"/>
      <c r="AW184" s="2185"/>
      <c r="AX184" s="2185"/>
      <c r="AY184" s="2185"/>
      <c r="AZ184" s="2185"/>
      <c r="BA184" s="2185"/>
      <c r="BB184" s="2185"/>
      <c r="BC184" s="2188"/>
      <c r="BD184" s="2189"/>
      <c r="BE184" s="2190"/>
    </row>
    <row r="185" spans="1:57" ht="15.75" customHeight="1">
      <c r="A185" s="1206"/>
      <c r="B185" s="1206"/>
      <c r="C185" s="2473" t="s">
        <v>2490</v>
      </c>
      <c r="D185" s="2474"/>
      <c r="E185" s="2474"/>
      <c r="F185" s="2474"/>
      <c r="G185" s="2474"/>
      <c r="H185" s="2474"/>
      <c r="I185" s="2474"/>
      <c r="J185" s="2474"/>
      <c r="K185" s="2474"/>
      <c r="L185" s="2474"/>
      <c r="M185" s="2474"/>
      <c r="N185" s="2399">
        <v>0</v>
      </c>
      <c r="O185" s="2399"/>
      <c r="P185" s="2399"/>
      <c r="Q185" s="2399"/>
      <c r="R185" s="2399"/>
      <c r="S185" s="2399"/>
      <c r="T185" s="2399"/>
      <c r="U185" s="2377"/>
      <c r="V185" s="2377"/>
      <c r="W185" s="2377"/>
      <c r="X185" s="2377"/>
      <c r="Y185" s="2377"/>
      <c r="Z185" s="2377"/>
      <c r="AA185" s="2377"/>
      <c r="AB185" s="2377"/>
      <c r="AC185" s="2377"/>
      <c r="AD185" s="2377"/>
      <c r="AE185" s="2378"/>
      <c r="AF185" s="1206"/>
      <c r="AG185" s="1206"/>
      <c r="AH185" s="2187" t="s">
        <v>2604</v>
      </c>
      <c r="AI185" s="2187"/>
      <c r="AJ185" s="2187"/>
      <c r="AK185" s="2187"/>
      <c r="AL185" s="2187"/>
      <c r="AM185" s="2187"/>
      <c r="AN185" s="2187"/>
      <c r="AO185" s="2187"/>
      <c r="AP185" s="2187"/>
      <c r="AQ185" s="2187"/>
      <c r="AR185" s="2187"/>
      <c r="AS185" s="2187"/>
      <c r="AT185" s="2187"/>
      <c r="AU185" s="2186" t="str">
        <f>IF(AU189-AU192&lt;=AU184,"Y","N")</f>
        <v>Y</v>
      </c>
      <c r="AV185" s="2186"/>
      <c r="AW185" s="2186"/>
      <c r="AX185" s="2186"/>
      <c r="AY185" s="2186"/>
      <c r="AZ185" s="2186"/>
      <c r="BA185" s="2186"/>
      <c r="BB185" s="2186"/>
      <c r="BC185" s="2188"/>
      <c r="BD185" s="2189"/>
      <c r="BE185" s="2190"/>
    </row>
    <row r="186" spans="1:57" ht="15.75" customHeight="1" thickBot="1">
      <c r="A186" s="1206"/>
      <c r="B186" s="1206"/>
      <c r="C186" s="2207" t="s">
        <v>2491</v>
      </c>
      <c r="D186" s="2208"/>
      <c r="E186" s="2208"/>
      <c r="F186" s="2208"/>
      <c r="G186" s="2208"/>
      <c r="H186" s="2208"/>
      <c r="I186" s="2208"/>
      <c r="J186" s="2208"/>
      <c r="K186" s="2208"/>
      <c r="L186" s="2208"/>
      <c r="M186" s="2208"/>
      <c r="N186" s="2469">
        <f>SUM('Sources and Uses Budget'!B85:B86)</f>
        <v>68572</v>
      </c>
      <c r="O186" s="2469"/>
      <c r="P186" s="2469"/>
      <c r="Q186" s="2469"/>
      <c r="R186" s="2469"/>
      <c r="S186" s="2469"/>
      <c r="T186" s="2469"/>
      <c r="U186" s="2377"/>
      <c r="V186" s="2377"/>
      <c r="W186" s="2377"/>
      <c r="X186" s="2377"/>
      <c r="Y186" s="2377"/>
      <c r="Z186" s="2377"/>
      <c r="AA186" s="2377"/>
      <c r="AB186" s="2377"/>
      <c r="AC186" s="2377"/>
      <c r="AD186" s="2377"/>
      <c r="AE186" s="237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7" t="s">
        <v>2492</v>
      </c>
      <c r="D187" s="2208"/>
      <c r="E187" s="2208"/>
      <c r="F187" s="2208"/>
      <c r="G187" s="2208"/>
      <c r="H187" s="2208"/>
      <c r="I187" s="2208"/>
      <c r="J187" s="2208"/>
      <c r="K187" s="2208"/>
      <c r="L187" s="2208"/>
      <c r="M187" s="2208"/>
      <c r="N187" s="2469">
        <f>'Sources and Uses Budget'!B8</f>
        <v>2889112</v>
      </c>
      <c r="O187" s="2469"/>
      <c r="P187" s="2469"/>
      <c r="Q187" s="2469"/>
      <c r="R187" s="2469"/>
      <c r="S187" s="2469"/>
      <c r="T187" s="2469"/>
      <c r="U187" s="2377"/>
      <c r="V187" s="2377"/>
      <c r="W187" s="2377"/>
      <c r="X187" s="2377"/>
      <c r="Y187" s="2377"/>
      <c r="Z187" s="2377"/>
      <c r="AA187" s="2377"/>
      <c r="AB187" s="2377"/>
      <c r="AC187" s="2377"/>
      <c r="AD187" s="2377"/>
      <c r="AE187" s="2378"/>
      <c r="AF187" s="1206"/>
      <c r="AG187" s="1206"/>
      <c r="AH187" s="2476" t="s">
        <v>1849</v>
      </c>
      <c r="AI187" s="2477"/>
      <c r="AJ187" s="2477"/>
      <c r="AK187" s="2477"/>
      <c r="AL187" s="2477"/>
      <c r="AM187" s="2477"/>
      <c r="AN187" s="2477"/>
      <c r="AO187" s="2477"/>
      <c r="AP187" s="2477"/>
      <c r="AQ187" s="2477"/>
      <c r="AR187" s="2477"/>
      <c r="AS187" s="2477"/>
      <c r="AT187" s="2477"/>
      <c r="AU187" s="2477"/>
      <c r="AV187" s="2477"/>
      <c r="AW187" s="2477"/>
      <c r="AX187" s="2477"/>
      <c r="AY187" s="2477"/>
      <c r="AZ187" s="2477"/>
      <c r="BA187" s="2477"/>
      <c r="BB187" s="2477"/>
      <c r="BC187" s="2477"/>
      <c r="BD187" s="2477"/>
      <c r="BE187" s="2478"/>
    </row>
    <row r="188" spans="1:57" ht="15.75" customHeight="1">
      <c r="A188" s="1206"/>
      <c r="B188" s="1206"/>
      <c r="C188" s="2207" t="s">
        <v>2493</v>
      </c>
      <c r="D188" s="2208"/>
      <c r="E188" s="2208"/>
      <c r="F188" s="2208"/>
      <c r="G188" s="2208"/>
      <c r="H188" s="2208"/>
      <c r="I188" s="2208"/>
      <c r="J188" s="2208"/>
      <c r="K188" s="2208"/>
      <c r="L188" s="2208"/>
      <c r="M188" s="2208"/>
      <c r="N188" s="2484">
        <v>0</v>
      </c>
      <c r="O188" s="2484"/>
      <c r="P188" s="2484"/>
      <c r="Q188" s="2484"/>
      <c r="R188" s="2484"/>
      <c r="S188" s="2484"/>
      <c r="T188" s="2484"/>
      <c r="U188" s="2377"/>
      <c r="V188" s="2377"/>
      <c r="W188" s="2377"/>
      <c r="X188" s="2377"/>
      <c r="Y188" s="2377"/>
      <c r="Z188" s="2377"/>
      <c r="AA188" s="2377"/>
      <c r="AB188" s="2377"/>
      <c r="AC188" s="2377"/>
      <c r="AD188" s="2377"/>
      <c r="AE188" s="2378"/>
      <c r="AF188" s="1206"/>
      <c r="AG188" s="1206"/>
      <c r="AH188" s="2479" t="s">
        <v>1849</v>
      </c>
      <c r="AI188" s="2479"/>
      <c r="AJ188" s="2479"/>
      <c r="AK188" s="2479"/>
      <c r="AL188" s="2479"/>
      <c r="AM188" s="2479"/>
      <c r="AN188" s="2479"/>
      <c r="AO188" s="2479"/>
      <c r="AP188" s="2479"/>
      <c r="AQ188" s="2479"/>
      <c r="AR188" s="2479"/>
      <c r="AS188" s="2479"/>
      <c r="AT188" s="2479"/>
      <c r="AU188" s="2480">
        <v>0</v>
      </c>
      <c r="AV188" s="2480"/>
      <c r="AW188" s="2480"/>
      <c r="AX188" s="2480"/>
      <c r="AY188" s="2480"/>
      <c r="AZ188" s="2480"/>
      <c r="BA188" s="2480"/>
      <c r="BB188" s="2480"/>
      <c r="BC188" s="2481"/>
      <c r="BD188" s="2482"/>
      <c r="BE188" s="2483"/>
    </row>
    <row r="189" spans="1:57" ht="15.75" customHeight="1">
      <c r="A189" s="1206"/>
      <c r="B189" s="1206"/>
      <c r="C189" s="2207" t="s">
        <v>2494</v>
      </c>
      <c r="D189" s="2208"/>
      <c r="E189" s="2208"/>
      <c r="F189" s="2208"/>
      <c r="G189" s="2208"/>
      <c r="H189" s="2208"/>
      <c r="I189" s="2208"/>
      <c r="J189" s="2208"/>
      <c r="K189" s="2208"/>
      <c r="L189" s="2208"/>
      <c r="M189" s="2208"/>
      <c r="N189" s="2484">
        <v>0</v>
      </c>
      <c r="O189" s="2484"/>
      <c r="P189" s="2484"/>
      <c r="Q189" s="2484"/>
      <c r="R189" s="2484"/>
      <c r="S189" s="2484"/>
      <c r="T189" s="2484"/>
      <c r="U189" s="2377"/>
      <c r="V189" s="2377"/>
      <c r="W189" s="2377"/>
      <c r="X189" s="2377"/>
      <c r="Y189" s="2377"/>
      <c r="Z189" s="2377"/>
      <c r="AA189" s="2377"/>
      <c r="AB189" s="2377"/>
      <c r="AC189" s="2377"/>
      <c r="AD189" s="2377"/>
      <c r="AE189" s="2378"/>
      <c r="AF189" s="1206"/>
      <c r="AG189" s="1206"/>
      <c r="AH189" s="2217" t="s">
        <v>2603</v>
      </c>
      <c r="AI189" s="2217"/>
      <c r="AJ189" s="2217"/>
      <c r="AK189" s="2217"/>
      <c r="AL189" s="2217"/>
      <c r="AM189" s="2217"/>
      <c r="AN189" s="2217"/>
      <c r="AO189" s="2217"/>
      <c r="AP189" s="2217"/>
      <c r="AQ189" s="2217"/>
      <c r="AR189" s="2217"/>
      <c r="AS189" s="2217"/>
      <c r="AT189" s="2217"/>
      <c r="AU189" s="2475"/>
      <c r="AV189" s="2475"/>
      <c r="AW189" s="2475"/>
      <c r="AX189" s="2475"/>
      <c r="AY189" s="2475"/>
      <c r="AZ189" s="2475"/>
      <c r="BA189" s="2475"/>
      <c r="BB189" s="2475"/>
      <c r="BC189" s="2188"/>
      <c r="BD189" s="2189"/>
      <c r="BE189" s="2190"/>
    </row>
    <row r="190" spans="1:57" ht="15.75" customHeight="1">
      <c r="A190" s="1206"/>
      <c r="B190" s="1206"/>
      <c r="C190" s="2510" t="s">
        <v>301</v>
      </c>
      <c r="D190" s="2441"/>
      <c r="E190" s="2509" t="s">
        <v>1843</v>
      </c>
      <c r="F190" s="2509"/>
      <c r="G190" s="2509"/>
      <c r="H190" s="2509"/>
      <c r="I190" s="2509"/>
      <c r="J190" s="2509"/>
      <c r="K190" s="2509"/>
      <c r="L190" s="2509"/>
      <c r="M190" s="2509"/>
      <c r="N190" s="2484">
        <v>0</v>
      </c>
      <c r="O190" s="2484"/>
      <c r="P190" s="2484"/>
      <c r="Q190" s="2484"/>
      <c r="R190" s="2484"/>
      <c r="S190" s="2484"/>
      <c r="T190" s="2484"/>
      <c r="U190" s="2377"/>
      <c r="V190" s="2377"/>
      <c r="W190" s="2377"/>
      <c r="X190" s="2377"/>
      <c r="Y190" s="2377"/>
      <c r="Z190" s="2377"/>
      <c r="AA190" s="2377"/>
      <c r="AB190" s="2377"/>
      <c r="AC190" s="2377"/>
      <c r="AD190" s="2377"/>
      <c r="AE190" s="2378"/>
      <c r="AF190" s="1206"/>
      <c r="AG190" s="1206"/>
      <c r="AH190" s="2194" t="s">
        <v>2602</v>
      </c>
      <c r="AI190" s="2194"/>
      <c r="AJ190" s="2194"/>
      <c r="AK190" s="2194"/>
      <c r="AL190" s="2194"/>
      <c r="AM190" s="2194"/>
      <c r="AN190" s="2194"/>
      <c r="AO190" s="2194"/>
      <c r="AP190" s="2194"/>
      <c r="AQ190" s="2194"/>
      <c r="AR190" s="2194"/>
      <c r="AS190" s="2194"/>
      <c r="AT190" s="2194"/>
      <c r="AU190" s="2185">
        <f>SUM(AU188:BB189)</f>
        <v>0</v>
      </c>
      <c r="AV190" s="2185"/>
      <c r="AW190" s="2185"/>
      <c r="AX190" s="2185"/>
      <c r="AY190" s="2185"/>
      <c r="AZ190" s="2185"/>
      <c r="BA190" s="2185"/>
      <c r="BB190" s="2185"/>
      <c r="BC190" s="2188"/>
      <c r="BD190" s="2189"/>
      <c r="BE190" s="2190"/>
    </row>
    <row r="191" spans="1:57" ht="15.75" customHeight="1" thickBot="1">
      <c r="A191" s="1206"/>
      <c r="B191" s="1206"/>
      <c r="C191" s="2398" t="s">
        <v>301</v>
      </c>
      <c r="D191" s="2368"/>
      <c r="E191" s="2509" t="s">
        <v>1843</v>
      </c>
      <c r="F191" s="2509"/>
      <c r="G191" s="2509"/>
      <c r="H191" s="2509"/>
      <c r="I191" s="2509"/>
      <c r="J191" s="2509"/>
      <c r="K191" s="2509"/>
      <c r="L191" s="2509"/>
      <c r="M191" s="2509"/>
      <c r="N191" s="2484">
        <v>0</v>
      </c>
      <c r="O191" s="2484"/>
      <c r="P191" s="2484"/>
      <c r="Q191" s="2484"/>
      <c r="R191" s="2484"/>
      <c r="S191" s="2484"/>
      <c r="T191" s="2484"/>
      <c r="U191" s="2377"/>
      <c r="V191" s="2377"/>
      <c r="W191" s="2377"/>
      <c r="X191" s="2377"/>
      <c r="Y191" s="2377"/>
      <c r="Z191" s="2377"/>
      <c r="AA191" s="2377"/>
      <c r="AB191" s="2377"/>
      <c r="AC191" s="2377"/>
      <c r="AD191" s="2377"/>
      <c r="AE191" s="237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1"/>
      <c r="BD191" s="2492"/>
      <c r="BE191" s="2493"/>
    </row>
    <row r="192" spans="1:57" ht="15.75" customHeight="1" thickBot="1">
      <c r="A192" s="1206"/>
      <c r="B192" s="1206"/>
      <c r="C192" s="2498" t="s">
        <v>301</v>
      </c>
      <c r="D192" s="2499"/>
      <c r="E192" s="2500" t="s">
        <v>1843</v>
      </c>
      <c r="F192" s="2500"/>
      <c r="G192" s="2500"/>
      <c r="H192" s="2500"/>
      <c r="I192" s="2500"/>
      <c r="J192" s="2500"/>
      <c r="K192" s="2500"/>
      <c r="L192" s="2500"/>
      <c r="M192" s="2501"/>
      <c r="N192" s="2502">
        <v>0</v>
      </c>
      <c r="O192" s="2502"/>
      <c r="P192" s="2502"/>
      <c r="Q192" s="2502"/>
      <c r="R192" s="2502"/>
      <c r="S192" s="2502"/>
      <c r="T192" s="2503"/>
      <c r="U192" s="2504"/>
      <c r="V192" s="2505"/>
      <c r="W192" s="2505"/>
      <c r="X192" s="2505"/>
      <c r="Y192" s="2505"/>
      <c r="Z192" s="2505"/>
      <c r="AA192" s="2505"/>
      <c r="AB192" s="2505"/>
      <c r="AC192" s="2505"/>
      <c r="AD192" s="2505"/>
      <c r="AE192" s="2506"/>
      <c r="AF192" s="1206"/>
      <c r="AG192" s="1206"/>
      <c r="AH192" s="2535" t="s">
        <v>1850</v>
      </c>
      <c r="AI192" s="2536"/>
      <c r="AJ192" s="2536"/>
      <c r="AK192" s="2536"/>
      <c r="AL192" s="2536"/>
      <c r="AM192" s="2536"/>
      <c r="AN192" s="2536"/>
      <c r="AO192" s="2536"/>
      <c r="AP192" s="2536"/>
      <c r="AQ192" s="2536"/>
      <c r="AR192" s="2536"/>
      <c r="AS192" s="2536"/>
      <c r="AT192" s="2536"/>
      <c r="AU192" s="2485"/>
      <c r="AV192" s="2485"/>
      <c r="AW192" s="2485"/>
      <c r="AX192" s="2485"/>
      <c r="AY192" s="2485"/>
      <c r="AZ192" s="2485"/>
      <c r="BA192" s="2485"/>
      <c r="BB192" s="2485"/>
      <c r="BC192" s="1219"/>
      <c r="BD192" s="1219"/>
      <c r="BE192" s="1218"/>
    </row>
    <row r="193" spans="1:57" ht="15.75" customHeight="1">
      <c r="A193" s="1206"/>
      <c r="B193" s="1206"/>
      <c r="C193" s="2494" t="s">
        <v>1851</v>
      </c>
      <c r="D193" s="2495"/>
      <c r="E193" s="2495"/>
      <c r="F193" s="2495"/>
      <c r="G193" s="2495"/>
      <c r="H193" s="2495"/>
      <c r="I193" s="2495"/>
      <c r="J193" s="2495"/>
      <c r="K193" s="2495"/>
      <c r="L193" s="2495"/>
      <c r="M193" s="2495"/>
      <c r="N193" s="2496">
        <f>SUM(N185:T192)</f>
        <v>2957684</v>
      </c>
      <c r="O193" s="2496"/>
      <c r="P193" s="2496"/>
      <c r="Q193" s="2496"/>
      <c r="R193" s="2496"/>
      <c r="S193" s="2496"/>
      <c r="T193" s="2497"/>
      <c r="U193" s="1206"/>
      <c r="V193" s="1206"/>
      <c r="W193" s="1206"/>
      <c r="X193" s="1206"/>
      <c r="Y193" s="1206"/>
      <c r="Z193" s="1206"/>
      <c r="AA193" s="1206"/>
      <c r="AB193" s="1206"/>
      <c r="AC193" s="1206"/>
      <c r="AD193" s="1206"/>
      <c r="AE193" s="1206"/>
      <c r="AF193" s="1206"/>
      <c r="AG193" s="1206"/>
      <c r="AH193" s="2507" t="s">
        <v>2601</v>
      </c>
      <c r="AI193" s="2507"/>
      <c r="AJ193" s="2507"/>
      <c r="AK193" s="2507"/>
      <c r="AL193" s="2507"/>
      <c r="AM193" s="2507"/>
      <c r="AN193" s="2507"/>
      <c r="AO193" s="2507"/>
      <c r="AP193" s="2507"/>
      <c r="AQ193" s="2507"/>
      <c r="AR193" s="2507"/>
      <c r="AS193" s="2507"/>
      <c r="AT193" s="2507"/>
      <c r="AU193" s="2507"/>
      <c r="AV193" s="2507"/>
      <c r="AW193" s="2507"/>
      <c r="AX193" s="2507"/>
      <c r="AY193" s="2507"/>
      <c r="AZ193" s="2507"/>
      <c r="BA193" s="2507"/>
      <c r="BB193" s="2507"/>
      <c r="BC193" s="2507"/>
      <c r="BD193" s="2507"/>
      <c r="BE193" s="2508"/>
    </row>
    <row r="194" spans="1:57" ht="15.75" customHeight="1" thickBot="1">
      <c r="A194" s="1206"/>
      <c r="B194" s="1206"/>
      <c r="C194" s="2537" t="s">
        <v>2495</v>
      </c>
      <c r="D194" s="2538"/>
      <c r="E194" s="2538"/>
      <c r="F194" s="2538"/>
      <c r="G194" s="2538"/>
      <c r="H194" s="2538"/>
      <c r="I194" s="2538"/>
      <c r="J194" s="2538"/>
      <c r="K194" s="2538"/>
      <c r="L194" s="2538"/>
      <c r="M194" s="2538"/>
      <c r="N194" s="2539">
        <f>(N183-N193)/J29</f>
        <v>273541.03596938774</v>
      </c>
      <c r="O194" s="2540"/>
      <c r="P194" s="2540"/>
      <c r="Q194" s="2540"/>
      <c r="R194" s="2540"/>
      <c r="S194" s="2540"/>
      <c r="T194" s="2541"/>
      <c r="U194" s="1217"/>
      <c r="V194" s="1206"/>
      <c r="W194" s="1206"/>
      <c r="X194" s="1206"/>
      <c r="Y194" s="1206"/>
      <c r="Z194" s="1206"/>
      <c r="AA194" s="1206"/>
      <c r="AB194" s="1206"/>
      <c r="AC194" s="1206"/>
      <c r="AD194" s="1206"/>
      <c r="AE194" s="1206"/>
      <c r="AF194" s="1206"/>
      <c r="AG194" s="1206"/>
      <c r="AH194" s="2507"/>
      <c r="AI194" s="2507"/>
      <c r="AJ194" s="2507"/>
      <c r="AK194" s="2507"/>
      <c r="AL194" s="2507"/>
      <c r="AM194" s="2507"/>
      <c r="AN194" s="2507"/>
      <c r="AO194" s="2507"/>
      <c r="AP194" s="2507"/>
      <c r="AQ194" s="2507"/>
      <c r="AR194" s="2507"/>
      <c r="AS194" s="2507"/>
      <c r="AT194" s="2507"/>
      <c r="AU194" s="2507"/>
      <c r="AV194" s="2507"/>
      <c r="AW194" s="2507"/>
      <c r="AX194" s="2507"/>
      <c r="AY194" s="2507"/>
      <c r="AZ194" s="2507"/>
      <c r="BA194" s="2507"/>
      <c r="BB194" s="2507"/>
      <c r="BC194" s="2507"/>
      <c r="BD194" s="2507"/>
      <c r="BE194" s="2508"/>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2"/>
      <c r="AI195" s="2542"/>
      <c r="AJ195" s="2542"/>
      <c r="AK195" s="2542"/>
      <c r="AL195" s="2542"/>
      <c r="AM195" s="2542"/>
      <c r="AN195" s="2542"/>
      <c r="AO195" s="2542"/>
      <c r="AP195" s="2542"/>
      <c r="AQ195" s="2542"/>
      <c r="AR195" s="2542"/>
      <c r="AS195" s="2486"/>
      <c r="AT195" s="2486"/>
      <c r="AU195" s="2486"/>
      <c r="AV195" s="2486"/>
      <c r="AW195" s="2486"/>
      <c r="AX195" s="2486"/>
      <c r="AY195" s="2486"/>
      <c r="AZ195" s="2486"/>
      <c r="BA195" s="2486"/>
      <c r="BB195" s="2486"/>
      <c r="BC195" s="2486"/>
      <c r="BD195" s="2486"/>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7" t="s">
        <v>2600</v>
      </c>
      <c r="D197" s="2488"/>
      <c r="E197" s="2488"/>
      <c r="F197" s="2488"/>
      <c r="G197" s="2488"/>
      <c r="H197" s="2488"/>
      <c r="I197" s="2488"/>
      <c r="J197" s="2488"/>
      <c r="K197" s="2488"/>
      <c r="L197" s="2488"/>
      <c r="M197" s="2488"/>
      <c r="N197" s="2488"/>
      <c r="O197" s="2488"/>
      <c r="P197" s="2488"/>
      <c r="Q197" s="2488"/>
      <c r="R197" s="2488"/>
      <c r="S197" s="2488"/>
      <c r="T197" s="2488"/>
      <c r="U197" s="2488"/>
      <c r="V197" s="2488"/>
      <c r="W197" s="2488"/>
      <c r="X197" s="2488"/>
      <c r="Y197" s="2488"/>
      <c r="Z197" s="2488"/>
      <c r="AA197" s="2488"/>
      <c r="AB197" s="2488"/>
      <c r="AC197" s="2488"/>
      <c r="AD197" s="2488"/>
      <c r="AE197" s="248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7" t="s">
        <v>2599</v>
      </c>
      <c r="D198" s="2197"/>
      <c r="E198" s="2197"/>
      <c r="F198" s="2197"/>
      <c r="G198" s="2197"/>
      <c r="H198" s="2197"/>
      <c r="I198" s="2197"/>
      <c r="J198" s="2197"/>
      <c r="K198" s="2197"/>
      <c r="L198" s="2197"/>
      <c r="M198" s="2197"/>
      <c r="N198" s="2197"/>
      <c r="O198" s="2198" t="s">
        <v>2598</v>
      </c>
      <c r="P198" s="2198"/>
      <c r="Q198" s="2198"/>
      <c r="R198" s="2198"/>
      <c r="S198" s="2198"/>
      <c r="T198" s="2198"/>
      <c r="U198" s="2198"/>
      <c r="V198" s="2198"/>
      <c r="W198" s="2198"/>
      <c r="X198" s="2198" t="s">
        <v>2597</v>
      </c>
      <c r="Y198" s="2198"/>
      <c r="Z198" s="2198"/>
      <c r="AA198" s="2198"/>
      <c r="AB198" s="2198"/>
      <c r="AC198" s="2198"/>
      <c r="AD198" s="2198"/>
      <c r="AE198" s="21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5" t="s">
        <v>2596</v>
      </c>
      <c r="D199" s="2195"/>
      <c r="E199" s="2195"/>
      <c r="F199" s="2195"/>
      <c r="G199" s="2195"/>
      <c r="H199" s="2195"/>
      <c r="I199" s="2195"/>
      <c r="J199" s="2195"/>
      <c r="K199" s="2195"/>
      <c r="L199" s="2195"/>
      <c r="M199" s="2195"/>
      <c r="N199" s="2195"/>
      <c r="O199" s="2490" t="s">
        <v>2595</v>
      </c>
      <c r="P199" s="2490"/>
      <c r="Q199" s="2490"/>
      <c r="R199" s="2490"/>
      <c r="S199" s="2490"/>
      <c r="T199" s="2490"/>
      <c r="U199" s="2490"/>
      <c r="V199" s="2490"/>
      <c r="W199" s="2490"/>
      <c r="X199" s="2511">
        <v>0.03</v>
      </c>
      <c r="Y199" s="2511"/>
      <c r="Z199" s="2511"/>
      <c r="AA199" s="2511"/>
      <c r="AB199" s="2511"/>
      <c r="AC199" s="2511"/>
      <c r="AD199" s="2511"/>
      <c r="AE199" s="251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5" t="s">
        <v>865</v>
      </c>
      <c r="D200" s="2195"/>
      <c r="E200" s="2195"/>
      <c r="F200" s="2195"/>
      <c r="G200" s="2195"/>
      <c r="H200" s="2195"/>
      <c r="I200" s="2195"/>
      <c r="J200" s="2195"/>
      <c r="K200" s="2195"/>
      <c r="L200" s="2195"/>
      <c r="M200" s="2195"/>
      <c r="N200" s="2195"/>
      <c r="O200" s="2490" t="s">
        <v>2595</v>
      </c>
      <c r="P200" s="2490"/>
      <c r="Q200" s="2490"/>
      <c r="R200" s="2490"/>
      <c r="S200" s="2490"/>
      <c r="T200" s="2490"/>
      <c r="U200" s="2490"/>
      <c r="V200" s="2490"/>
      <c r="W200" s="2490"/>
      <c r="X200" s="2511">
        <v>0.03</v>
      </c>
      <c r="Y200" s="2511"/>
      <c r="Z200" s="2511"/>
      <c r="AA200" s="2511"/>
      <c r="AB200" s="2511"/>
      <c r="AC200" s="2511"/>
      <c r="AD200" s="2511"/>
      <c r="AE200" s="251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5" t="s">
        <v>2594</v>
      </c>
      <c r="D201" s="2195"/>
      <c r="E201" s="2195"/>
      <c r="F201" s="2195"/>
      <c r="G201" s="2195"/>
      <c r="H201" s="2195"/>
      <c r="I201" s="2195"/>
      <c r="J201" s="2195"/>
      <c r="K201" s="2195"/>
      <c r="L201" s="2195"/>
      <c r="M201" s="2195"/>
      <c r="N201" s="2195"/>
      <c r="O201" s="2199">
        <f>SUM(O199:W200)</f>
        <v>0</v>
      </c>
      <c r="P201" s="2200"/>
      <c r="Q201" s="2200"/>
      <c r="R201" s="2200"/>
      <c r="S201" s="2200"/>
      <c r="T201" s="2200"/>
      <c r="U201" s="2200"/>
      <c r="V201" s="2200"/>
      <c r="W201" s="2200"/>
      <c r="X201" s="2200" t="s">
        <v>2593</v>
      </c>
      <c r="Y201" s="2200"/>
      <c r="Z201" s="2200"/>
      <c r="AA201" s="2200"/>
      <c r="AB201" s="2200"/>
      <c r="AC201" s="2200"/>
      <c r="AD201" s="2200"/>
      <c r="AE201" s="22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6" t="s">
        <v>2592</v>
      </c>
      <c r="D202" s="2196"/>
      <c r="E202" s="2196"/>
      <c r="F202" s="2196"/>
      <c r="G202" s="2196"/>
      <c r="H202" s="2196"/>
      <c r="I202" s="2196"/>
      <c r="J202" s="2196"/>
      <c r="K202" s="2196"/>
      <c r="L202" s="2196"/>
      <c r="M202" s="2196"/>
      <c r="N202" s="2196"/>
      <c r="O202" s="2196"/>
      <c r="P202" s="2196"/>
      <c r="Q202" s="2196"/>
      <c r="R202" s="2196"/>
      <c r="S202" s="2196"/>
      <c r="T202" s="2196"/>
      <c r="U202" s="2196"/>
      <c r="V202" s="2196"/>
      <c r="W202" s="2196"/>
      <c r="X202" s="2196"/>
      <c r="Y202" s="2196"/>
      <c r="Z202" s="2196"/>
      <c r="AA202" s="2196"/>
      <c r="AB202" s="2196"/>
      <c r="AC202" s="2196"/>
      <c r="AD202" s="2196"/>
      <c r="AE202" s="21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2" t="s">
        <v>2591</v>
      </c>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5" t="s">
        <v>2590</v>
      </c>
      <c r="D205" s="2516"/>
      <c r="E205" s="2516"/>
      <c r="F205" s="2517"/>
      <c r="G205" s="2521" t="s">
        <v>2589</v>
      </c>
      <c r="H205" s="2516"/>
      <c r="I205" s="2516"/>
      <c r="J205" s="2516"/>
      <c r="K205" s="2516"/>
      <c r="L205" s="2516"/>
      <c r="M205" s="2516"/>
      <c r="N205" s="2516"/>
      <c r="O205" s="2517"/>
      <c r="P205" s="2523" t="s">
        <v>2588</v>
      </c>
      <c r="Q205" s="2524"/>
      <c r="R205" s="2524"/>
      <c r="S205" s="2524"/>
      <c r="T205" s="2525"/>
      <c r="U205" s="2529" t="s">
        <v>2587</v>
      </c>
      <c r="V205" s="2530"/>
      <c r="W205" s="2530"/>
      <c r="X205" s="2531"/>
      <c r="Y205" s="2529" t="s">
        <v>2586</v>
      </c>
      <c r="Z205" s="2530"/>
      <c r="AA205" s="2530"/>
      <c r="AB205" s="2531"/>
      <c r="AC205" s="2529" t="s">
        <v>2585</v>
      </c>
      <c r="AD205" s="2530"/>
      <c r="AE205" s="2530"/>
      <c r="AF205" s="2531"/>
      <c r="AG205" s="2521" t="s">
        <v>2584</v>
      </c>
      <c r="AH205" s="2516"/>
      <c r="AI205" s="2516"/>
      <c r="AJ205" s="2516"/>
      <c r="AK205" s="257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8"/>
      <c r="D206" s="2519"/>
      <c r="E206" s="2519"/>
      <c r="F206" s="2520"/>
      <c r="G206" s="2522"/>
      <c r="H206" s="2519"/>
      <c r="I206" s="2519"/>
      <c r="J206" s="2519"/>
      <c r="K206" s="2519"/>
      <c r="L206" s="2519"/>
      <c r="M206" s="2519"/>
      <c r="N206" s="2519"/>
      <c r="O206" s="2520"/>
      <c r="P206" s="2526"/>
      <c r="Q206" s="2527"/>
      <c r="R206" s="2527"/>
      <c r="S206" s="2527"/>
      <c r="T206" s="2528"/>
      <c r="U206" s="2532"/>
      <c r="V206" s="2533"/>
      <c r="W206" s="2533"/>
      <c r="X206" s="2534"/>
      <c r="Y206" s="2532"/>
      <c r="Z206" s="2533"/>
      <c r="AA206" s="2533"/>
      <c r="AB206" s="2534"/>
      <c r="AC206" s="2532"/>
      <c r="AD206" s="2533"/>
      <c r="AE206" s="2533"/>
      <c r="AF206" s="2534"/>
      <c r="AG206" s="2522"/>
      <c r="AH206" s="2519"/>
      <c r="AI206" s="2519"/>
      <c r="AJ206" s="2519"/>
      <c r="AK206" s="25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4">
        <v>1</v>
      </c>
      <c r="D207" s="2175"/>
      <c r="E207" s="2175"/>
      <c r="F207" s="2175"/>
      <c r="G207" s="2176" t="s">
        <v>2152</v>
      </c>
      <c r="H207" s="2176"/>
      <c r="I207" s="2176"/>
      <c r="J207" s="2176"/>
      <c r="K207" s="2176"/>
      <c r="L207" s="2176"/>
      <c r="M207" s="2176"/>
      <c r="N207" s="2176"/>
      <c r="O207" s="2176"/>
      <c r="P207" s="2177"/>
      <c r="Q207" s="2581"/>
      <c r="R207" s="2581"/>
      <c r="S207" s="2581"/>
      <c r="T207" s="2581"/>
      <c r="U207" s="2178" t="s">
        <v>2152</v>
      </c>
      <c r="V207" s="2178"/>
      <c r="W207" s="2178"/>
      <c r="X207" s="2178"/>
      <c r="Y207" s="2178" t="s">
        <v>2152</v>
      </c>
      <c r="Z207" s="2178"/>
      <c r="AA207" s="2178"/>
      <c r="AB207" s="2178"/>
      <c r="AC207" s="2179" t="s">
        <v>2152</v>
      </c>
      <c r="AD207" s="2179"/>
      <c r="AE207" s="2179"/>
      <c r="AF207" s="2179"/>
      <c r="AG207" s="2573"/>
      <c r="AH207" s="2574"/>
      <c r="AI207" s="2574"/>
      <c r="AJ207" s="2574"/>
      <c r="AK207" s="257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4">
        <v>2</v>
      </c>
      <c r="D208" s="2175"/>
      <c r="E208" s="2175"/>
      <c r="F208" s="2175"/>
      <c r="G208" s="2176" t="s">
        <v>2152</v>
      </c>
      <c r="H208" s="2176"/>
      <c r="I208" s="2176"/>
      <c r="J208" s="2176"/>
      <c r="K208" s="2176"/>
      <c r="L208" s="2176"/>
      <c r="M208" s="2176"/>
      <c r="N208" s="2176"/>
      <c r="O208" s="2176"/>
      <c r="P208" s="2177"/>
      <c r="Q208" s="2177"/>
      <c r="R208" s="2177"/>
      <c r="S208" s="2177"/>
      <c r="T208" s="2177"/>
      <c r="U208" s="2178" t="s">
        <v>2152</v>
      </c>
      <c r="V208" s="2178"/>
      <c r="W208" s="2178"/>
      <c r="X208" s="2178"/>
      <c r="Y208" s="2178" t="s">
        <v>2152</v>
      </c>
      <c r="Z208" s="2178"/>
      <c r="AA208" s="2178"/>
      <c r="AB208" s="2178"/>
      <c r="AC208" s="2179" t="s">
        <v>2152</v>
      </c>
      <c r="AD208" s="2179"/>
      <c r="AE208" s="2179"/>
      <c r="AF208" s="2179"/>
      <c r="AG208" s="2573"/>
      <c r="AH208" s="2574"/>
      <c r="AI208" s="2574"/>
      <c r="AJ208" s="2574"/>
      <c r="AK208" s="257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4">
        <v>3</v>
      </c>
      <c r="D209" s="2175"/>
      <c r="E209" s="2175"/>
      <c r="F209" s="2175"/>
      <c r="G209" s="2176" t="s">
        <v>2152</v>
      </c>
      <c r="H209" s="2176"/>
      <c r="I209" s="2176"/>
      <c r="J209" s="2176"/>
      <c r="K209" s="2176"/>
      <c r="L209" s="2176"/>
      <c r="M209" s="2176"/>
      <c r="N209" s="2176"/>
      <c r="O209" s="2176"/>
      <c r="P209" s="2177"/>
      <c r="Q209" s="2177"/>
      <c r="R209" s="2177"/>
      <c r="S209" s="2177"/>
      <c r="T209" s="2177"/>
      <c r="U209" s="2178" t="s">
        <v>2152</v>
      </c>
      <c r="V209" s="2178"/>
      <c r="W209" s="2178"/>
      <c r="X209" s="2178"/>
      <c r="Y209" s="2178" t="s">
        <v>2152</v>
      </c>
      <c r="Z209" s="2178"/>
      <c r="AA209" s="2178"/>
      <c r="AB209" s="2178"/>
      <c r="AC209" s="2179" t="s">
        <v>2152</v>
      </c>
      <c r="AD209" s="2179"/>
      <c r="AE209" s="2179"/>
      <c r="AF209" s="2179"/>
      <c r="AG209" s="2573"/>
      <c r="AH209" s="2574"/>
      <c r="AI209" s="2574"/>
      <c r="AJ209" s="2574"/>
      <c r="AK209" s="257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4">
        <v>4</v>
      </c>
      <c r="D210" s="2175"/>
      <c r="E210" s="2175"/>
      <c r="F210" s="2175"/>
      <c r="G210" s="2176" t="s">
        <v>2152</v>
      </c>
      <c r="H210" s="2176"/>
      <c r="I210" s="2176"/>
      <c r="J210" s="2176"/>
      <c r="K210" s="2176"/>
      <c r="L210" s="2176"/>
      <c r="M210" s="2176"/>
      <c r="N210" s="2176"/>
      <c r="O210" s="2176"/>
      <c r="P210" s="2177"/>
      <c r="Q210" s="2177"/>
      <c r="R210" s="2177"/>
      <c r="S210" s="2177"/>
      <c r="T210" s="2177"/>
      <c r="U210" s="2178" t="s">
        <v>2152</v>
      </c>
      <c r="V210" s="2178"/>
      <c r="W210" s="2178"/>
      <c r="X210" s="2178"/>
      <c r="Y210" s="2178" t="s">
        <v>2152</v>
      </c>
      <c r="Z210" s="2178"/>
      <c r="AA210" s="2178"/>
      <c r="AB210" s="2178"/>
      <c r="AC210" s="2179" t="s">
        <v>2152</v>
      </c>
      <c r="AD210" s="2179"/>
      <c r="AE210" s="2179"/>
      <c r="AF210" s="2179"/>
      <c r="AG210" s="2573"/>
      <c r="AH210" s="2574"/>
      <c r="AI210" s="2574"/>
      <c r="AJ210" s="2574"/>
      <c r="AK210" s="257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4">
        <v>5</v>
      </c>
      <c r="D211" s="2175"/>
      <c r="E211" s="2175"/>
      <c r="F211" s="2175"/>
      <c r="G211" s="2176"/>
      <c r="H211" s="2176"/>
      <c r="I211" s="2176"/>
      <c r="J211" s="2176"/>
      <c r="K211" s="2176"/>
      <c r="L211" s="2176"/>
      <c r="M211" s="2176"/>
      <c r="N211" s="2176"/>
      <c r="O211" s="2176"/>
      <c r="P211" s="2177"/>
      <c r="Q211" s="2177"/>
      <c r="R211" s="2177"/>
      <c r="S211" s="2177"/>
      <c r="T211" s="2177"/>
      <c r="U211" s="2178" t="s">
        <v>2152</v>
      </c>
      <c r="V211" s="2178"/>
      <c r="W211" s="2178"/>
      <c r="X211" s="2178"/>
      <c r="Y211" s="2178" t="s">
        <v>2152</v>
      </c>
      <c r="Z211" s="2178"/>
      <c r="AA211" s="2178"/>
      <c r="AB211" s="2178"/>
      <c r="AC211" s="2179" t="s">
        <v>2152</v>
      </c>
      <c r="AD211" s="2179"/>
      <c r="AE211" s="2179"/>
      <c r="AF211" s="2179"/>
      <c r="AG211" s="2573"/>
      <c r="AH211" s="2574"/>
      <c r="AI211" s="2574"/>
      <c r="AJ211" s="2574"/>
      <c r="AK211" s="257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4">
        <v>6</v>
      </c>
      <c r="D212" s="2175"/>
      <c r="E212" s="2175"/>
      <c r="F212" s="2175"/>
      <c r="G212" s="2176" t="s">
        <v>2152</v>
      </c>
      <c r="H212" s="2176"/>
      <c r="I212" s="2176"/>
      <c r="J212" s="2176"/>
      <c r="K212" s="2176"/>
      <c r="L212" s="2176"/>
      <c r="M212" s="2176"/>
      <c r="N212" s="2176"/>
      <c r="O212" s="2176"/>
      <c r="P212" s="2177"/>
      <c r="Q212" s="2177"/>
      <c r="R212" s="2177"/>
      <c r="S212" s="2177"/>
      <c r="T212" s="2177"/>
      <c r="U212" s="2178"/>
      <c r="V212" s="2178"/>
      <c r="W212" s="2178"/>
      <c r="X212" s="2178"/>
      <c r="Y212" s="2178"/>
      <c r="Z212" s="2178"/>
      <c r="AA212" s="2178"/>
      <c r="AB212" s="2178"/>
      <c r="AC212" s="2179" t="s">
        <v>2152</v>
      </c>
      <c r="AD212" s="2179"/>
      <c r="AE212" s="2179"/>
      <c r="AF212" s="2179"/>
      <c r="AG212" s="2573"/>
      <c r="AH212" s="2574"/>
      <c r="AI212" s="2574"/>
      <c r="AJ212" s="2574"/>
      <c r="AK212" s="257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4">
        <v>7</v>
      </c>
      <c r="D213" s="2175"/>
      <c r="E213" s="2175"/>
      <c r="F213" s="2175"/>
      <c r="G213" s="2180"/>
      <c r="H213" s="2181"/>
      <c r="I213" s="2181"/>
      <c r="J213" s="2181"/>
      <c r="K213" s="2181"/>
      <c r="L213" s="2181"/>
      <c r="M213" s="2181"/>
      <c r="N213" s="2181"/>
      <c r="O213" s="2182"/>
      <c r="P213" s="2177"/>
      <c r="Q213" s="2177"/>
      <c r="R213" s="2177"/>
      <c r="S213" s="2177"/>
      <c r="T213" s="2177"/>
      <c r="U213" s="2178"/>
      <c r="V213" s="2178"/>
      <c r="W213" s="2178"/>
      <c r="X213" s="2178"/>
      <c r="Y213" s="2178"/>
      <c r="Z213" s="2178"/>
      <c r="AA213" s="2178"/>
      <c r="AB213" s="2178"/>
      <c r="AC213" s="2179" t="s">
        <v>2152</v>
      </c>
      <c r="AD213" s="2179"/>
      <c r="AE213" s="2179"/>
      <c r="AF213" s="2179"/>
      <c r="AG213" s="2573"/>
      <c r="AH213" s="2574"/>
      <c r="AI213" s="2574"/>
      <c r="AJ213" s="2574"/>
      <c r="AK213" s="257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9" t="s">
        <v>2583</v>
      </c>
      <c r="D214" s="2170"/>
      <c r="E214" s="2170"/>
      <c r="F214" s="2170"/>
      <c r="G214" s="2170"/>
      <c r="H214" s="2170"/>
      <c r="I214" s="2170"/>
      <c r="J214" s="2170"/>
      <c r="K214" s="2170"/>
      <c r="L214" s="2170"/>
      <c r="M214" s="2170"/>
      <c r="N214" s="2170"/>
      <c r="O214" s="2170"/>
      <c r="P214" s="2171"/>
      <c r="Q214" s="2171"/>
      <c r="R214" s="2171"/>
      <c r="S214" s="2171"/>
      <c r="T214" s="2171"/>
      <c r="U214" s="2172">
        <v>0</v>
      </c>
      <c r="V214" s="2172"/>
      <c r="W214" s="2172"/>
      <c r="X214" s="2172"/>
      <c r="Y214" s="2172">
        <v>0</v>
      </c>
      <c r="Z214" s="2172"/>
      <c r="AA214" s="2172"/>
      <c r="AB214" s="2172"/>
      <c r="AC214" s="2173">
        <v>0</v>
      </c>
      <c r="AD214" s="2173"/>
      <c r="AE214" s="2173"/>
      <c r="AF214" s="2173"/>
      <c r="AG214" s="2576"/>
      <c r="AH214" s="2577"/>
      <c r="AI214" s="2577"/>
      <c r="AJ214" s="2577"/>
      <c r="AK214" s="257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9" t="s">
        <v>1852</v>
      </c>
      <c r="C219" s="2550"/>
      <c r="D219" s="2550"/>
      <c r="E219" s="2550"/>
      <c r="F219" s="2550"/>
      <c r="G219" s="2550"/>
      <c r="H219" s="2550"/>
      <c r="I219" s="2550"/>
      <c r="J219" s="2550"/>
      <c r="K219" s="2550"/>
      <c r="L219" s="2550"/>
      <c r="M219" s="2550"/>
      <c r="N219" s="2550"/>
      <c r="O219" s="2550"/>
      <c r="P219" s="2550"/>
      <c r="Q219" s="2550"/>
      <c r="R219" s="2550"/>
      <c r="S219" s="2550"/>
      <c r="T219" s="2550"/>
      <c r="U219" s="2550"/>
      <c r="V219" s="2550"/>
      <c r="W219" s="2550"/>
      <c r="X219" s="2550"/>
      <c r="Y219" s="2550"/>
      <c r="Z219" s="2550"/>
      <c r="AA219" s="2550"/>
      <c r="AB219" s="2550"/>
      <c r="AC219" s="2550"/>
      <c r="AD219" s="2550"/>
      <c r="AE219" s="2550"/>
      <c r="AF219" s="2550"/>
      <c r="AG219" s="2550"/>
      <c r="AH219" s="2550"/>
      <c r="AI219" s="2550"/>
      <c r="AJ219" s="2550"/>
      <c r="AK219" s="2550"/>
      <c r="AL219" s="2550"/>
      <c r="AM219" s="2550"/>
      <c r="AN219" s="2550"/>
      <c r="AO219" s="2550"/>
      <c r="AP219" s="2550"/>
      <c r="AQ219" s="2550"/>
      <c r="AR219" s="2550"/>
      <c r="AS219" s="2550"/>
      <c r="AT219" s="2550"/>
      <c r="AU219" s="2550"/>
      <c r="AV219" s="2550"/>
      <c r="AW219" s="2550"/>
      <c r="AX219" s="2550"/>
      <c r="AY219" s="2550"/>
      <c r="AZ219" s="2550"/>
      <c r="BA219" s="2550"/>
      <c r="BB219" s="2550"/>
      <c r="BC219" s="2550"/>
      <c r="BD219" s="2551"/>
      <c r="BE219" s="1202"/>
    </row>
    <row r="220" spans="1:57" ht="15.75" customHeight="1">
      <c r="A220" s="1206"/>
      <c r="B220" s="2552"/>
      <c r="C220" s="2553"/>
      <c r="D220" s="2553"/>
      <c r="E220" s="2553"/>
      <c r="F220" s="2553"/>
      <c r="G220" s="2553"/>
      <c r="H220" s="2553"/>
      <c r="I220" s="2553"/>
      <c r="J220" s="2553"/>
      <c r="K220" s="2553"/>
      <c r="L220" s="2553"/>
      <c r="M220" s="2553"/>
      <c r="N220" s="2553"/>
      <c r="O220" s="2553"/>
      <c r="P220" s="2553"/>
      <c r="Q220" s="2553"/>
      <c r="R220" s="2553"/>
      <c r="S220" s="2553"/>
      <c r="T220" s="2553"/>
      <c r="U220" s="2553"/>
      <c r="V220" s="2553"/>
      <c r="W220" s="2553"/>
      <c r="X220" s="2553"/>
      <c r="Y220" s="2553"/>
      <c r="Z220" s="2553"/>
      <c r="AA220" s="2553"/>
      <c r="AB220" s="2553"/>
      <c r="AC220" s="2553"/>
      <c r="AD220" s="2553"/>
      <c r="AE220" s="2553"/>
      <c r="AF220" s="2553"/>
      <c r="AG220" s="2553"/>
      <c r="AH220" s="2553"/>
      <c r="AI220" s="2553"/>
      <c r="AJ220" s="2553"/>
      <c r="AK220" s="2553"/>
      <c r="AL220" s="2553"/>
      <c r="AM220" s="2553"/>
      <c r="AN220" s="2553"/>
      <c r="AO220" s="2553"/>
      <c r="AP220" s="2553"/>
      <c r="AQ220" s="2553"/>
      <c r="AR220" s="2553"/>
      <c r="AS220" s="2553"/>
      <c r="AT220" s="2553"/>
      <c r="AU220" s="2553"/>
      <c r="AV220" s="2553"/>
      <c r="AW220" s="2553"/>
      <c r="AX220" s="2553"/>
      <c r="AY220" s="2553"/>
      <c r="AZ220" s="2553"/>
      <c r="BA220" s="2553"/>
      <c r="BB220" s="2553"/>
      <c r="BC220" s="2553"/>
      <c r="BD220" s="2554"/>
      <c r="BE220" s="1202"/>
    </row>
    <row r="221" spans="1:57" ht="15.75" customHeight="1">
      <c r="A221" s="1206"/>
      <c r="B221" s="2555" t="s">
        <v>1853</v>
      </c>
      <c r="C221" s="2556"/>
      <c r="D221" s="2556"/>
      <c r="E221" s="2556"/>
      <c r="F221" s="2556"/>
      <c r="G221" s="2556"/>
      <c r="H221" s="2556"/>
      <c r="I221" s="2556"/>
      <c r="J221" s="2556"/>
      <c r="K221" s="2556"/>
      <c r="L221" s="2556"/>
      <c r="M221" s="2556"/>
      <c r="N221" s="2556"/>
      <c r="O221" s="2556"/>
      <c r="P221" s="2556"/>
      <c r="Q221" s="2556"/>
      <c r="R221" s="2556"/>
      <c r="S221" s="2556"/>
      <c r="T221" s="2556"/>
      <c r="U221" s="2556"/>
      <c r="V221" s="2556"/>
      <c r="W221" s="2556"/>
      <c r="X221" s="2556"/>
      <c r="Y221" s="2556"/>
      <c r="Z221" s="2556"/>
      <c r="AA221" s="2556"/>
      <c r="AB221" s="2556"/>
      <c r="AC221" s="2556"/>
      <c r="AD221" s="2556"/>
      <c r="AE221" s="2556"/>
      <c r="AF221" s="2556"/>
      <c r="AG221" s="2556"/>
      <c r="AH221" s="2556"/>
      <c r="AI221" s="2556"/>
      <c r="AJ221" s="2556"/>
      <c r="AK221" s="2556"/>
      <c r="AL221" s="2556"/>
      <c r="AM221" s="2556"/>
      <c r="AN221" s="2556"/>
      <c r="AO221" s="2556"/>
      <c r="AP221" s="2556"/>
      <c r="AQ221" s="2556"/>
      <c r="AR221" s="2556"/>
      <c r="AS221" s="2556"/>
      <c r="AT221" s="2556"/>
      <c r="AU221" s="2556"/>
      <c r="AV221" s="2556"/>
      <c r="AW221" s="2556"/>
      <c r="AX221" s="2556"/>
      <c r="AY221" s="2556"/>
      <c r="AZ221" s="2556"/>
      <c r="BA221" s="2556"/>
      <c r="BB221" s="2556"/>
      <c r="BC221" s="2556"/>
      <c r="BD221" s="2557"/>
      <c r="BE221" s="1202"/>
    </row>
    <row r="222" spans="1:57" ht="15.75" customHeight="1">
      <c r="A222" s="1206"/>
      <c r="B222" s="2555" t="s">
        <v>1854</v>
      </c>
      <c r="C222" s="2556"/>
      <c r="D222" s="2556"/>
      <c r="E222" s="2556"/>
      <c r="F222" s="2556"/>
      <c r="G222" s="2556"/>
      <c r="H222" s="2556"/>
      <c r="I222" s="2556"/>
      <c r="J222" s="2556"/>
      <c r="K222" s="2556"/>
      <c r="L222" s="2556"/>
      <c r="M222" s="2556"/>
      <c r="N222" s="2556"/>
      <c r="O222" s="2556"/>
      <c r="P222" s="2556"/>
      <c r="Q222" s="2556"/>
      <c r="R222" s="2556"/>
      <c r="S222" s="2556"/>
      <c r="T222" s="2556"/>
      <c r="U222" s="2556"/>
      <c r="V222" s="2556"/>
      <c r="W222" s="2556"/>
      <c r="X222" s="2556"/>
      <c r="Y222" s="2556"/>
      <c r="Z222" s="2556"/>
      <c r="AA222" s="2556"/>
      <c r="AB222" s="2556"/>
      <c r="AC222" s="2556"/>
      <c r="AD222" s="2556"/>
      <c r="AE222" s="2556"/>
      <c r="AF222" s="2556"/>
      <c r="AG222" s="2556"/>
      <c r="AH222" s="2556"/>
      <c r="AI222" s="2556"/>
      <c r="AJ222" s="2556"/>
      <c r="AK222" s="2556"/>
      <c r="AL222" s="2556"/>
      <c r="AM222" s="2556"/>
      <c r="AN222" s="2556"/>
      <c r="AO222" s="2556"/>
      <c r="AP222" s="2556"/>
      <c r="AQ222" s="2556"/>
      <c r="AR222" s="2556"/>
      <c r="AS222" s="2556"/>
      <c r="AT222" s="2556"/>
      <c r="AU222" s="2556"/>
      <c r="AV222" s="2556"/>
      <c r="AW222" s="2556"/>
      <c r="AX222" s="2556"/>
      <c r="AY222" s="2556"/>
      <c r="AZ222" s="2556"/>
      <c r="BA222" s="2556"/>
      <c r="BB222" s="2556"/>
      <c r="BC222" s="2556"/>
      <c r="BD222" s="2557"/>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8" t="s">
        <v>1855</v>
      </c>
      <c r="C224" s="2559"/>
      <c r="D224" s="2559"/>
      <c r="E224" s="2559"/>
      <c r="F224" s="2559"/>
      <c r="G224" s="2559"/>
      <c r="H224" s="2559"/>
      <c r="I224" s="2559"/>
      <c r="J224" s="2559"/>
      <c r="K224" s="2559"/>
      <c r="L224" s="2559"/>
      <c r="M224" s="2559"/>
      <c r="N224" s="2559"/>
      <c r="O224" s="2559"/>
      <c r="P224" s="2559"/>
      <c r="Q224" s="2559"/>
      <c r="R224" s="2559"/>
      <c r="S224" s="2559"/>
      <c r="T224" s="2559"/>
      <c r="U224" s="2559"/>
      <c r="V224" s="2559"/>
      <c r="W224" s="2559"/>
      <c r="X224" s="2559"/>
      <c r="Y224" s="2559"/>
      <c r="Z224" s="2559"/>
      <c r="AA224" s="2559"/>
      <c r="AB224" s="2559"/>
      <c r="AC224" s="2559"/>
      <c r="AD224" s="2559"/>
      <c r="AE224" s="2559"/>
      <c r="AF224" s="2559"/>
      <c r="AG224" s="2559"/>
      <c r="AH224" s="2559"/>
      <c r="AI224" s="2559"/>
      <c r="AJ224" s="2559"/>
      <c r="AK224" s="2559"/>
      <c r="AL224" s="2559"/>
      <c r="AM224" s="2559"/>
      <c r="AN224" s="2559"/>
      <c r="AO224" s="2559"/>
      <c r="AP224" s="2559"/>
      <c r="AQ224" s="2559"/>
      <c r="AR224" s="2559"/>
      <c r="AS224" s="2559"/>
      <c r="AT224" s="2559"/>
      <c r="AU224" s="2559"/>
      <c r="AV224" s="2559"/>
      <c r="AW224" s="2559"/>
      <c r="AX224" s="2559"/>
      <c r="AY224" s="2559"/>
      <c r="AZ224" s="2559"/>
      <c r="BA224" s="2559"/>
      <c r="BB224" s="2559"/>
      <c r="BC224" s="2559"/>
      <c r="BD224" s="2560"/>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2" t="s">
        <v>1857</v>
      </c>
      <c r="I228" s="2572"/>
      <c r="J228" s="2572"/>
      <c r="K228" s="2572"/>
      <c r="L228" s="2572"/>
      <c r="M228" s="2572"/>
      <c r="N228" s="2572"/>
      <c r="O228" s="2572"/>
      <c r="P228" s="2572"/>
      <c r="Q228" s="2572"/>
      <c r="R228" s="2572"/>
      <c r="S228" s="2572"/>
      <c r="T228" s="2572"/>
      <c r="U228" s="2572"/>
      <c r="V228" s="2572"/>
      <c r="W228" s="2572"/>
      <c r="X228" s="2572"/>
      <c r="Y228" s="2572"/>
      <c r="Z228" s="2572"/>
      <c r="AA228" s="2572"/>
      <c r="AB228" s="2572"/>
      <c r="AC228" s="2572"/>
      <c r="AD228" s="2572"/>
      <c r="AE228" s="2572"/>
      <c r="AF228" s="2572"/>
      <c r="AG228" s="2572"/>
      <c r="AH228" s="2572"/>
      <c r="AI228" s="2572"/>
      <c r="AJ228" s="2572"/>
      <c r="AK228" s="2572"/>
      <c r="AL228" s="2572"/>
      <c r="AM228" s="2572"/>
      <c r="AN228" s="2572"/>
      <c r="AO228" s="2572"/>
      <c r="AP228" s="2572"/>
      <c r="AQ228" s="2572"/>
      <c r="AR228" s="2572"/>
      <c r="AS228" s="2572"/>
      <c r="AT228" s="2572"/>
      <c r="AU228" s="2572"/>
      <c r="AV228" s="2572"/>
      <c r="AW228" s="2572"/>
      <c r="AX228" s="2572"/>
      <c r="AY228" s="2572"/>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1" t="s">
        <v>2496</v>
      </c>
      <c r="I230" s="2571"/>
      <c r="J230" s="2571"/>
      <c r="K230" s="2571"/>
      <c r="L230" s="2571"/>
      <c r="M230" s="2571"/>
      <c r="N230" s="2571"/>
      <c r="O230" s="2571"/>
      <c r="P230" s="2571"/>
      <c r="Q230" s="2571"/>
      <c r="R230" s="2571"/>
      <c r="S230" s="2571"/>
      <c r="T230" s="2571"/>
      <c r="U230" s="2571"/>
      <c r="V230" s="2571"/>
      <c r="W230" s="2571"/>
      <c r="X230" s="2571"/>
      <c r="Y230" s="2571"/>
      <c r="Z230" s="2571"/>
      <c r="AA230" s="2571"/>
      <c r="AB230" s="2571"/>
      <c r="AC230" s="2571"/>
      <c r="AD230" s="2571"/>
      <c r="AE230" s="2571"/>
      <c r="AF230" s="2571"/>
      <c r="AG230" s="2571"/>
      <c r="AH230" s="2571"/>
      <c r="AI230" s="2571"/>
      <c r="AJ230" s="2571"/>
      <c r="AK230" s="2571"/>
      <c r="AL230" s="2571"/>
      <c r="AM230" s="2571"/>
      <c r="AN230" s="2571"/>
      <c r="AO230" s="2571"/>
      <c r="AP230" s="2571"/>
      <c r="AQ230" s="2571"/>
      <c r="AR230" s="2571"/>
      <c r="AS230" s="2571"/>
      <c r="AT230" s="2571"/>
      <c r="AU230" s="2571"/>
      <c r="AV230" s="2571"/>
      <c r="AW230" s="2571"/>
      <c r="AX230" s="2571"/>
      <c r="AY230" s="2571"/>
      <c r="AZ230" s="2571"/>
      <c r="BA230" s="1206"/>
      <c r="BB230" s="1206"/>
      <c r="BC230" s="1206"/>
      <c r="BD230" s="1202"/>
      <c r="BE230" s="1202"/>
    </row>
    <row r="231" spans="1:57" ht="15.75" customHeight="1">
      <c r="A231" s="1206"/>
      <c r="B231" s="1212"/>
      <c r="C231" s="1206"/>
      <c r="D231" s="1206"/>
      <c r="E231" s="1206"/>
      <c r="F231" s="1206"/>
      <c r="G231" s="1206"/>
      <c r="H231" s="2571"/>
      <c r="I231" s="2571"/>
      <c r="J231" s="2571"/>
      <c r="K231" s="2571"/>
      <c r="L231" s="2571"/>
      <c r="M231" s="2571"/>
      <c r="N231" s="2571"/>
      <c r="O231" s="2571"/>
      <c r="P231" s="2571"/>
      <c r="Q231" s="2571"/>
      <c r="R231" s="2571"/>
      <c r="S231" s="2571"/>
      <c r="T231" s="2571"/>
      <c r="U231" s="2571"/>
      <c r="V231" s="2571"/>
      <c r="W231" s="2571"/>
      <c r="X231" s="2571"/>
      <c r="Y231" s="2571"/>
      <c r="Z231" s="2571"/>
      <c r="AA231" s="2571"/>
      <c r="AB231" s="2571"/>
      <c r="AC231" s="2571"/>
      <c r="AD231" s="2571"/>
      <c r="AE231" s="2571"/>
      <c r="AF231" s="2571"/>
      <c r="AG231" s="2571"/>
      <c r="AH231" s="2571"/>
      <c r="AI231" s="2571"/>
      <c r="AJ231" s="2571"/>
      <c r="AK231" s="2571"/>
      <c r="AL231" s="2571"/>
      <c r="AM231" s="2571"/>
      <c r="AN231" s="2571"/>
      <c r="AO231" s="2571"/>
      <c r="AP231" s="2571"/>
      <c r="AQ231" s="2571"/>
      <c r="AR231" s="2571"/>
      <c r="AS231" s="2571"/>
      <c r="AT231" s="2571"/>
      <c r="AU231" s="2571"/>
      <c r="AV231" s="2571"/>
      <c r="AW231" s="2571"/>
      <c r="AX231" s="2571"/>
      <c r="AY231" s="2571"/>
      <c r="AZ231" s="2571"/>
      <c r="BA231" s="1206"/>
      <c r="BB231" s="1206"/>
      <c r="BC231" s="1206"/>
      <c r="BD231" s="1202"/>
      <c r="BE231" s="1202"/>
    </row>
    <row r="232" spans="1:57" ht="15.75" customHeight="1">
      <c r="A232" s="1206"/>
      <c r="B232" s="1212"/>
      <c r="C232" s="1206"/>
      <c r="D232" s="1206"/>
      <c r="E232" s="1206"/>
      <c r="F232" s="1206"/>
      <c r="G232" s="1206"/>
      <c r="H232" s="2571"/>
      <c r="I232" s="2571"/>
      <c r="J232" s="2571"/>
      <c r="K232" s="2571"/>
      <c r="L232" s="2571"/>
      <c r="M232" s="2571"/>
      <c r="N232" s="2571"/>
      <c r="O232" s="2571"/>
      <c r="P232" s="2571"/>
      <c r="Q232" s="2571"/>
      <c r="R232" s="2571"/>
      <c r="S232" s="2571"/>
      <c r="T232" s="2571"/>
      <c r="U232" s="2571"/>
      <c r="V232" s="2571"/>
      <c r="W232" s="2571"/>
      <c r="X232" s="2571"/>
      <c r="Y232" s="2571"/>
      <c r="Z232" s="2571"/>
      <c r="AA232" s="2571"/>
      <c r="AB232" s="2571"/>
      <c r="AC232" s="2571"/>
      <c r="AD232" s="2571"/>
      <c r="AE232" s="2571"/>
      <c r="AF232" s="2571"/>
      <c r="AG232" s="2571"/>
      <c r="AH232" s="2571"/>
      <c r="AI232" s="2571"/>
      <c r="AJ232" s="2571"/>
      <c r="AK232" s="2571"/>
      <c r="AL232" s="2571"/>
      <c r="AM232" s="2571"/>
      <c r="AN232" s="2571"/>
      <c r="AO232" s="2571"/>
      <c r="AP232" s="2571"/>
      <c r="AQ232" s="2571"/>
      <c r="AR232" s="2571"/>
      <c r="AS232" s="2571"/>
      <c r="AT232" s="2571"/>
      <c r="AU232" s="2571"/>
      <c r="AV232" s="2571"/>
      <c r="AW232" s="2571"/>
      <c r="AX232" s="2571"/>
      <c r="AY232" s="2571"/>
      <c r="AZ232" s="2571"/>
      <c r="BA232" s="1206"/>
      <c r="BB232" s="1206"/>
      <c r="BC232" s="1206"/>
      <c r="BD232" s="1202"/>
      <c r="BE232" s="1202"/>
    </row>
    <row r="233" spans="1:57" ht="15.75" customHeight="1">
      <c r="A233" s="1206"/>
      <c r="B233" s="1212"/>
      <c r="C233" s="1206"/>
      <c r="D233" s="1206"/>
      <c r="E233" s="1206"/>
      <c r="F233" s="1206"/>
      <c r="G233" s="1206"/>
      <c r="H233" s="2571"/>
      <c r="I233" s="2571"/>
      <c r="J233" s="2571"/>
      <c r="K233" s="2571"/>
      <c r="L233" s="2571"/>
      <c r="M233" s="2571"/>
      <c r="N233" s="2571"/>
      <c r="O233" s="2571"/>
      <c r="P233" s="2571"/>
      <c r="Q233" s="2571"/>
      <c r="R233" s="2571"/>
      <c r="S233" s="2571"/>
      <c r="T233" s="2571"/>
      <c r="U233" s="2571"/>
      <c r="V233" s="2571"/>
      <c r="W233" s="2571"/>
      <c r="X233" s="2571"/>
      <c r="Y233" s="2571"/>
      <c r="Z233" s="2571"/>
      <c r="AA233" s="2571"/>
      <c r="AB233" s="2571"/>
      <c r="AC233" s="2571"/>
      <c r="AD233" s="2571"/>
      <c r="AE233" s="2571"/>
      <c r="AF233" s="2571"/>
      <c r="AG233" s="2571"/>
      <c r="AH233" s="2571"/>
      <c r="AI233" s="2571"/>
      <c r="AJ233" s="2571"/>
      <c r="AK233" s="2571"/>
      <c r="AL233" s="2571"/>
      <c r="AM233" s="2571"/>
      <c r="AN233" s="2571"/>
      <c r="AO233" s="2571"/>
      <c r="AP233" s="2571"/>
      <c r="AQ233" s="2571"/>
      <c r="AR233" s="2571"/>
      <c r="AS233" s="2571"/>
      <c r="AT233" s="2571"/>
      <c r="AU233" s="2571"/>
      <c r="AV233" s="2571"/>
      <c r="AW233" s="2571"/>
      <c r="AX233" s="2571"/>
      <c r="AY233" s="2571"/>
      <c r="AZ233" s="2571"/>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0" t="s">
        <v>1858</v>
      </c>
      <c r="I235" s="2570"/>
      <c r="J235" s="2570"/>
      <c r="K235" s="2570"/>
      <c r="L235" s="2570"/>
      <c r="M235" s="2570"/>
      <c r="N235" s="2570"/>
      <c r="O235" s="2570"/>
      <c r="P235" s="2570"/>
      <c r="Q235" s="2570"/>
      <c r="R235" s="2570"/>
      <c r="S235" s="2570"/>
      <c r="T235" s="2570"/>
      <c r="U235" s="2570"/>
      <c r="V235" s="2570"/>
      <c r="W235" s="2570"/>
      <c r="X235" s="2570"/>
      <c r="Y235" s="2570"/>
      <c r="Z235" s="2570"/>
      <c r="AA235" s="2570"/>
      <c r="AB235" s="2570"/>
      <c r="AC235" s="2570"/>
      <c r="AD235" s="2570"/>
      <c r="AE235" s="2570"/>
      <c r="AF235" s="2570"/>
      <c r="AG235" s="2570"/>
      <c r="AH235" s="2570"/>
      <c r="AI235" s="2570"/>
      <c r="AJ235" s="2570"/>
      <c r="AK235" s="2570"/>
      <c r="AL235" s="2570"/>
      <c r="AM235" s="2570"/>
      <c r="AN235" s="2570"/>
      <c r="AO235" s="2570"/>
      <c r="AP235" s="2570"/>
      <c r="AQ235" s="2570"/>
      <c r="AR235" s="2570"/>
      <c r="AS235" s="2570"/>
      <c r="AT235" s="2570"/>
      <c r="AU235" s="2570"/>
      <c r="AV235" s="2570"/>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6" t="s">
        <v>1859</v>
      </c>
      <c r="I237" s="2546"/>
      <c r="J237" s="2546"/>
      <c r="K237" s="2546"/>
      <c r="L237" s="1208"/>
      <c r="M237" s="1208"/>
      <c r="N237" s="1208"/>
      <c r="O237" s="1208"/>
      <c r="P237" s="1208"/>
      <c r="Q237" s="1208"/>
      <c r="R237" s="1208"/>
      <c r="S237" s="2567"/>
      <c r="T237" s="2568"/>
      <c r="U237" s="2568"/>
      <c r="V237" s="2568"/>
      <c r="W237" s="2568"/>
      <c r="X237" s="2568"/>
      <c r="Y237" s="2568"/>
      <c r="Z237" s="2568"/>
      <c r="AA237" s="2568"/>
      <c r="AB237" s="2568"/>
      <c r="AC237" s="2568"/>
      <c r="AD237" s="2568"/>
      <c r="AE237" s="2568"/>
      <c r="AF237" s="2568"/>
      <c r="AG237" s="2568"/>
      <c r="AH237" s="2568"/>
      <c r="AI237" s="2568"/>
      <c r="AJ237" s="256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6" t="s">
        <v>1860</v>
      </c>
      <c r="I239" s="2546"/>
      <c r="J239" s="2546"/>
      <c r="K239" s="1210"/>
      <c r="L239" s="1208"/>
      <c r="M239" s="1208"/>
      <c r="N239" s="1208"/>
      <c r="O239" s="1208"/>
      <c r="P239" s="1208"/>
      <c r="Q239" s="1208"/>
      <c r="R239" s="1208"/>
      <c r="S239" s="2564"/>
      <c r="T239" s="2565"/>
      <c r="U239" s="2565"/>
      <c r="V239" s="2565"/>
      <c r="W239" s="2565"/>
      <c r="X239" s="2565"/>
      <c r="Y239" s="2565"/>
      <c r="Z239" s="2565"/>
      <c r="AA239" s="2565"/>
      <c r="AB239" s="2565"/>
      <c r="AC239" s="2565"/>
      <c r="AD239" s="2565"/>
      <c r="AE239" s="2565"/>
      <c r="AF239" s="2565"/>
      <c r="AG239" s="2565"/>
      <c r="AH239" s="2565"/>
      <c r="AI239" s="2565"/>
      <c r="AJ239" s="256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6" t="s">
        <v>443</v>
      </c>
      <c r="I241" s="2546"/>
      <c r="J241" s="1210"/>
      <c r="K241" s="1210"/>
      <c r="L241" s="1208"/>
      <c r="M241" s="1208"/>
      <c r="N241" s="1208"/>
      <c r="O241" s="1208"/>
      <c r="P241" s="1208"/>
      <c r="Q241" s="1208"/>
      <c r="R241" s="1208"/>
      <c r="S241" s="2564"/>
      <c r="T241" s="2565"/>
      <c r="U241" s="2565"/>
      <c r="V241" s="2565"/>
      <c r="W241" s="2565"/>
      <c r="X241" s="2565"/>
      <c r="Y241" s="2565"/>
      <c r="Z241" s="2565"/>
      <c r="AA241" s="2565"/>
      <c r="AB241" s="2565"/>
      <c r="AC241" s="2565"/>
      <c r="AD241" s="2565"/>
      <c r="AE241" s="2565"/>
      <c r="AF241" s="2565"/>
      <c r="AG241" s="2565"/>
      <c r="AH241" s="2565"/>
      <c r="AI241" s="2565"/>
      <c r="AJ241" s="256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7" t="s">
        <v>1861</v>
      </c>
      <c r="I243" s="2547"/>
      <c r="J243" s="2547"/>
      <c r="K243" s="2547"/>
      <c r="L243" s="2547"/>
      <c r="M243" s="2547"/>
      <c r="N243" s="2547"/>
      <c r="O243" s="2547"/>
      <c r="P243" s="1208"/>
      <c r="Q243" s="1208"/>
      <c r="R243" s="1208"/>
      <c r="S243" s="2564"/>
      <c r="T243" s="2565"/>
      <c r="U243" s="2565"/>
      <c r="V243" s="2565"/>
      <c r="W243" s="2565"/>
      <c r="X243" s="2565"/>
      <c r="Y243" s="2565"/>
      <c r="Z243" s="2565"/>
      <c r="AA243" s="2565"/>
      <c r="AB243" s="2565"/>
      <c r="AC243" s="2565"/>
      <c r="AD243" s="2565"/>
      <c r="AE243" s="2565"/>
      <c r="AF243" s="2565"/>
      <c r="AG243" s="2565"/>
      <c r="AH243" s="2565"/>
      <c r="AI243" s="2565"/>
      <c r="AJ243" s="256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8" t="s">
        <v>1862</v>
      </c>
      <c r="I245" s="2548"/>
      <c r="J245" s="1208"/>
      <c r="K245" s="1208"/>
      <c r="L245" s="1208"/>
      <c r="M245" s="1208"/>
      <c r="N245" s="1208"/>
      <c r="O245" s="1208"/>
      <c r="P245" s="1208"/>
      <c r="Q245" s="1208"/>
      <c r="R245" s="1208"/>
      <c r="S245" s="2561"/>
      <c r="T245" s="2562"/>
      <c r="U245" s="2562"/>
      <c r="V245" s="2562"/>
      <c r="W245" s="2562"/>
      <c r="X245" s="2562"/>
      <c r="Y245" s="2562"/>
      <c r="Z245" s="2562"/>
      <c r="AA245" s="2562"/>
      <c r="AB245" s="2562"/>
      <c r="AC245" s="2562"/>
      <c r="AD245" s="2562"/>
      <c r="AE245" s="2562"/>
      <c r="AF245" s="2562"/>
      <c r="AG245" s="2562"/>
      <c r="AH245" s="2562"/>
      <c r="AI245" s="2562"/>
      <c r="AJ245" s="256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1" workbookViewId="0">
      <selection activeCell="AB50" sqref="AB50:AF50"/>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58" t="s">
        <v>1388</v>
      </c>
      <c r="B1" s="2658"/>
      <c r="C1" s="2658"/>
      <c r="D1" s="2658"/>
      <c r="E1" s="2658"/>
      <c r="F1" s="2658"/>
      <c r="G1" s="2658"/>
      <c r="H1" s="2658"/>
      <c r="I1" s="2658"/>
      <c r="J1" s="2658"/>
      <c r="K1" s="2658"/>
      <c r="L1" s="2658"/>
      <c r="M1" s="2658"/>
      <c r="N1" s="2658"/>
      <c r="O1" s="2658"/>
      <c r="P1" s="2658"/>
      <c r="Q1" s="2658"/>
      <c r="R1" s="2658"/>
      <c r="S1" s="2658"/>
      <c r="T1" s="2658"/>
      <c r="U1" s="2658"/>
      <c r="V1" s="2658"/>
      <c r="W1" s="2658"/>
      <c r="X1" s="2658"/>
      <c r="Y1" s="2658"/>
      <c r="Z1" s="2658"/>
      <c r="AA1" s="2658"/>
      <c r="AB1" s="2658"/>
      <c r="AC1" s="2658"/>
      <c r="AD1" s="2658"/>
      <c r="AE1" s="2658"/>
      <c r="AF1" s="2658"/>
      <c r="AG1" s="2658"/>
      <c r="AH1" s="2658"/>
      <c r="AI1" s="2658"/>
      <c r="AJ1" s="2658"/>
      <c r="AK1" s="2658"/>
      <c r="AL1" s="2658"/>
      <c r="AM1" s="2658"/>
      <c r="AN1" s="2658"/>
    </row>
    <row r="2" spans="1:40" ht="12.95" customHeight="1" thickBot="1">
      <c r="A2" s="2659"/>
      <c r="B2" s="2659"/>
      <c r="C2" s="2659"/>
      <c r="D2" s="2659"/>
      <c r="E2" s="2659"/>
      <c r="F2" s="2659"/>
      <c r="G2" s="2659"/>
      <c r="H2" s="2659"/>
      <c r="I2" s="2659"/>
      <c r="J2" s="2659"/>
      <c r="K2" s="2659"/>
      <c r="L2" s="2659"/>
      <c r="M2" s="2659"/>
      <c r="N2" s="2659"/>
      <c r="O2" s="2659"/>
      <c r="P2" s="2659"/>
      <c r="Q2" s="2659"/>
      <c r="R2" s="2659"/>
      <c r="S2" s="2659"/>
      <c r="T2" s="2659"/>
      <c r="U2" s="2659"/>
      <c r="V2" s="2659"/>
      <c r="W2" s="2659"/>
      <c r="X2" s="2659"/>
      <c r="Y2" s="2659"/>
      <c r="Z2" s="2659"/>
      <c r="AA2" s="2659"/>
      <c r="AB2" s="2659"/>
      <c r="AC2" s="2659"/>
      <c r="AD2" s="2659"/>
      <c r="AE2" s="2659"/>
      <c r="AF2" s="2659"/>
      <c r="AG2" s="2659"/>
      <c r="AH2" s="2659"/>
      <c r="AI2" s="2659"/>
      <c r="AJ2" s="2659"/>
      <c r="AK2" s="2659"/>
      <c r="AL2" s="2659"/>
      <c r="AM2" s="2659"/>
      <c r="AN2" s="265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1345</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DDA/QCT
Building(s)</v>
      </c>
      <c r="U7" s="2638"/>
      <c r="V7" s="2638"/>
      <c r="W7" s="2638"/>
      <c r="X7" s="2638"/>
      <c r="Y7" s="2638" t="str">
        <f>IF(T25=100%,"",'Sources and Basis Breakdown'!G2)</f>
        <v>30% PVC for New Const/
Rehabilitation
NON-DDA/
NON-QCT Building(s)</v>
      </c>
      <c r="Z7" s="2638"/>
      <c r="AA7" s="2638"/>
      <c r="AB7" s="2638"/>
      <c r="AC7" s="2638"/>
      <c r="AD7" s="2638" t="str">
        <f xml:space="preserve"> IF(T25=100%, 'Sources and Basis Breakdown'!J2,'Sources and Basis Breakdown'!I2)</f>
        <v>30% PVC for Acquisition
DDA/QCT Building(s)</v>
      </c>
      <c r="AE7" s="2638"/>
      <c r="AF7" s="2638"/>
      <c r="AG7" s="2638"/>
      <c r="AH7" s="2638"/>
      <c r="AI7" s="2638" t="str">
        <f>IF(T25=100%,"",'Sources and Basis Breakdown'!J2)</f>
        <v>30% PVC for Acquisition
NON-DDA/
NON-QCT Building(s)</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21" t="s">
        <v>376</v>
      </c>
      <c r="C11" s="2622"/>
      <c r="D11" s="2622"/>
      <c r="E11" s="2622"/>
      <c r="F11" s="2622"/>
      <c r="G11" s="2622"/>
      <c r="H11" s="2622"/>
      <c r="I11" s="2622"/>
      <c r="J11" s="2622"/>
      <c r="K11" s="2622"/>
      <c r="L11" s="2622"/>
      <c r="M11" s="2622"/>
      <c r="N11" s="2622"/>
      <c r="O11" s="2622"/>
      <c r="P11" s="2622"/>
      <c r="Q11" s="2622"/>
      <c r="R11" s="2622"/>
      <c r="S11" s="2623"/>
      <c r="T11" s="2660">
        <f>IF('Sources and Basis Breakdown'!F107=0,'Sources and Basis Breakdown'!E107,'Sources and Basis Breakdown'!F107)</f>
        <v>12291681.85</v>
      </c>
      <c r="U11" s="2661"/>
      <c r="V11" s="2661"/>
      <c r="W11" s="2661"/>
      <c r="X11" s="2661"/>
      <c r="Y11" s="2660">
        <f>IF(Y7="",0,IF('Sources and Basis Breakdown'!G107+'Sources and Basis Breakdown'!F107='Sources and Basis Breakdown'!E107,'Sources and Basis Breakdown'!G107,0))</f>
        <v>0</v>
      </c>
      <c r="Z11" s="2661"/>
      <c r="AA11" s="2661"/>
      <c r="AB11" s="2661"/>
      <c r="AC11" s="2661"/>
      <c r="AD11" s="2661">
        <f>IF('Sources and Basis Breakdown'!I107=0,'Sources and Basis Breakdown'!H107,'Sources and Basis Breakdown'!I107)</f>
        <v>39400021.200000003</v>
      </c>
      <c r="AE11" s="2661"/>
      <c r="AF11" s="2661"/>
      <c r="AG11" s="2661"/>
      <c r="AH11" s="2661"/>
      <c r="AI11" s="2661">
        <f>IF(Y7="",0,IF('Sources and Basis Breakdown'!I107+'Sources and Basis Breakdown'!J107='Sources and Basis Breakdown'!H107,'Sources and Basis Breakdown'!J107,0))</f>
        <v>0</v>
      </c>
      <c r="AJ11" s="2661"/>
      <c r="AK11" s="2661"/>
      <c r="AL11" s="2661"/>
      <c r="AM11" s="2661"/>
    </row>
    <row r="12" spans="1:40" ht="12.95" customHeight="1">
      <c r="B12" s="2662" t="s">
        <v>505</v>
      </c>
      <c r="C12" s="1285"/>
      <c r="D12" s="1285"/>
      <c r="E12" s="1285"/>
      <c r="F12" s="1285"/>
      <c r="G12" s="1285"/>
      <c r="H12" s="1285"/>
      <c r="I12" s="1285"/>
      <c r="J12" s="1285"/>
      <c r="K12" s="1285"/>
      <c r="L12" s="1285"/>
      <c r="M12" s="1285"/>
      <c r="N12" s="1285"/>
      <c r="O12" s="1285"/>
      <c r="P12" s="1285"/>
      <c r="Q12" s="1285"/>
      <c r="R12" s="1285"/>
      <c r="S12" s="2663"/>
      <c r="T12" s="2653"/>
      <c r="U12" s="2654"/>
      <c r="V12" s="2654"/>
      <c r="W12" s="2654"/>
      <c r="X12" s="2655"/>
      <c r="Y12" s="2653"/>
      <c r="Z12" s="2654"/>
      <c r="AA12" s="2654"/>
      <c r="AB12" s="2654"/>
      <c r="AC12" s="2655"/>
      <c r="AD12" s="2653"/>
      <c r="AE12" s="2654"/>
      <c r="AF12" s="2654"/>
      <c r="AG12" s="2654"/>
      <c r="AH12" s="2655"/>
      <c r="AI12" s="2653"/>
      <c r="AJ12" s="2654"/>
      <c r="AK12" s="2654"/>
      <c r="AL12" s="2654"/>
      <c r="AM12" s="2655"/>
    </row>
    <row r="13" spans="1:40" ht="12.95" customHeight="1">
      <c r="B13" s="467"/>
      <c r="C13" s="2664" t="s">
        <v>506</v>
      </c>
      <c r="D13" s="2664"/>
      <c r="E13" s="2664"/>
      <c r="F13" s="2664"/>
      <c r="G13" s="2664"/>
      <c r="H13" s="2664"/>
      <c r="I13" s="2664"/>
      <c r="J13" s="2664"/>
      <c r="K13" s="2664"/>
      <c r="L13" s="2664"/>
      <c r="M13" s="2664"/>
      <c r="N13" s="2664"/>
      <c r="O13" s="2664"/>
      <c r="P13" s="2664"/>
      <c r="Q13" s="2664"/>
      <c r="R13" s="2664"/>
      <c r="S13" s="2665"/>
      <c r="T13" s="2656"/>
      <c r="U13" s="2657"/>
      <c r="V13" s="2657"/>
      <c r="W13" s="2657"/>
      <c r="X13" s="2657"/>
      <c r="Y13" s="2656"/>
      <c r="Z13" s="2657"/>
      <c r="AA13" s="2657"/>
      <c r="AB13" s="2657"/>
      <c r="AC13" s="2657"/>
      <c r="AD13" s="2657"/>
      <c r="AE13" s="2657"/>
      <c r="AF13" s="2657"/>
      <c r="AG13" s="2657"/>
      <c r="AH13" s="2657"/>
      <c r="AI13" s="2657"/>
      <c r="AJ13" s="2657"/>
      <c r="AK13" s="2657"/>
      <c r="AL13" s="2657"/>
      <c r="AM13" s="2657"/>
    </row>
    <row r="14" spans="1:40" ht="12.95" customHeight="1">
      <c r="B14" s="467"/>
      <c r="C14" s="2664" t="s">
        <v>507</v>
      </c>
      <c r="D14" s="2664"/>
      <c r="E14" s="2664"/>
      <c r="F14" s="2664"/>
      <c r="G14" s="2664"/>
      <c r="H14" s="2664"/>
      <c r="I14" s="2664"/>
      <c r="J14" s="2664"/>
      <c r="K14" s="2664"/>
      <c r="L14" s="2664"/>
      <c r="M14" s="2664"/>
      <c r="N14" s="2664"/>
      <c r="O14" s="2664"/>
      <c r="P14" s="2664"/>
      <c r="Q14" s="2664"/>
      <c r="R14" s="2664"/>
      <c r="S14" s="2665"/>
      <c r="T14" s="2646"/>
      <c r="U14" s="2647"/>
      <c r="V14" s="2647"/>
      <c r="W14" s="2647"/>
      <c r="X14" s="2647"/>
      <c r="Y14" s="2646"/>
      <c r="Z14" s="2647"/>
      <c r="AA14" s="2647"/>
      <c r="AB14" s="2647"/>
      <c r="AC14" s="2647"/>
      <c r="AD14" s="2647"/>
      <c r="AE14" s="2647"/>
      <c r="AF14" s="2647"/>
      <c r="AG14" s="2647"/>
      <c r="AH14" s="2647"/>
      <c r="AI14" s="2647"/>
      <c r="AJ14" s="2647"/>
      <c r="AK14" s="2647"/>
      <c r="AL14" s="2647"/>
      <c r="AM14" s="2647"/>
    </row>
    <row r="15" spans="1:40" ht="12.95" customHeight="1">
      <c r="B15" s="467"/>
      <c r="C15" s="2664" t="s">
        <v>508</v>
      </c>
      <c r="D15" s="2664"/>
      <c r="E15" s="2664"/>
      <c r="F15" s="2664"/>
      <c r="G15" s="2664"/>
      <c r="H15" s="2664"/>
      <c r="I15" s="2664"/>
      <c r="J15" s="2664"/>
      <c r="K15" s="2664"/>
      <c r="L15" s="2664"/>
      <c r="M15" s="2664"/>
      <c r="N15" s="2664"/>
      <c r="O15" s="2664"/>
      <c r="P15" s="2664"/>
      <c r="Q15" s="2664"/>
      <c r="R15" s="2664"/>
      <c r="S15" s="2665"/>
      <c r="T15" s="2646"/>
      <c r="U15" s="2647"/>
      <c r="V15" s="2647"/>
      <c r="W15" s="2647"/>
      <c r="X15" s="2647"/>
      <c r="Y15" s="2646"/>
      <c r="Z15" s="2647"/>
      <c r="AA15" s="2647"/>
      <c r="AB15" s="2647"/>
      <c r="AC15" s="2647"/>
      <c r="AD15" s="2647"/>
      <c r="AE15" s="2647"/>
      <c r="AF15" s="2647"/>
      <c r="AG15" s="2647"/>
      <c r="AH15" s="2647"/>
      <c r="AI15" s="2647"/>
      <c r="AJ15" s="2647"/>
      <c r="AK15" s="2647"/>
      <c r="AL15" s="2647"/>
      <c r="AM15" s="2647"/>
    </row>
    <row r="16" spans="1:40" ht="12.95" customHeight="1">
      <c r="B16" s="467"/>
      <c r="C16" s="2664" t="s">
        <v>814</v>
      </c>
      <c r="D16" s="2664"/>
      <c r="E16" s="2664"/>
      <c r="F16" s="2664"/>
      <c r="G16" s="2664"/>
      <c r="H16" s="2664"/>
      <c r="I16" s="2664"/>
      <c r="J16" s="2664"/>
      <c r="K16" s="2664"/>
      <c r="L16" s="2664"/>
      <c r="M16" s="2664"/>
      <c r="N16" s="2664"/>
      <c r="O16" s="2664"/>
      <c r="P16" s="2664"/>
      <c r="Q16" s="2664"/>
      <c r="R16" s="2664"/>
      <c r="S16" s="2665"/>
      <c r="T16" s="2646"/>
      <c r="U16" s="2647"/>
      <c r="V16" s="2647"/>
      <c r="W16" s="2647"/>
      <c r="X16" s="2647"/>
      <c r="Y16" s="2646"/>
      <c r="Z16" s="2647"/>
      <c r="AA16" s="2647"/>
      <c r="AB16" s="2647"/>
      <c r="AC16" s="2647"/>
      <c r="AD16" s="2647"/>
      <c r="AE16" s="2647"/>
      <c r="AF16" s="2647"/>
      <c r="AG16" s="2647"/>
      <c r="AH16" s="2647"/>
      <c r="AI16" s="2647"/>
      <c r="AJ16" s="2647"/>
      <c r="AK16" s="2647"/>
      <c r="AL16" s="2647"/>
      <c r="AM16" s="2647"/>
    </row>
    <row r="17" spans="1:40" ht="12.95" customHeight="1">
      <c r="B17" s="467"/>
      <c r="C17" s="2664" t="s">
        <v>509</v>
      </c>
      <c r="D17" s="2664"/>
      <c r="E17" s="2664"/>
      <c r="F17" s="2664"/>
      <c r="G17" s="2664"/>
      <c r="H17" s="2664"/>
      <c r="I17" s="2664"/>
      <c r="J17" s="2664"/>
      <c r="K17" s="2664"/>
      <c r="L17" s="2664"/>
      <c r="M17" s="2664"/>
      <c r="N17" s="2664"/>
      <c r="O17" s="2664"/>
      <c r="P17" s="2664"/>
      <c r="Q17" s="2664"/>
      <c r="R17" s="2664"/>
      <c r="S17" s="2665"/>
      <c r="T17" s="2646"/>
      <c r="U17" s="2647"/>
      <c r="V17" s="2647"/>
      <c r="W17" s="2647"/>
      <c r="X17" s="2647"/>
      <c r="Y17" s="2646"/>
      <c r="Z17" s="2647"/>
      <c r="AA17" s="2647"/>
      <c r="AB17" s="2647"/>
      <c r="AC17" s="2647"/>
      <c r="AD17" s="2647"/>
      <c r="AE17" s="2647"/>
      <c r="AF17" s="2647"/>
      <c r="AG17" s="2647"/>
      <c r="AH17" s="2647"/>
      <c r="AI17" s="2647"/>
      <c r="AJ17" s="2647"/>
      <c r="AK17" s="2647"/>
      <c r="AL17" s="2647"/>
      <c r="AM17" s="2647"/>
    </row>
    <row r="18" spans="1:40" ht="12.95" customHeight="1">
      <c r="A18"/>
      <c r="B18" s="1194"/>
      <c r="C18" s="1668" t="s">
        <v>979</v>
      </c>
      <c r="D18" s="1668"/>
      <c r="E18" s="1668"/>
      <c r="F18" s="1668"/>
      <c r="G18" s="1668"/>
      <c r="H18" s="1668"/>
      <c r="I18" s="1668"/>
      <c r="J18" s="1668"/>
      <c r="K18" s="1668"/>
      <c r="L18" s="1668"/>
      <c r="M18" s="1668"/>
      <c r="N18" s="1668"/>
      <c r="O18" s="1668"/>
      <c r="P18" s="1668"/>
      <c r="Q18" s="1668"/>
      <c r="R18" s="1668"/>
      <c r="S18" s="1669"/>
      <c r="T18" s="2646"/>
      <c r="U18" s="2647"/>
      <c r="V18" s="2647"/>
      <c r="W18" s="2647"/>
      <c r="X18" s="2647"/>
      <c r="Y18" s="2646"/>
      <c r="Z18" s="2647"/>
      <c r="AA18" s="2647"/>
      <c r="AB18" s="2647"/>
      <c r="AC18" s="2647"/>
      <c r="AD18" s="2647"/>
      <c r="AE18" s="2647"/>
      <c r="AF18" s="2647"/>
      <c r="AG18" s="2647"/>
      <c r="AH18" s="2647"/>
      <c r="AI18" s="2647"/>
      <c r="AJ18" s="2647"/>
      <c r="AK18" s="2647"/>
      <c r="AL18" s="2647"/>
      <c r="AM18" s="2647"/>
    </row>
    <row r="19" spans="1:40" ht="12.95" customHeight="1">
      <c r="B19" s="1194"/>
      <c r="C19" s="1668" t="s">
        <v>979</v>
      </c>
      <c r="D19" s="1668"/>
      <c r="E19" s="1668"/>
      <c r="F19" s="1668"/>
      <c r="G19" s="1668"/>
      <c r="H19" s="1668"/>
      <c r="I19" s="1668"/>
      <c r="J19" s="1668"/>
      <c r="K19" s="1668"/>
      <c r="L19" s="1668"/>
      <c r="M19" s="1668"/>
      <c r="N19" s="1668"/>
      <c r="O19" s="1668"/>
      <c r="P19" s="1668"/>
      <c r="Q19" s="1668"/>
      <c r="R19" s="1668"/>
      <c r="S19" s="1669"/>
      <c r="T19" s="2646"/>
      <c r="U19" s="2647"/>
      <c r="V19" s="2647"/>
      <c r="W19" s="2647"/>
      <c r="X19" s="2647"/>
      <c r="Y19" s="2646"/>
      <c r="Z19" s="2647"/>
      <c r="AA19" s="2647"/>
      <c r="AB19" s="2647"/>
      <c r="AC19" s="2647"/>
      <c r="AD19" s="2647"/>
      <c r="AE19" s="2647"/>
      <c r="AF19" s="2647"/>
      <c r="AG19" s="2647"/>
      <c r="AH19" s="2647"/>
      <c r="AI19" s="2647"/>
      <c r="AJ19" s="2647"/>
      <c r="AK19" s="2647"/>
      <c r="AL19" s="2647"/>
      <c r="AM19" s="2647"/>
    </row>
    <row r="20" spans="1:40" ht="12.95" customHeight="1">
      <c r="B20" s="2621" t="s">
        <v>510</v>
      </c>
      <c r="C20" s="2622"/>
      <c r="D20" s="2622"/>
      <c r="E20" s="2622"/>
      <c r="F20" s="2622"/>
      <c r="G20" s="2622"/>
      <c r="H20" s="2622"/>
      <c r="I20" s="2622"/>
      <c r="J20" s="2622"/>
      <c r="K20" s="2622"/>
      <c r="L20" s="2622"/>
      <c r="M20" s="2622"/>
      <c r="N20" s="2622"/>
      <c r="O20" s="2622"/>
      <c r="P20" s="2622"/>
      <c r="Q20" s="2622"/>
      <c r="R20" s="2622"/>
      <c r="S20" s="2623"/>
      <c r="T20" s="2637">
        <f>SUM(T13:X19)</f>
        <v>0</v>
      </c>
      <c r="U20" s="2615"/>
      <c r="V20" s="2615"/>
      <c r="W20" s="2615"/>
      <c r="X20" s="2615"/>
      <c r="Y20" s="2637">
        <f>SUM(Y13:AC19)</f>
        <v>0</v>
      </c>
      <c r="Z20" s="2615"/>
      <c r="AA20" s="2615"/>
      <c r="AB20" s="2615"/>
      <c r="AC20" s="2615"/>
      <c r="AD20" s="2625">
        <f>SUM(AD13:AH19)</f>
        <v>0</v>
      </c>
      <c r="AE20" s="2636"/>
      <c r="AF20" s="2636"/>
      <c r="AG20" s="2636"/>
      <c r="AH20" s="2637"/>
      <c r="AI20" s="2625">
        <f>SUM(AI13:AM19)</f>
        <v>0</v>
      </c>
      <c r="AJ20" s="2636"/>
      <c r="AK20" s="2636"/>
      <c r="AL20" s="2636"/>
      <c r="AM20" s="2637"/>
    </row>
    <row r="21" spans="1:40" ht="12.95" customHeight="1">
      <c r="B21" s="2621" t="s">
        <v>1371</v>
      </c>
      <c r="C21" s="2622"/>
      <c r="D21" s="2622"/>
      <c r="E21" s="2622"/>
      <c r="F21" s="2622"/>
      <c r="G21" s="2622"/>
      <c r="H21" s="2622"/>
      <c r="I21" s="2622"/>
      <c r="J21" s="2622"/>
      <c r="K21" s="2622"/>
      <c r="L21" s="2622"/>
      <c r="M21" s="2622"/>
      <c r="N21" s="2622"/>
      <c r="O21" s="2622"/>
      <c r="P21" s="2622"/>
      <c r="Q21" s="2622"/>
      <c r="R21" s="2622"/>
      <c r="S21" s="2623"/>
      <c r="T21" s="2646"/>
      <c r="U21" s="2647"/>
      <c r="V21" s="2647"/>
      <c r="W21" s="2647"/>
      <c r="X21" s="2647"/>
      <c r="Y21" s="2646"/>
      <c r="Z21" s="2647"/>
      <c r="AA21" s="2647"/>
      <c r="AB21" s="2647"/>
      <c r="AC21" s="2647"/>
      <c r="AD21" s="2653"/>
      <c r="AE21" s="2654"/>
      <c r="AF21" s="2654"/>
      <c r="AG21" s="2654"/>
      <c r="AH21" s="2655"/>
      <c r="AI21" s="2653"/>
      <c r="AJ21" s="2654"/>
      <c r="AK21" s="2654"/>
      <c r="AL21" s="2654"/>
      <c r="AM21" s="2655"/>
    </row>
    <row r="22" spans="1:40" ht="12.95" customHeight="1">
      <c r="B22" s="2621" t="s">
        <v>511</v>
      </c>
      <c r="C22" s="2622"/>
      <c r="D22" s="2622"/>
      <c r="E22" s="2622"/>
      <c r="F22" s="2622"/>
      <c r="G22" s="2622"/>
      <c r="H22" s="2622"/>
      <c r="I22" s="2622"/>
      <c r="J22" s="2622"/>
      <c r="K22" s="2622"/>
      <c r="L22" s="2622"/>
      <c r="M22" s="2622"/>
      <c r="N22" s="2622"/>
      <c r="O22" s="2622"/>
      <c r="P22" s="2622"/>
      <c r="Q22" s="2622"/>
      <c r="R22" s="2622"/>
      <c r="S22" s="2623"/>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21" t="s">
        <v>512</v>
      </c>
      <c r="C23" s="2622"/>
      <c r="D23" s="2622"/>
      <c r="E23" s="2622"/>
      <c r="F23" s="2622"/>
      <c r="G23" s="2622"/>
      <c r="H23" s="2622"/>
      <c r="I23" s="2622"/>
      <c r="J23" s="2622"/>
      <c r="K23" s="2622"/>
      <c r="L23" s="2622"/>
      <c r="M23" s="2622"/>
      <c r="N23" s="2622"/>
      <c r="O23" s="2622"/>
      <c r="P23" s="2622"/>
      <c r="Q23" s="2622"/>
      <c r="R23" s="2622"/>
      <c r="S23" s="2623"/>
      <c r="T23" s="2637">
        <f>T11+T22</f>
        <v>12291681.85</v>
      </c>
      <c r="U23" s="2615"/>
      <c r="V23" s="2615"/>
      <c r="W23" s="2615"/>
      <c r="X23" s="2615"/>
      <c r="Y23" s="2637">
        <f>Y11+Y22</f>
        <v>0</v>
      </c>
      <c r="Z23" s="2615"/>
      <c r="AA23" s="2615"/>
      <c r="AB23" s="2615"/>
      <c r="AC23" s="2615"/>
      <c r="AD23" s="2637">
        <f>AD11+AD22</f>
        <v>39400021.200000003</v>
      </c>
      <c r="AE23" s="2615"/>
      <c r="AF23" s="2615"/>
      <c r="AG23" s="2615"/>
      <c r="AH23" s="2615"/>
      <c r="AI23" s="2637">
        <f>AI11+AI22</f>
        <v>0</v>
      </c>
      <c r="AJ23" s="2615"/>
      <c r="AK23" s="2615"/>
      <c r="AL23" s="2615"/>
      <c r="AM23" s="2615"/>
    </row>
    <row r="24" spans="1:40" ht="12.95" customHeight="1">
      <c r="B24" s="2621" t="s">
        <v>980</v>
      </c>
      <c r="C24" s="2622"/>
      <c r="D24" s="2622"/>
      <c r="E24" s="2622"/>
      <c r="F24" s="2622"/>
      <c r="G24" s="2622"/>
      <c r="H24" s="2622"/>
      <c r="I24" s="2622"/>
      <c r="J24" s="2622"/>
      <c r="K24" s="2622"/>
      <c r="L24" s="2622"/>
      <c r="M24" s="2622"/>
      <c r="N24" s="2622"/>
      <c r="O24" s="2622"/>
      <c r="P24" s="2622"/>
      <c r="Q24" s="2622"/>
      <c r="R24" s="2622"/>
      <c r="S24" s="2623"/>
      <c r="T24" s="2625">
        <f>Application!AJ1052</f>
        <v>97672068</v>
      </c>
      <c r="U24" s="2636"/>
      <c r="V24" s="2636"/>
      <c r="W24" s="2636"/>
      <c r="X24" s="2636"/>
      <c r="Y24" s="2636"/>
      <c r="Z24" s="2636"/>
      <c r="AA24" s="2636"/>
      <c r="AB24" s="2636"/>
      <c r="AC24" s="2636"/>
      <c r="AD24" s="2636"/>
      <c r="AE24" s="2636"/>
      <c r="AF24" s="2636"/>
      <c r="AG24" s="2636"/>
      <c r="AH24" s="2636"/>
      <c r="AI24" s="2636"/>
      <c r="AJ24" s="2636"/>
      <c r="AK24" s="2636"/>
      <c r="AL24" s="2636"/>
      <c r="AM24" s="2637"/>
    </row>
    <row r="25" spans="1:40" ht="12.95" customHeight="1">
      <c r="B25" s="2668" t="s">
        <v>1372</v>
      </c>
      <c r="C25" s="2669"/>
      <c r="D25" s="2669"/>
      <c r="E25" s="2669"/>
      <c r="F25" s="2669"/>
      <c r="G25" s="2669"/>
      <c r="H25" s="2669"/>
      <c r="I25" s="2669"/>
      <c r="J25" s="2669"/>
      <c r="K25" s="2669"/>
      <c r="L25" s="2669"/>
      <c r="M25" s="2669"/>
      <c r="N25" s="2669"/>
      <c r="O25" s="2669"/>
      <c r="P25" s="2669"/>
      <c r="Q25" s="2669"/>
      <c r="R25" s="2669"/>
      <c r="S25" s="2670"/>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1" t="s">
        <v>513</v>
      </c>
      <c r="C26" s="2622"/>
      <c r="D26" s="2622"/>
      <c r="E26" s="2622"/>
      <c r="F26" s="2622"/>
      <c r="G26" s="2622"/>
      <c r="H26" s="2622"/>
      <c r="I26" s="2622"/>
      <c r="J26" s="2622"/>
      <c r="K26" s="2622"/>
      <c r="L26" s="2622"/>
      <c r="M26" s="2622"/>
      <c r="N26" s="2622"/>
      <c r="O26" s="2622"/>
      <c r="P26" s="2622"/>
      <c r="Q26" s="2622"/>
      <c r="R26" s="2622"/>
      <c r="S26" s="2623"/>
      <c r="T26" s="2637">
        <f>T23*T25</f>
        <v>15979186.404999999</v>
      </c>
      <c r="U26" s="2615"/>
      <c r="V26" s="2615"/>
      <c r="W26" s="2615"/>
      <c r="X26" s="2615"/>
      <c r="Y26" s="2637">
        <f>Y23*Y25</f>
        <v>0</v>
      </c>
      <c r="Z26" s="2615"/>
      <c r="AA26" s="2615"/>
      <c r="AB26" s="2615"/>
      <c r="AC26" s="2615"/>
      <c r="AD26" s="2637">
        <f>AD23*AD25</f>
        <v>39400021.200000003</v>
      </c>
      <c r="AE26" s="2615"/>
      <c r="AF26" s="2615"/>
      <c r="AG26" s="2615"/>
      <c r="AH26" s="2615"/>
      <c r="AI26" s="2637">
        <f>AI23*AI25</f>
        <v>0</v>
      </c>
      <c r="AJ26" s="2615"/>
      <c r="AK26" s="2615"/>
      <c r="AL26" s="2615"/>
      <c r="AM26" s="2615"/>
    </row>
    <row r="27" spans="1:40" ht="12.95" customHeight="1">
      <c r="A27" s="441"/>
      <c r="B27" s="2671" t="s">
        <v>427</v>
      </c>
      <c r="C27" s="2672"/>
      <c r="D27" s="2672"/>
      <c r="E27" s="2672"/>
      <c r="F27" s="2672"/>
      <c r="G27" s="2672"/>
      <c r="H27" s="2672"/>
      <c r="I27" s="2672"/>
      <c r="J27" s="2672"/>
      <c r="K27" s="2672"/>
      <c r="L27" s="2672"/>
      <c r="M27" s="2672"/>
      <c r="N27" s="2672"/>
      <c r="O27" s="2672"/>
      <c r="P27" s="2672"/>
      <c r="Q27" s="2672"/>
      <c r="R27" s="2672"/>
      <c r="S27" s="2673"/>
      <c r="T27" s="2648">
        <f>Application!$AG$445</f>
        <v>1</v>
      </c>
      <c r="U27" s="2649"/>
      <c r="V27" s="2649"/>
      <c r="W27" s="2649"/>
      <c r="X27" s="2649"/>
      <c r="Y27" s="2648">
        <f>Application!$AG$445</f>
        <v>1</v>
      </c>
      <c r="Z27" s="2649"/>
      <c r="AA27" s="2649"/>
      <c r="AB27" s="2649"/>
      <c r="AC27" s="2649"/>
      <c r="AD27" s="2648">
        <f>Application!$AG$445</f>
        <v>1</v>
      </c>
      <c r="AE27" s="2649"/>
      <c r="AF27" s="2649"/>
      <c r="AG27" s="2649"/>
      <c r="AH27" s="2649"/>
      <c r="AI27" s="2648">
        <f>Application!$AG$445</f>
        <v>1</v>
      </c>
      <c r="AJ27" s="2649"/>
      <c r="AK27" s="2649"/>
      <c r="AL27" s="2649"/>
      <c r="AM27" s="2649"/>
    </row>
    <row r="28" spans="1:40" ht="12.95" customHeight="1">
      <c r="A28" s="435"/>
      <c r="B28" s="2621" t="s">
        <v>514</v>
      </c>
      <c r="C28" s="2622"/>
      <c r="D28" s="2622"/>
      <c r="E28" s="2622"/>
      <c r="F28" s="2622"/>
      <c r="G28" s="2622"/>
      <c r="H28" s="2622"/>
      <c r="I28" s="2622"/>
      <c r="J28" s="2622"/>
      <c r="K28" s="2622"/>
      <c r="L28" s="2622"/>
      <c r="M28" s="2622"/>
      <c r="N28" s="2622"/>
      <c r="O28" s="2622"/>
      <c r="P28" s="2622"/>
      <c r="Q28" s="2622"/>
      <c r="R28" s="2622"/>
      <c r="S28" s="2623"/>
      <c r="T28" s="2637">
        <f>IF(ISERROR((T26*T27)),0,(T26*T27))</f>
        <v>15979186.404999999</v>
      </c>
      <c r="U28" s="2615"/>
      <c r="V28" s="2615"/>
      <c r="W28" s="2615"/>
      <c r="X28" s="2615"/>
      <c r="Y28" s="2637">
        <f>IF(ISERROR((Y26*Y27)),0,(Y26*Y27))</f>
        <v>0</v>
      </c>
      <c r="Z28" s="2615"/>
      <c r="AA28" s="2615"/>
      <c r="AB28" s="2615"/>
      <c r="AC28" s="2615"/>
      <c r="AD28" s="2637">
        <f>IF(ISERROR((AD26*AD27)),0,(AD26*AD27))</f>
        <v>39400021.200000003</v>
      </c>
      <c r="AE28" s="2615"/>
      <c r="AF28" s="2615"/>
      <c r="AG28" s="2615"/>
      <c r="AH28" s="2615"/>
      <c r="AI28" s="2637">
        <f>IF(ISERROR((AI26*AI27)),0,(AI26*AI27))</f>
        <v>0</v>
      </c>
      <c r="AJ28" s="2615"/>
      <c r="AK28" s="2615"/>
      <c r="AL28" s="2615"/>
      <c r="AM28" s="2615"/>
    </row>
    <row r="29" spans="1:40" ht="12.95" customHeight="1">
      <c r="B29" s="2621" t="s">
        <v>531</v>
      </c>
      <c r="C29" s="2622"/>
      <c r="D29" s="2622"/>
      <c r="E29" s="2622"/>
      <c r="F29" s="2622"/>
      <c r="G29" s="2622"/>
      <c r="H29" s="2622"/>
      <c r="I29" s="2622"/>
      <c r="J29" s="2622"/>
      <c r="K29" s="2622"/>
      <c r="L29" s="2622"/>
      <c r="M29" s="2622"/>
      <c r="N29" s="2622"/>
      <c r="O29" s="2622"/>
      <c r="P29" s="2622"/>
      <c r="Q29" s="2622"/>
      <c r="R29" s="2622"/>
      <c r="S29" s="2623"/>
      <c r="T29" s="2625">
        <f>T28+Y28+AD28+AI28</f>
        <v>55379207.605000004</v>
      </c>
      <c r="U29" s="2636"/>
      <c r="V29" s="2636"/>
      <c r="W29" s="2636"/>
      <c r="X29" s="2636"/>
      <c r="Y29" s="2636"/>
      <c r="Z29" s="2636"/>
      <c r="AA29" s="2636"/>
      <c r="AB29" s="2636"/>
      <c r="AC29" s="2636"/>
      <c r="AD29" s="2636"/>
      <c r="AE29" s="2636"/>
      <c r="AF29" s="2636"/>
      <c r="AG29" s="2636"/>
      <c r="AH29" s="2636"/>
      <c r="AI29" s="2636"/>
      <c r="AJ29" s="2636"/>
      <c r="AK29" s="2636"/>
      <c r="AL29" s="2636"/>
      <c r="AM29" s="2637"/>
    </row>
    <row r="30" spans="1:40" ht="12.95" customHeight="1">
      <c r="B30" s="2641" t="s">
        <v>1374</v>
      </c>
      <c r="C30" s="2641"/>
      <c r="D30" s="2641"/>
      <c r="E30" s="2641"/>
      <c r="F30" s="2641"/>
      <c r="G30" s="2641"/>
      <c r="H30" s="2641"/>
      <c r="I30" s="2641"/>
      <c r="J30" s="2641"/>
      <c r="K30" s="2641"/>
      <c r="L30" s="2641"/>
      <c r="M30" s="2641"/>
      <c r="N30" s="2641"/>
      <c r="O30" s="2641"/>
      <c r="P30" s="2641"/>
      <c r="Q30" s="2641"/>
      <c r="R30" s="2641"/>
      <c r="S30" s="2641"/>
      <c r="T30" s="2641"/>
      <c r="U30" s="2641"/>
      <c r="V30" s="2641"/>
      <c r="W30" s="2641"/>
      <c r="X30" s="2641"/>
      <c r="Y30" s="2641"/>
      <c r="Z30" s="2641"/>
      <c r="AA30" s="2641"/>
      <c r="AB30" s="2641"/>
      <c r="AC30" s="2641"/>
      <c r="AD30" s="2641"/>
      <c r="AE30" s="2641"/>
      <c r="AF30" s="2641"/>
      <c r="AG30" s="2641"/>
      <c r="AH30" s="2641"/>
      <c r="AI30" s="2641"/>
      <c r="AJ30" s="2641"/>
      <c r="AK30" s="2641"/>
      <c r="AL30" s="2641"/>
      <c r="AM30" s="2641"/>
    </row>
    <row r="31" spans="1:40" ht="12.95" customHeight="1">
      <c r="B31" s="2641" t="s">
        <v>1373</v>
      </c>
      <c r="C31" s="2641"/>
      <c r="D31" s="2641"/>
      <c r="E31" s="2641"/>
      <c r="F31" s="2641"/>
      <c r="G31" s="2641"/>
      <c r="H31" s="2641"/>
      <c r="I31" s="2641"/>
      <c r="J31" s="2641"/>
      <c r="K31" s="2641"/>
      <c r="L31" s="2641"/>
      <c r="M31" s="2641"/>
      <c r="N31" s="2641"/>
      <c r="O31" s="2641"/>
      <c r="P31" s="2641"/>
      <c r="Q31" s="2641"/>
      <c r="R31" s="2641"/>
      <c r="S31" s="2641"/>
      <c r="T31" s="2641"/>
      <c r="U31" s="2641"/>
      <c r="V31" s="2641"/>
      <c r="W31" s="2641"/>
      <c r="X31" s="2641"/>
      <c r="Y31" s="2641"/>
      <c r="Z31" s="2641"/>
      <c r="AA31" s="2641"/>
      <c r="AB31" s="2641"/>
      <c r="AC31" s="2641"/>
      <c r="AD31" s="2641"/>
      <c r="AE31" s="2641"/>
      <c r="AF31" s="2641"/>
      <c r="AG31" s="2641"/>
      <c r="AH31" s="2641"/>
      <c r="AI31" s="2641"/>
      <c r="AJ31" s="2641"/>
      <c r="AK31" s="2641"/>
      <c r="AL31" s="2641"/>
      <c r="AM31" s="2641"/>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1256</v>
      </c>
      <c r="Z35" s="2638"/>
      <c r="AA35" s="2638"/>
      <c r="AB35" s="2638"/>
      <c r="AC35" s="2638"/>
      <c r="AD35" s="2639" t="s">
        <v>370</v>
      </c>
      <c r="AE35" s="2639"/>
      <c r="AF35" s="2639"/>
      <c r="AG35" s="2639"/>
      <c r="AH35" s="2639"/>
    </row>
    <row r="36" spans="1:76" ht="12.95" customHeight="1">
      <c r="B36" s="438"/>
      <c r="X36" s="443"/>
      <c r="Y36" s="2638"/>
      <c r="Z36" s="2638"/>
      <c r="AA36" s="2638"/>
      <c r="AB36" s="2638"/>
      <c r="AC36" s="2638"/>
      <c r="AD36" s="2639"/>
      <c r="AE36" s="2639"/>
      <c r="AF36" s="2639"/>
      <c r="AG36" s="2639"/>
      <c r="AH36" s="2639"/>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39"/>
      <c r="AE37" s="2639"/>
      <c r="AF37" s="2639"/>
      <c r="AG37" s="2639"/>
      <c r="AH37" s="2639"/>
    </row>
    <row r="38" spans="1:76" ht="12.95" customHeight="1">
      <c r="A38" s="435"/>
      <c r="B38" s="2621" t="s">
        <v>514</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15979186.404999999</v>
      </c>
      <c r="Z38" s="2615"/>
      <c r="AA38" s="2615"/>
      <c r="AB38" s="2615"/>
      <c r="AC38" s="2615"/>
      <c r="AD38" s="2615">
        <f>IF(T24&gt;=(T23+Y23+AD23+AI23),AD28+AI28,0)</f>
        <v>39400021.200000003</v>
      </c>
      <c r="AE38" s="2615"/>
      <c r="AF38" s="2615"/>
      <c r="AG38" s="2615"/>
      <c r="AH38" s="2615"/>
    </row>
    <row r="39" spans="1:76" ht="12.95" customHeight="1">
      <c r="B39" s="2621" t="s">
        <v>1879</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40">
        <v>0.04</v>
      </c>
      <c r="Z39" s="2640"/>
      <c r="AA39" s="2640"/>
      <c r="AB39" s="2640"/>
      <c r="AC39" s="2640"/>
      <c r="AD39" s="2640">
        <v>0.04</v>
      </c>
      <c r="AE39" s="2640"/>
      <c r="AF39" s="2640"/>
      <c r="AG39" s="2640"/>
      <c r="AH39" s="2640"/>
    </row>
    <row r="40" spans="1:76" ht="12.95" customHeight="1">
      <c r="A40" s="435"/>
      <c r="B40" s="2621" t="s">
        <v>650</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639167</v>
      </c>
      <c r="Z40" s="2615"/>
      <c r="AA40" s="2615"/>
      <c r="AB40" s="2615"/>
      <c r="AC40" s="2615"/>
      <c r="AD40" s="2637">
        <f>ROUND(AD38*AD39,0)</f>
        <v>1576001</v>
      </c>
      <c r="AE40" s="2615"/>
      <c r="AF40" s="2615"/>
      <c r="AG40" s="2615"/>
      <c r="AH40" s="2615"/>
    </row>
    <row r="41" spans="1:76" ht="12.95" customHeight="1">
      <c r="B41" s="2621" t="s">
        <v>651</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25">
        <f>Y40+AD40</f>
        <v>2215168</v>
      </c>
      <c r="Z41" s="2636"/>
      <c r="AA41" s="2636"/>
      <c r="AB41" s="2636"/>
      <c r="AC41" s="2636"/>
      <c r="AD41" s="2636"/>
      <c r="AE41" s="2636"/>
      <c r="AF41" s="2636"/>
      <c r="AG41" s="2636"/>
      <c r="AH41" s="263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5" t="s">
        <v>1384</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5" customHeight="1" thickTop="1"/>
    <row r="46" spans="1:76" ht="12.95" customHeight="1">
      <c r="A46" s="435" t="s">
        <v>594</v>
      </c>
      <c r="C46" s="435" t="s">
        <v>283</v>
      </c>
    </row>
    <row r="47" spans="1:76" ht="12.95" customHeight="1">
      <c r="D47" s="435" t="s">
        <v>284</v>
      </c>
      <c r="AB47" s="2629">
        <f>'Sources and Uses Budget'!B105-MAX(IF('Sources and Uses Budget'!B15="",0,'Sources and Uses Budget'!B15),IF(Application!AG394="",0,Application!AG394))</f>
        <v>56571727.049999997</v>
      </c>
      <c r="AC47" s="2630"/>
      <c r="AD47" s="2630"/>
      <c r="AE47" s="2630"/>
      <c r="AF47" s="2631"/>
    </row>
    <row r="48" spans="1:76" ht="12.95" customHeight="1">
      <c r="D48" s="435" t="s">
        <v>21</v>
      </c>
      <c r="AB48" s="2629">
        <f>Application!AO639-MAX(IF('Sources and Uses Budget'!B15="",0,'Sources and Uses Budget'!B15),IF(Application!AG394="",0,Application!AG394))</f>
        <v>36635215.049999997</v>
      </c>
      <c r="AC48" s="2630"/>
      <c r="AD48" s="2630"/>
      <c r="AE48" s="2630"/>
      <c r="AF48" s="2631"/>
    </row>
    <row r="49" spans="1:76" ht="12.95" customHeight="1">
      <c r="D49" s="435" t="s">
        <v>91</v>
      </c>
      <c r="AB49" s="2629">
        <f>AB47-AB48</f>
        <v>19936512</v>
      </c>
      <c r="AC49" s="2630"/>
      <c r="AD49" s="2630"/>
      <c r="AE49" s="2630"/>
      <c r="AF49" s="2631"/>
    </row>
    <row r="50" spans="1:76" ht="12.95" customHeight="1">
      <c r="D50" s="435" t="s">
        <v>689</v>
      </c>
      <c r="AA50" s="446"/>
      <c r="AB50" s="2617">
        <v>0.9</v>
      </c>
      <c r="AC50" s="2618"/>
      <c r="AD50" s="2618"/>
      <c r="AE50" s="2618"/>
      <c r="AF50" s="2619"/>
    </row>
    <row r="51" spans="1:76" s="448" customFormat="1" ht="12.95" customHeight="1">
      <c r="A51" s="433"/>
      <c r="B51" s="433"/>
      <c r="C51" s="433"/>
      <c r="D51" s="433"/>
      <c r="E51" s="2628" t="s">
        <v>2039</v>
      </c>
      <c r="F51" s="2628"/>
      <c r="G51" s="2628"/>
      <c r="H51" s="2628"/>
      <c r="I51" s="2628"/>
      <c r="J51" s="2628"/>
      <c r="K51" s="2628"/>
      <c r="L51" s="2628"/>
      <c r="M51" s="2628"/>
      <c r="N51" s="2628"/>
      <c r="O51" s="2628"/>
      <c r="P51" s="2628"/>
      <c r="Q51" s="2628"/>
      <c r="R51" s="2628"/>
      <c r="S51" s="2628"/>
      <c r="T51" s="2628"/>
      <c r="U51" s="2628"/>
      <c r="V51" s="2628"/>
      <c r="W51" s="2628"/>
      <c r="X51" s="2628"/>
      <c r="Y51" s="2628"/>
      <c r="Z51" s="262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8"/>
      <c r="F52" s="2628"/>
      <c r="G52" s="2628"/>
      <c r="H52" s="2628"/>
      <c r="I52" s="2628"/>
      <c r="J52" s="2628"/>
      <c r="K52" s="2628"/>
      <c r="L52" s="2628"/>
      <c r="M52" s="2628"/>
      <c r="N52" s="2628"/>
      <c r="O52" s="2628"/>
      <c r="P52" s="2628"/>
      <c r="Q52" s="2628"/>
      <c r="R52" s="2628"/>
      <c r="S52" s="2628"/>
      <c r="T52" s="2628"/>
      <c r="U52" s="2628"/>
      <c r="V52" s="2628"/>
      <c r="W52" s="2628"/>
      <c r="X52" s="2628"/>
      <c r="Y52" s="2628"/>
      <c r="Z52" s="262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9">
        <f>ROUND(IF(ISERROR((AB49/AB50)),0,(AB49/AB50)),0)</f>
        <v>22151680</v>
      </c>
      <c r="AC54" s="2630"/>
      <c r="AD54" s="2630"/>
      <c r="AE54" s="2630"/>
      <c r="AF54" s="2631"/>
    </row>
    <row r="55" spans="1:76" ht="12.95" customHeight="1">
      <c r="D55" s="435" t="s">
        <v>334</v>
      </c>
      <c r="AB55" s="2629">
        <f>(AB54/10)</f>
        <v>2215168</v>
      </c>
      <c r="AC55" s="2630"/>
      <c r="AD55" s="2630"/>
      <c r="AE55" s="2630"/>
      <c r="AF55" s="2631"/>
    </row>
    <row r="56" spans="1:76" ht="12.95" customHeight="1">
      <c r="D56" s="435" t="s">
        <v>765</v>
      </c>
      <c r="AB56" s="2632">
        <f>(IF((Y41&lt;AB55),Y41,AB55))</f>
        <v>2215168</v>
      </c>
      <c r="AC56" s="2633"/>
      <c r="AD56" s="2633"/>
      <c r="AE56" s="2633"/>
      <c r="AF56" s="2634"/>
    </row>
    <row r="57" spans="1:76" ht="12.95" customHeight="1">
      <c r="D57" s="435" t="s">
        <v>764</v>
      </c>
      <c r="AB57" s="2629">
        <f>ROUND((10*AB56*AB50),0)</f>
        <v>19936512</v>
      </c>
      <c r="AC57" s="2630"/>
      <c r="AD57" s="2630"/>
      <c r="AE57" s="2630"/>
      <c r="AF57" s="2631"/>
    </row>
    <row r="58" spans="1:76" ht="12.95" customHeight="1">
      <c r="D58" s="435"/>
      <c r="AB58" s="454"/>
      <c r="AC58" s="454"/>
      <c r="AD58" s="454"/>
      <c r="AE58" s="454"/>
      <c r="AF58" s="454"/>
    </row>
    <row r="59" spans="1:76" ht="12.95" customHeight="1">
      <c r="D59" s="435" t="s">
        <v>763</v>
      </c>
      <c r="AB59" s="2613">
        <f>AB49-AB57</f>
        <v>0</v>
      </c>
      <c r="AC59" s="2613"/>
      <c r="AD59" s="2613"/>
      <c r="AE59" s="2613"/>
      <c r="AF59" s="2613"/>
    </row>
    <row r="60" spans="1:76" ht="12.95" customHeight="1">
      <c r="D60" s="435"/>
      <c r="AB60" s="454"/>
      <c r="AC60" s="454"/>
      <c r="AD60" s="454"/>
      <c r="AE60" s="454"/>
      <c r="AF60" s="454"/>
    </row>
    <row r="61" spans="1:76" s="218" customFormat="1" ht="12.95"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5" customHeight="1" thickTop="1"/>
    <row r="63" spans="1:76" ht="12.95" customHeight="1">
      <c r="A63" s="435" t="s">
        <v>597</v>
      </c>
      <c r="C63" s="219" t="s">
        <v>1356</v>
      </c>
      <c r="Y63" s="2624" t="s">
        <v>1003</v>
      </c>
      <c r="Z63" s="2624"/>
      <c r="AA63" s="2624"/>
      <c r="AB63" s="2624"/>
      <c r="AC63" s="2624"/>
      <c r="AD63" s="2624" t="s">
        <v>370</v>
      </c>
      <c r="AE63" s="2624"/>
      <c r="AF63" s="2624"/>
      <c r="AG63" s="2624"/>
      <c r="AH63" s="2624"/>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5">
        <f>IF(Application!$Z$205="(select)",0,((T23*T27)+Y28))</f>
        <v>0</v>
      </c>
      <c r="Z64" s="2626"/>
      <c r="AA64" s="2626"/>
      <c r="AB64" s="2626"/>
      <c r="AC64" s="2627"/>
      <c r="AD64" s="2625">
        <f>IF(AND(OR(Application!D211="At-Risk",Application!D211="At-Risk and Special Needs"),Application!M358="yes"),AD28+AI28,0)</f>
        <v>39400021.200000003</v>
      </c>
      <c r="AE64" s="2626"/>
      <c r="AF64" s="2626"/>
      <c r="AG64" s="2626"/>
      <c r="AH64" s="2627"/>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4">
        <f>IF(OR(Application!Z205="State Farmworker Credit",Application!Z205="$500M (Farmworker Housing)"),0.75,IF(Application!Z205="15% set-aside",0.13,IF(Application!Z205="15% set-aside with qualifying low value rehab",0.95,0.3)))</f>
        <v>0.3</v>
      </c>
      <c r="Z67" s="2614"/>
      <c r="AA67" s="2614"/>
      <c r="AB67" s="2614"/>
      <c r="AC67" s="2614"/>
      <c r="AD67" s="2614">
        <f>IF(Application!Z205="15% set-aside with qualifying low value rehab", 0.95,0.13)</f>
        <v>0.13</v>
      </c>
      <c r="AE67" s="2614"/>
      <c r="AF67" s="2614"/>
      <c r="AG67" s="2614"/>
      <c r="AH67" s="2614"/>
    </row>
    <row r="68" spans="1:36" ht="12.95" customHeight="1">
      <c r="C68" s="435"/>
      <c r="D68" s="219" t="s">
        <v>2635</v>
      </c>
      <c r="Y68" s="2615">
        <f>ROUND(Y64*Y67,0)</f>
        <v>0</v>
      </c>
      <c r="Z68" s="2616"/>
      <c r="AA68" s="2616"/>
      <c r="AB68" s="2616"/>
      <c r="AC68" s="2616"/>
      <c r="AD68" s="2615">
        <f>ROUND(AD64*AD67,0)</f>
        <v>5122003</v>
      </c>
      <c r="AE68" s="2616"/>
      <c r="AF68" s="2616"/>
      <c r="AG68" s="2616"/>
      <c r="AH68" s="2616"/>
    </row>
    <row r="69" spans="1:36" ht="12.95" customHeight="1">
      <c r="C69" s="435"/>
      <c r="D69" s="219" t="s">
        <v>2636</v>
      </c>
      <c r="Y69" s="2615">
        <f>IF(OR(Application!Z205="State Farmworker Credit",Application!Z205="$500M (Farmworker Housing)"),Y68+AD68,MIN(Y68+AD68,200000*(Application!G753+Application!O777)))</f>
        <v>5122003</v>
      </c>
      <c r="Z69" s="2615"/>
      <c r="AA69" s="2615"/>
      <c r="AB69" s="2615"/>
      <c r="AC69" s="2615"/>
      <c r="AD69" s="2615"/>
      <c r="AE69" s="2615"/>
      <c r="AF69" s="2615"/>
      <c r="AG69" s="2615"/>
      <c r="AH69" s="2615"/>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17"/>
      <c r="AC72" s="2618"/>
      <c r="AD72" s="2618"/>
      <c r="AE72" s="2618"/>
      <c r="AF72" s="2619"/>
    </row>
    <row r="73" spans="1:36" ht="12.95" customHeight="1">
      <c r="A73" s="435"/>
      <c r="C73" s="435"/>
      <c r="D73" s="435"/>
      <c r="E73" s="2620" t="s">
        <v>1359</v>
      </c>
      <c r="F73" s="2620"/>
      <c r="G73" s="2620"/>
      <c r="H73" s="2620"/>
      <c r="I73" s="2620"/>
      <c r="J73" s="2620"/>
      <c r="K73" s="2620"/>
      <c r="L73" s="2620"/>
      <c r="M73" s="2620"/>
      <c r="N73" s="2620"/>
      <c r="O73" s="2620"/>
      <c r="P73" s="2620"/>
      <c r="Q73" s="2620"/>
      <c r="R73" s="2620"/>
      <c r="S73" s="2620"/>
      <c r="T73" s="2620"/>
      <c r="U73" s="2620"/>
      <c r="V73" s="2620"/>
      <c r="W73" s="2620"/>
      <c r="X73" s="2620"/>
      <c r="Y73" s="2620"/>
      <c r="Z73" s="2620"/>
      <c r="AA73" s="2620"/>
      <c r="AB73" s="471"/>
      <c r="AC73" s="471"/>
    </row>
    <row r="74" spans="1:36" ht="12.95" customHeight="1">
      <c r="A74" s="435"/>
      <c r="C74" s="435"/>
      <c r="D74" s="435"/>
      <c r="E74" s="2620"/>
      <c r="F74" s="2620"/>
      <c r="G74" s="2620"/>
      <c r="H74" s="2620"/>
      <c r="I74" s="2620"/>
      <c r="J74" s="2620"/>
      <c r="K74" s="2620"/>
      <c r="L74" s="2620"/>
      <c r="M74" s="2620"/>
      <c r="N74" s="2620"/>
      <c r="O74" s="2620"/>
      <c r="P74" s="2620"/>
      <c r="Q74" s="2620"/>
      <c r="R74" s="2620"/>
      <c r="S74" s="2620"/>
      <c r="T74" s="2620"/>
      <c r="U74" s="2620"/>
      <c r="V74" s="2620"/>
      <c r="W74" s="2620"/>
      <c r="X74" s="2620"/>
      <c r="Y74" s="2620"/>
      <c r="Z74" s="2620"/>
      <c r="AA74" s="2620"/>
      <c r="AB74" s="471"/>
      <c r="AC74" s="471"/>
    </row>
    <row r="75" spans="1:36" ht="12.95" customHeight="1">
      <c r="A75" s="435"/>
      <c r="C75" s="435"/>
      <c r="D75" s="435"/>
      <c r="E75" s="2620"/>
      <c r="F75" s="2620"/>
      <c r="G75" s="2620"/>
      <c r="H75" s="2620"/>
      <c r="I75" s="2620"/>
      <c r="J75" s="2620"/>
      <c r="K75" s="2620"/>
      <c r="L75" s="2620"/>
      <c r="M75" s="2620"/>
      <c r="N75" s="2620"/>
      <c r="O75" s="2620"/>
      <c r="P75" s="2620"/>
      <c r="Q75" s="2620"/>
      <c r="R75" s="2620"/>
      <c r="S75" s="2620"/>
      <c r="T75" s="2620"/>
      <c r="U75" s="2620"/>
      <c r="V75" s="2620"/>
      <c r="W75" s="2620"/>
      <c r="X75" s="2620"/>
      <c r="Y75" s="2620"/>
      <c r="Z75" s="2620"/>
      <c r="AA75" s="262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08">
        <f>ROUND(IF(ISERROR((AB59/AB72)),0,(AB59/AB72)),0)</f>
        <v>0</v>
      </c>
      <c r="AC77" s="2608"/>
      <c r="AD77" s="2608"/>
      <c r="AE77" s="2608"/>
      <c r="AF77" s="2608"/>
    </row>
    <row r="78" spans="1:36" ht="12.95" customHeight="1">
      <c r="C78" s="435"/>
      <c r="D78" s="219" t="s">
        <v>1361</v>
      </c>
      <c r="AB78" s="2609">
        <f>MIN(Y69,AB77)</f>
        <v>0</v>
      </c>
      <c r="AC78" s="2610"/>
      <c r="AD78" s="2610"/>
      <c r="AE78" s="2610"/>
      <c r="AF78" s="2611"/>
    </row>
    <row r="79" spans="1:36" ht="12.95" customHeight="1">
      <c r="C79" s="435"/>
      <c r="D79" s="219" t="s">
        <v>1362</v>
      </c>
      <c r="AB79" s="2612">
        <f>AB78*AB72</f>
        <v>0</v>
      </c>
      <c r="AC79" s="2612"/>
      <c r="AD79" s="2612"/>
      <c r="AE79" s="2612"/>
      <c r="AF79" s="2612"/>
    </row>
    <row r="80" spans="1:36" ht="12.95" customHeight="1">
      <c r="C80" s="435"/>
      <c r="D80" s="435"/>
      <c r="AB80" s="456"/>
      <c r="AC80" s="456"/>
      <c r="AD80" s="456"/>
      <c r="AE80" s="456"/>
      <c r="AF80" s="456"/>
    </row>
    <row r="81" spans="1:78" ht="12.95" customHeight="1">
      <c r="D81" s="435" t="s">
        <v>763</v>
      </c>
      <c r="AB81" s="2613">
        <f>AB49-(AB57+AB79)</f>
        <v>0</v>
      </c>
      <c r="AC81" s="2613"/>
      <c r="AD81" s="2613"/>
      <c r="AE81" s="2613"/>
      <c r="AF81" s="2613"/>
    </row>
    <row r="82" spans="1:78" ht="12.95" customHeight="1">
      <c r="F82" s="556"/>
      <c r="J82" s="556" t="str">
        <f>IF(AB81&gt;0,"FUNDING GAP MUST NOT EXCEED ZERO","")</f>
        <v/>
      </c>
    </row>
    <row r="83" spans="1:78" ht="12.95" customHeight="1">
      <c r="D83" s="557"/>
    </row>
    <row r="84" spans="1:78" ht="12.95"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5" customHeight="1" thickTop="1"/>
    <row r="86" spans="1:78" ht="12.95" customHeight="1">
      <c r="A86" s="435"/>
      <c r="C86" s="219"/>
    </row>
    <row r="87" spans="1:78" ht="12.95" customHeight="1">
      <c r="D87" s="219"/>
      <c r="AB87" s="2667"/>
      <c r="AC87" s="2667"/>
      <c r="AD87" s="2667"/>
      <c r="AE87" s="2667"/>
      <c r="AF87" s="2667"/>
    </row>
    <row r="88" spans="1:78" ht="12.95" customHeight="1" thickBot="1">
      <c r="D88" s="219"/>
      <c r="AB88" s="2666"/>
      <c r="AC88" s="2666"/>
      <c r="AD88" s="2666"/>
      <c r="AE88" s="2666"/>
      <c r="AF88" s="266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924</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925</v>
      </c>
      <c r="B3" s="457" t="s">
        <v>926</v>
      </c>
      <c r="C3" s="457" t="s">
        <v>2256</v>
      </c>
      <c r="D3" s="1190" t="s">
        <v>927</v>
      </c>
      <c r="E3" s="218"/>
      <c r="F3" s="1190" t="s">
        <v>928</v>
      </c>
      <c r="G3" s="457" t="s">
        <v>929</v>
      </c>
      <c r="H3" s="458"/>
      <c r="I3" s="457" t="s">
        <v>930</v>
      </c>
      <c r="J3" s="457" t="s">
        <v>931</v>
      </c>
      <c r="K3" s="218"/>
      <c r="L3" s="328"/>
    </row>
    <row r="4" spans="1:12">
      <c r="A4" s="459" t="str">
        <f>Application!B718</f>
        <v>1 Bedroom</v>
      </c>
      <c r="B4" s="1121">
        <f>Application!G718</f>
        <v>15</v>
      </c>
      <c r="C4" s="1122"/>
      <c r="D4" s="459">
        <f>Application!O718</f>
        <v>576</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15</v>
      </c>
      <c r="C5" s="1122"/>
      <c r="D5" s="459">
        <f>Application!O719</f>
        <v>960</v>
      </c>
      <c r="E5" s="460"/>
      <c r="F5" s="1123"/>
      <c r="G5" s="459">
        <f t="shared" ref="G5:G38" si="2">F5*B5</f>
        <v>0</v>
      </c>
      <c r="H5" s="460"/>
      <c r="I5" s="459" t="str">
        <f t="shared" si="0"/>
        <v/>
      </c>
      <c r="J5" s="459" t="str">
        <f t="shared" si="1"/>
        <v/>
      </c>
      <c r="K5" s="218"/>
      <c r="L5" s="328"/>
    </row>
    <row r="6" spans="1:12">
      <c r="A6" s="459" t="str">
        <f>Application!B720</f>
        <v>1 Bedroom</v>
      </c>
      <c r="B6" s="1121">
        <f>Application!G720</f>
        <v>118</v>
      </c>
      <c r="C6" s="1122"/>
      <c r="D6" s="459">
        <f>Application!O720</f>
        <v>1153</v>
      </c>
      <c r="E6" s="460"/>
      <c r="F6" s="1123"/>
      <c r="G6" s="459">
        <f t="shared" si="2"/>
        <v>0</v>
      </c>
      <c r="H6" s="460"/>
      <c r="I6" s="459" t="str">
        <f t="shared" si="0"/>
        <v/>
      </c>
      <c r="J6" s="459" t="str">
        <f t="shared" si="1"/>
        <v/>
      </c>
      <c r="K6" s="218"/>
      <c r="L6" s="328"/>
    </row>
    <row r="7" spans="1:12">
      <c r="A7" s="459" t="str">
        <f>Application!B721</f>
        <v>2 Bedrooms</v>
      </c>
      <c r="B7" s="1121">
        <f>Application!G721</f>
        <v>4</v>
      </c>
      <c r="C7" s="1122"/>
      <c r="D7" s="459">
        <f>Application!O721</f>
        <v>691</v>
      </c>
      <c r="E7" s="460"/>
      <c r="F7" s="1123"/>
      <c r="G7" s="459">
        <f t="shared" si="2"/>
        <v>0</v>
      </c>
      <c r="H7" s="460"/>
      <c r="I7" s="459" t="str">
        <f t="shared" si="0"/>
        <v/>
      </c>
      <c r="J7" s="459" t="str">
        <f t="shared" si="1"/>
        <v/>
      </c>
      <c r="K7" s="218"/>
      <c r="L7" s="328"/>
    </row>
    <row r="8" spans="1:12">
      <c r="A8" s="459" t="str">
        <f>Application!B722</f>
        <v>2 Bedrooms</v>
      </c>
      <c r="B8" s="1121">
        <f>Application!G722</f>
        <v>4</v>
      </c>
      <c r="C8" s="1122"/>
      <c r="D8" s="459">
        <f>Application!O722</f>
        <v>1152</v>
      </c>
      <c r="E8" s="460"/>
      <c r="F8" s="1123"/>
      <c r="G8" s="459">
        <f t="shared" si="2"/>
        <v>0</v>
      </c>
      <c r="H8" s="460"/>
      <c r="I8" s="459" t="str">
        <f t="shared" si="0"/>
        <v/>
      </c>
      <c r="J8" s="459" t="str">
        <f t="shared" si="1"/>
        <v/>
      </c>
      <c r="K8" s="218"/>
      <c r="L8" s="328"/>
    </row>
    <row r="9" spans="1:12">
      <c r="A9" s="459" t="str">
        <f>Application!B723</f>
        <v>2 Bedrooms</v>
      </c>
      <c r="B9" s="1121">
        <f>Application!G723</f>
        <v>32</v>
      </c>
      <c r="C9" s="1122"/>
      <c r="D9" s="459">
        <f>Application!O723</f>
        <v>1383</v>
      </c>
      <c r="E9" s="460"/>
      <c r="F9" s="1123"/>
      <c r="G9" s="459">
        <f t="shared" si="2"/>
        <v>0</v>
      </c>
      <c r="H9" s="460"/>
      <c r="I9" s="459" t="str">
        <f t="shared" si="0"/>
        <v/>
      </c>
      <c r="J9" s="459" t="str">
        <f t="shared" si="1"/>
        <v/>
      </c>
      <c r="K9" s="218"/>
      <c r="L9" s="328"/>
    </row>
    <row r="10" spans="1:12">
      <c r="A10" s="459" t="str">
        <f>Application!B724</f>
        <v>2 Bedrooms</v>
      </c>
      <c r="B10" s="1121">
        <f>Application!G724</f>
        <v>1</v>
      </c>
      <c r="C10" s="1122"/>
      <c r="D10" s="459">
        <f>Application!O724</f>
        <v>691</v>
      </c>
      <c r="E10" s="460"/>
      <c r="F10" s="1123"/>
      <c r="G10" s="459">
        <f t="shared" si="2"/>
        <v>0</v>
      </c>
      <c r="H10" s="460"/>
      <c r="I10" s="459" t="str">
        <f t="shared" si="0"/>
        <v/>
      </c>
      <c r="J10" s="459" t="str">
        <f t="shared" si="1"/>
        <v/>
      </c>
      <c r="K10" s="218"/>
      <c r="L10" s="328"/>
    </row>
    <row r="11" spans="1:12">
      <c r="A11" s="459" t="str">
        <f>Application!B725</f>
        <v>2 Bedrooms</v>
      </c>
      <c r="B11" s="1121">
        <f>Application!G725</f>
        <v>1</v>
      </c>
      <c r="C11" s="1122"/>
      <c r="D11" s="459">
        <f>Application!O725</f>
        <v>1152</v>
      </c>
      <c r="E11" s="460"/>
      <c r="F11" s="1123"/>
      <c r="G11" s="459">
        <f t="shared" si="2"/>
        <v>0</v>
      </c>
      <c r="H11" s="460"/>
      <c r="I11" s="459" t="str">
        <f t="shared" si="0"/>
        <v/>
      </c>
      <c r="J11" s="459" t="str">
        <f t="shared" si="1"/>
        <v/>
      </c>
      <c r="K11" s="218"/>
      <c r="L11" s="328"/>
    </row>
    <row r="12" spans="1:12">
      <c r="A12" s="459" t="str">
        <f>Application!B726</f>
        <v>2 Bedrooms</v>
      </c>
      <c r="B12" s="1121">
        <f>Application!G726</f>
        <v>6</v>
      </c>
      <c r="C12" s="1122"/>
      <c r="D12" s="459">
        <f>Application!O726</f>
        <v>1383</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220863</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3" zoomScale="80" zoomScaleNormal="80" workbookViewId="0">
      <selection activeCell="M40" sqref="M40"/>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2650356</v>
      </c>
      <c r="G4" s="235">
        <f>E4*$C$4</f>
        <v>2716614.9</v>
      </c>
      <c r="I4" s="235">
        <f>G4*$C$4</f>
        <v>2784530.2724999995</v>
      </c>
      <c r="K4" s="235">
        <f>I4*$C$4</f>
        <v>2854143.5293124993</v>
      </c>
      <c r="M4" s="235">
        <f>K4*$C$4</f>
        <v>2925497.1175453113</v>
      </c>
      <c r="O4" s="235">
        <f>M4*$C$4</f>
        <v>2998634.545483944</v>
      </c>
      <c r="Q4" s="235">
        <f>O4*$C$4</f>
        <v>3073600.4091210421</v>
      </c>
      <c r="S4" s="235">
        <f>Q4*$C$4</f>
        <v>3150440.4193490678</v>
      </c>
      <c r="U4" s="235">
        <f>S4*$C$4</f>
        <v>3229201.4298327942</v>
      </c>
      <c r="W4" s="235">
        <f>U4*$C$4</f>
        <v>3309931.4655786138</v>
      </c>
      <c r="Y4" s="235">
        <f>W4*$C$4</f>
        <v>3392679.7522180788</v>
      </c>
      <c r="AA4" s="235">
        <f>Y4*$C$4</f>
        <v>3477496.7460235306</v>
      </c>
      <c r="AC4" s="235">
        <f>AA4*$C$4</f>
        <v>3564434.1646741186</v>
      </c>
      <c r="AE4" s="235">
        <f>AC4*$C$4</f>
        <v>3653545.0187909715</v>
      </c>
      <c r="AG4" s="235">
        <f>AE4*$C$4</f>
        <v>3744883.6442607455</v>
      </c>
    </row>
    <row r="5" spans="1:34" s="225" customFormat="1" ht="14.25">
      <c r="B5" s="225" t="s">
        <v>849</v>
      </c>
      <c r="C5" s="254">
        <f>IF(Application!$D$211="Special Needs",0.1,0.05)</f>
        <v>0.05</v>
      </c>
      <c r="E5" s="237">
        <f>-E4*$C$5</f>
        <v>-132517.80000000002</v>
      </c>
      <c r="F5" s="237"/>
      <c r="G5" s="237">
        <f>-G4*$C$5</f>
        <v>-135830.745</v>
      </c>
      <c r="H5" s="237"/>
      <c r="I5" s="237">
        <f>-I4*$C$5</f>
        <v>-139226.51362499999</v>
      </c>
      <c r="J5" s="237"/>
      <c r="K5" s="237">
        <f>-K4*$C$5</f>
        <v>-142707.17646562497</v>
      </c>
      <c r="L5" s="237"/>
      <c r="M5" s="237">
        <f>-M4*$C$5</f>
        <v>-146274.85587726557</v>
      </c>
      <c r="N5" s="237"/>
      <c r="O5" s="237">
        <f>-O4*$C$5</f>
        <v>-149931.72727419721</v>
      </c>
      <c r="P5" s="237"/>
      <c r="Q5" s="237">
        <f>-Q4*$C$5</f>
        <v>-153680.02045605212</v>
      </c>
      <c r="R5" s="237"/>
      <c r="S5" s="237">
        <f>-S4*$C$5</f>
        <v>-157522.0209674534</v>
      </c>
      <c r="T5" s="237"/>
      <c r="U5" s="237">
        <f>-U4*$C$5</f>
        <v>-161460.07149163971</v>
      </c>
      <c r="V5" s="237"/>
      <c r="W5" s="237">
        <f>-W4*$C$5</f>
        <v>-165496.57327893071</v>
      </c>
      <c r="X5" s="237"/>
      <c r="Y5" s="237">
        <f>-Y4*$C$5</f>
        <v>-169633.98761090395</v>
      </c>
      <c r="Z5" s="237"/>
      <c r="AA5" s="237">
        <f>-AA4*$C$5</f>
        <v>-173874.83730117654</v>
      </c>
      <c r="AB5" s="237"/>
      <c r="AC5" s="237">
        <f>-AC4*$C$5</f>
        <v>-178221.70823370595</v>
      </c>
      <c r="AD5" s="237"/>
      <c r="AE5" s="237">
        <f>-AE4*$C$5</f>
        <v>-182677.2509395486</v>
      </c>
      <c r="AF5" s="237"/>
      <c r="AG5" s="237">
        <f>-AG4*$C$5</f>
        <v>-187244.18221303727</v>
      </c>
    </row>
    <row r="6" spans="1:34" s="225" customFormat="1" ht="14.25">
      <c r="A6" s="225" t="s">
        <v>847</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849</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18000</v>
      </c>
      <c r="F8" s="238"/>
      <c r="G8" s="238">
        <f>E8*$C$8</f>
        <v>18450</v>
      </c>
      <c r="H8" s="238"/>
      <c r="I8" s="238">
        <f>G8*$C$8</f>
        <v>18911.25</v>
      </c>
      <c r="J8" s="238"/>
      <c r="K8" s="238">
        <f>I8*$C$8</f>
        <v>19384.03125</v>
      </c>
      <c r="L8" s="238"/>
      <c r="M8" s="238">
        <f>K8*$C$8</f>
        <v>19868.632031249999</v>
      </c>
      <c r="N8" s="238"/>
      <c r="O8" s="238">
        <f>M8*$C$8</f>
        <v>20365.347832031246</v>
      </c>
      <c r="P8" s="238"/>
      <c r="Q8" s="238">
        <f>O8*$C$8</f>
        <v>20874.481527832024</v>
      </c>
      <c r="R8" s="238"/>
      <c r="S8" s="238">
        <f>Q8*$C$8</f>
        <v>21396.343566027823</v>
      </c>
      <c r="T8" s="238"/>
      <c r="U8" s="238">
        <f>S8*$C$8</f>
        <v>21931.252155178518</v>
      </c>
      <c r="V8" s="238"/>
      <c r="W8" s="238">
        <f>U8*$C$8</f>
        <v>22479.533459057977</v>
      </c>
      <c r="X8" s="238"/>
      <c r="Y8" s="238">
        <f>W8*$C$8</f>
        <v>23041.521795534423</v>
      </c>
      <c r="Z8" s="238"/>
      <c r="AA8" s="238">
        <f>Y8*$C$8</f>
        <v>23617.559840422782</v>
      </c>
      <c r="AB8" s="238"/>
      <c r="AC8" s="238">
        <f>AA8*$C$8</f>
        <v>24207.998836433351</v>
      </c>
      <c r="AD8" s="238"/>
      <c r="AE8" s="238">
        <f>AC8*$C$8</f>
        <v>24813.198807344183</v>
      </c>
      <c r="AF8" s="238"/>
      <c r="AG8" s="238">
        <f>AE8*$C$8</f>
        <v>25433.528777527787</v>
      </c>
    </row>
    <row r="9" spans="1:34" s="225" customFormat="1" ht="14.25">
      <c r="B9" s="225" t="s">
        <v>849</v>
      </c>
      <c r="C9" s="254">
        <f>IF(Application!$D$211="Special Needs",0.1,0.05)</f>
        <v>0.05</v>
      </c>
      <c r="E9" s="237">
        <f>-E8*$C$9</f>
        <v>-900</v>
      </c>
      <c r="F9" s="237"/>
      <c r="G9" s="237">
        <f>-G8*$C$9</f>
        <v>-922.5</v>
      </c>
      <c r="H9" s="237"/>
      <c r="I9" s="237">
        <f>-I8*$C$9</f>
        <v>-945.5625</v>
      </c>
      <c r="J9" s="237"/>
      <c r="K9" s="237">
        <f>-K8*$C$9</f>
        <v>-969.20156250000002</v>
      </c>
      <c r="L9" s="237"/>
      <c r="M9" s="237">
        <f>-M8*$C$9</f>
        <v>-993.43160156249996</v>
      </c>
      <c r="N9" s="237"/>
      <c r="O9" s="237">
        <f>-O8*$C$9</f>
        <v>-1018.2673916015624</v>
      </c>
      <c r="P9" s="237"/>
      <c r="Q9" s="237">
        <f>-Q8*$C$9</f>
        <v>-1043.7240763916013</v>
      </c>
      <c r="R9" s="237"/>
      <c r="S9" s="237">
        <f>-S8*$C$9</f>
        <v>-1069.8171783013911</v>
      </c>
      <c r="T9" s="237"/>
      <c r="U9" s="237">
        <f>-U8*$C$9</f>
        <v>-1096.5626077589259</v>
      </c>
      <c r="V9" s="237"/>
      <c r="W9" s="237">
        <f>-W8*$C$9</f>
        <v>-1123.976672952899</v>
      </c>
      <c r="X9" s="237"/>
      <c r="Y9" s="237">
        <f>-Y8*$C$9</f>
        <v>-1152.0760897767211</v>
      </c>
      <c r="Z9" s="237"/>
      <c r="AA9" s="237">
        <f>-AA8*$C$9</f>
        <v>-1180.8779920211391</v>
      </c>
      <c r="AB9" s="237"/>
      <c r="AC9" s="237">
        <f>-AC8*$C$9</f>
        <v>-1210.3999418216677</v>
      </c>
      <c r="AD9" s="237"/>
      <c r="AE9" s="237">
        <f>-AE8*$C$9</f>
        <v>-1240.6599403672092</v>
      </c>
      <c r="AF9" s="237"/>
      <c r="AG9" s="237">
        <f>-AG8*$C$9</f>
        <v>-1271.6764388763895</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2534938.2000000002</v>
      </c>
      <c r="G11" s="239">
        <f>SUM(G4:G10)</f>
        <v>2598311.6549999998</v>
      </c>
      <c r="I11" s="239">
        <f>SUM(I4:I10)</f>
        <v>2663269.4463749994</v>
      </c>
      <c r="K11" s="239">
        <f>SUM(K4:K10)</f>
        <v>2729851.1825343743</v>
      </c>
      <c r="M11" s="239">
        <f>SUM(M4:M10)</f>
        <v>2798097.4620977333</v>
      </c>
      <c r="O11" s="239">
        <f>SUM(O4:O10)</f>
        <v>2868049.8986501764</v>
      </c>
      <c r="Q11" s="239">
        <f>SUM(Q4:Q10)</f>
        <v>2939751.1461164304</v>
      </c>
      <c r="S11" s="239">
        <f>SUM(S4:S10)</f>
        <v>3013244.924769341</v>
      </c>
      <c r="U11" s="239">
        <f>SUM(U4:U10)</f>
        <v>3088576.0478885742</v>
      </c>
      <c r="W11" s="239">
        <f>SUM(W4:W10)</f>
        <v>3165790.4490857883</v>
      </c>
      <c r="Y11" s="239">
        <f>SUM(Y4:Y10)</f>
        <v>3244935.2103129327</v>
      </c>
      <c r="AA11" s="239">
        <f>SUM(AA4:AA10)</f>
        <v>3326058.5905707558</v>
      </c>
      <c r="AC11" s="239">
        <f>SUM(AC4:AC10)</f>
        <v>3409210.0553350244</v>
      </c>
      <c r="AE11" s="239">
        <f>SUM(AE4:AE10)</f>
        <v>3494440.3067184002</v>
      </c>
      <c r="AG11" s="239">
        <f>SUM(AG4:AG10)</f>
        <v>3581801.3143863594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26200</v>
      </c>
      <c r="G15" s="235">
        <f>E15*$C$14</f>
        <v>27116.999999999996</v>
      </c>
      <c r="I15" s="235">
        <f>G15*$C$14</f>
        <v>28066.094999999994</v>
      </c>
      <c r="K15" s="235">
        <f>I15*$C$14</f>
        <v>29048.408324999993</v>
      </c>
      <c r="M15" s="235">
        <f>K15*$C$14</f>
        <v>30065.102616374992</v>
      </c>
      <c r="O15" s="235">
        <f>M15*$C$14</f>
        <v>31117.381207948114</v>
      </c>
      <c r="Q15" s="235">
        <f>O15*$C$14</f>
        <v>32206.489550226295</v>
      </c>
      <c r="S15" s="235">
        <f>Q15*$C$14</f>
        <v>33333.716684484214</v>
      </c>
      <c r="U15" s="235">
        <f>S15*$C$14</f>
        <v>34500.396768441162</v>
      </c>
      <c r="W15" s="235">
        <f>U15*$C$14</f>
        <v>35707.9106553366</v>
      </c>
      <c r="Y15" s="235">
        <f>W15*$C$14</f>
        <v>36957.687528273382</v>
      </c>
      <c r="AA15" s="235">
        <f>Y15*$C$14</f>
        <v>38251.206591762944</v>
      </c>
      <c r="AC15" s="235">
        <f>AA15*$C$14</f>
        <v>39589.998822474641</v>
      </c>
      <c r="AE15" s="235">
        <f>AC15*$C$14</f>
        <v>40975.648781261254</v>
      </c>
      <c r="AG15" s="235">
        <f>AE15*$C$14</f>
        <v>42409.796488605396</v>
      </c>
    </row>
    <row r="16" spans="1:34" s="225" customFormat="1" ht="14.25">
      <c r="A16" s="225" t="s">
        <v>345</v>
      </c>
      <c r="C16" s="249"/>
      <c r="E16" s="238">
        <f>Application!W849</f>
        <v>100000</v>
      </c>
      <c r="F16" s="238"/>
      <c r="G16" s="238">
        <f t="shared" ref="G16:AG21" si="0">E16*$C$14</f>
        <v>103499.99999999999</v>
      </c>
      <c r="H16" s="238"/>
      <c r="I16" s="238">
        <f t="shared" si="0"/>
        <v>107122.49999999997</v>
      </c>
      <c r="J16" s="238"/>
      <c r="K16" s="238">
        <f t="shared" si="0"/>
        <v>110871.78749999996</v>
      </c>
      <c r="L16" s="238"/>
      <c r="M16" s="238">
        <f t="shared" si="0"/>
        <v>114752.30006249995</v>
      </c>
      <c r="N16" s="238"/>
      <c r="O16" s="238">
        <f t="shared" si="0"/>
        <v>118768.63056468744</v>
      </c>
      <c r="P16" s="238"/>
      <c r="Q16" s="238">
        <f t="shared" si="0"/>
        <v>122925.53263445149</v>
      </c>
      <c r="R16" s="238"/>
      <c r="S16" s="238">
        <f t="shared" si="0"/>
        <v>127227.92627665728</v>
      </c>
      <c r="T16" s="238"/>
      <c r="U16" s="238">
        <f t="shared" si="0"/>
        <v>131680.90369634028</v>
      </c>
      <c r="V16" s="238"/>
      <c r="W16" s="238">
        <f t="shared" si="0"/>
        <v>136289.73532571219</v>
      </c>
      <c r="X16" s="238"/>
      <c r="Y16" s="238">
        <f t="shared" si="0"/>
        <v>141059.8760621121</v>
      </c>
      <c r="Z16" s="238"/>
      <c r="AA16" s="238">
        <f t="shared" si="0"/>
        <v>145996.97172428601</v>
      </c>
      <c r="AB16" s="238"/>
      <c r="AC16" s="238">
        <f t="shared" si="0"/>
        <v>151106.865734636</v>
      </c>
      <c r="AD16" s="238"/>
      <c r="AE16" s="238">
        <f t="shared" si="0"/>
        <v>156395.60603534823</v>
      </c>
      <c r="AF16" s="238"/>
      <c r="AG16" s="238">
        <f t="shared" si="0"/>
        <v>161869.4522465854</v>
      </c>
    </row>
    <row r="17" spans="1:33" s="225" customFormat="1" ht="14.25">
      <c r="A17" s="225" t="s">
        <v>569</v>
      </c>
      <c r="C17" s="249"/>
      <c r="E17" s="238">
        <f>Application!W855</f>
        <v>244000</v>
      </c>
      <c r="F17" s="238"/>
      <c r="G17" s="238">
        <f t="shared" si="0"/>
        <v>252539.99999999997</v>
      </c>
      <c r="H17" s="238"/>
      <c r="I17" s="238">
        <f t="shared" si="0"/>
        <v>261378.89999999994</v>
      </c>
      <c r="J17" s="238"/>
      <c r="K17" s="238">
        <f t="shared" si="0"/>
        <v>270527.16149999993</v>
      </c>
      <c r="L17" s="238"/>
      <c r="M17" s="238">
        <f t="shared" si="0"/>
        <v>279995.6121524999</v>
      </c>
      <c r="N17" s="238"/>
      <c r="O17" s="238">
        <f t="shared" si="0"/>
        <v>289795.45857783739</v>
      </c>
      <c r="P17" s="238"/>
      <c r="Q17" s="238">
        <f t="shared" si="0"/>
        <v>299938.29962806165</v>
      </c>
      <c r="R17" s="238"/>
      <c r="S17" s="238">
        <f t="shared" si="0"/>
        <v>310436.14011504379</v>
      </c>
      <c r="T17" s="238"/>
      <c r="U17" s="238">
        <f t="shared" si="0"/>
        <v>321301.40501907031</v>
      </c>
      <c r="V17" s="238"/>
      <c r="W17" s="238">
        <f t="shared" si="0"/>
        <v>332546.95419473777</v>
      </c>
      <c r="X17" s="238"/>
      <c r="Y17" s="238">
        <f t="shared" si="0"/>
        <v>344186.09759155358</v>
      </c>
      <c r="Z17" s="238"/>
      <c r="AA17" s="238">
        <f t="shared" si="0"/>
        <v>356232.61100725795</v>
      </c>
      <c r="AB17" s="238"/>
      <c r="AC17" s="238">
        <f t="shared" si="0"/>
        <v>368700.75239251193</v>
      </c>
      <c r="AD17" s="238"/>
      <c r="AE17" s="238">
        <f t="shared" si="0"/>
        <v>381605.27872624982</v>
      </c>
      <c r="AF17" s="238"/>
      <c r="AG17" s="238">
        <f t="shared" si="0"/>
        <v>394961.46348166856</v>
      </c>
    </row>
    <row r="18" spans="1:33" s="225" customFormat="1" ht="14.25">
      <c r="A18" s="225" t="s">
        <v>853</v>
      </c>
      <c r="C18" s="249"/>
      <c r="E18" s="238">
        <f>Application!W862</f>
        <v>220000</v>
      </c>
      <c r="F18" s="238"/>
      <c r="G18" s="238">
        <f t="shared" si="0"/>
        <v>227699.99999999997</v>
      </c>
      <c r="H18" s="238"/>
      <c r="I18" s="238">
        <f t="shared" si="0"/>
        <v>235669.49999999994</v>
      </c>
      <c r="J18" s="238"/>
      <c r="K18" s="238">
        <f t="shared" si="0"/>
        <v>243917.93249999991</v>
      </c>
      <c r="L18" s="238"/>
      <c r="M18" s="238">
        <f t="shared" si="0"/>
        <v>252455.06013749988</v>
      </c>
      <c r="N18" s="238"/>
      <c r="O18" s="238">
        <f t="shared" si="0"/>
        <v>261290.98724231235</v>
      </c>
      <c r="P18" s="238"/>
      <c r="Q18" s="238">
        <f t="shared" si="0"/>
        <v>270436.17179579329</v>
      </c>
      <c r="R18" s="238"/>
      <c r="S18" s="238">
        <f t="shared" si="0"/>
        <v>279901.43780864601</v>
      </c>
      <c r="T18" s="238"/>
      <c r="U18" s="238">
        <f t="shared" si="0"/>
        <v>289697.98813194857</v>
      </c>
      <c r="V18" s="238"/>
      <c r="W18" s="238">
        <f t="shared" si="0"/>
        <v>299837.41771656676</v>
      </c>
      <c r="X18" s="238"/>
      <c r="Y18" s="238">
        <f t="shared" si="0"/>
        <v>310331.72733664658</v>
      </c>
      <c r="Z18" s="238"/>
      <c r="AA18" s="238">
        <f t="shared" si="0"/>
        <v>321193.33779342921</v>
      </c>
      <c r="AB18" s="238"/>
      <c r="AC18" s="238">
        <f t="shared" si="0"/>
        <v>332435.10461619921</v>
      </c>
      <c r="AD18" s="238"/>
      <c r="AE18" s="238">
        <f t="shared" si="0"/>
        <v>344070.33327776619</v>
      </c>
      <c r="AF18" s="238"/>
      <c r="AG18" s="238">
        <f t="shared" si="0"/>
        <v>356112.79494248796</v>
      </c>
    </row>
    <row r="19" spans="1:33" s="225" customFormat="1" ht="14.25">
      <c r="A19" s="225" t="s">
        <v>155</v>
      </c>
      <c r="C19" s="249"/>
      <c r="E19" s="238">
        <f>Application!W863</f>
        <v>50000</v>
      </c>
      <c r="F19" s="238"/>
      <c r="G19" s="238">
        <f t="shared" si="0"/>
        <v>51749.999999999993</v>
      </c>
      <c r="H19" s="238"/>
      <c r="I19" s="238">
        <f t="shared" si="0"/>
        <v>53561.249999999985</v>
      </c>
      <c r="J19" s="238"/>
      <c r="K19" s="238">
        <f t="shared" si="0"/>
        <v>55435.893749999981</v>
      </c>
      <c r="L19" s="238"/>
      <c r="M19" s="238">
        <f t="shared" si="0"/>
        <v>57376.150031249977</v>
      </c>
      <c r="N19" s="238"/>
      <c r="O19" s="238">
        <f t="shared" si="0"/>
        <v>59384.315282343719</v>
      </c>
      <c r="P19" s="238"/>
      <c r="Q19" s="238">
        <f t="shared" si="0"/>
        <v>61462.766317225745</v>
      </c>
      <c r="R19" s="238"/>
      <c r="S19" s="238">
        <f t="shared" si="0"/>
        <v>63613.96313832864</v>
      </c>
      <c r="T19" s="238"/>
      <c r="U19" s="238">
        <f t="shared" si="0"/>
        <v>65840.451848170138</v>
      </c>
      <c r="V19" s="238"/>
      <c r="W19" s="238">
        <f t="shared" si="0"/>
        <v>68144.867662856093</v>
      </c>
      <c r="X19" s="238"/>
      <c r="Y19" s="238">
        <f t="shared" si="0"/>
        <v>70529.938031056052</v>
      </c>
      <c r="Z19" s="238"/>
      <c r="AA19" s="238">
        <f t="shared" si="0"/>
        <v>72998.485862143003</v>
      </c>
      <c r="AB19" s="238"/>
      <c r="AC19" s="238">
        <f t="shared" si="0"/>
        <v>75553.432867317999</v>
      </c>
      <c r="AD19" s="238"/>
      <c r="AE19" s="238">
        <f t="shared" si="0"/>
        <v>78197.803017674116</v>
      </c>
      <c r="AF19" s="238"/>
      <c r="AG19" s="238">
        <f t="shared" si="0"/>
        <v>80934.726123292698</v>
      </c>
    </row>
    <row r="20" spans="1:33" s="225" customFormat="1" ht="14.25">
      <c r="A20" s="225" t="s">
        <v>391</v>
      </c>
      <c r="C20" s="249"/>
      <c r="E20" s="238">
        <f>Application!W872</f>
        <v>199000</v>
      </c>
      <c r="F20" s="238"/>
      <c r="G20" s="238">
        <f t="shared" si="0"/>
        <v>205964.99999999997</v>
      </c>
      <c r="H20" s="238"/>
      <c r="I20" s="238">
        <f t="shared" si="0"/>
        <v>213173.77499999997</v>
      </c>
      <c r="J20" s="238"/>
      <c r="K20" s="238">
        <f t="shared" si="0"/>
        <v>220634.85712499995</v>
      </c>
      <c r="L20" s="238"/>
      <c r="M20" s="238">
        <f t="shared" si="0"/>
        <v>228357.07712437492</v>
      </c>
      <c r="N20" s="238"/>
      <c r="O20" s="238">
        <f t="shared" si="0"/>
        <v>236349.57482372803</v>
      </c>
      <c r="P20" s="238"/>
      <c r="Q20" s="238">
        <f t="shared" si="0"/>
        <v>244621.8099425585</v>
      </c>
      <c r="R20" s="238"/>
      <c r="S20" s="238">
        <f t="shared" si="0"/>
        <v>253183.57329054803</v>
      </c>
      <c r="T20" s="238"/>
      <c r="U20" s="238">
        <f t="shared" si="0"/>
        <v>262044.99835571719</v>
      </c>
      <c r="V20" s="238"/>
      <c r="W20" s="238">
        <f t="shared" si="0"/>
        <v>271216.57329816726</v>
      </c>
      <c r="X20" s="238"/>
      <c r="Y20" s="238">
        <f t="shared" si="0"/>
        <v>280709.15336360311</v>
      </c>
      <c r="Z20" s="238"/>
      <c r="AA20" s="238">
        <f t="shared" si="0"/>
        <v>290533.9737313292</v>
      </c>
      <c r="AB20" s="238"/>
      <c r="AC20" s="238">
        <f t="shared" si="0"/>
        <v>300702.66281192569</v>
      </c>
      <c r="AD20" s="238"/>
      <c r="AE20" s="238">
        <f t="shared" si="0"/>
        <v>311227.25601034309</v>
      </c>
      <c r="AF20" s="238"/>
      <c r="AG20" s="238">
        <f t="shared" si="0"/>
        <v>322120.20997070509</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839200</v>
      </c>
      <c r="G22" s="239">
        <f>SUM(G15:G21)</f>
        <v>868571.99999999988</v>
      </c>
      <c r="I22" s="239">
        <f>SUM(I15:I21)</f>
        <v>898972.01999999979</v>
      </c>
      <c r="K22" s="239">
        <f>SUM(K15:K21)</f>
        <v>930436.04069999966</v>
      </c>
      <c r="M22" s="239">
        <f>SUM(M15:M21)</f>
        <v>963001.30212449958</v>
      </c>
      <c r="O22" s="239">
        <f>SUM(O15:O21)</f>
        <v>996706.34769885719</v>
      </c>
      <c r="Q22" s="239">
        <f>SUM(Q15:Q21)</f>
        <v>1031591.069868317</v>
      </c>
      <c r="S22" s="239">
        <f>SUM(S15:S21)</f>
        <v>1067696.7573137078</v>
      </c>
      <c r="U22" s="239">
        <f>SUM(U15:U21)</f>
        <v>1105066.1438196877</v>
      </c>
      <c r="W22" s="239">
        <f>SUM(W15:W21)</f>
        <v>1143743.4588533766</v>
      </c>
      <c r="Y22" s="239">
        <f>SUM(Y15:Y21)</f>
        <v>1183774.4799132447</v>
      </c>
      <c r="AA22" s="239">
        <f>SUM(AA15:AA21)</f>
        <v>1225206.5867102081</v>
      </c>
      <c r="AC22" s="239">
        <f>SUM(AC15:AC21)</f>
        <v>1268088.8172450655</v>
      </c>
      <c r="AE22" s="239">
        <f>SUM(AE15:AE21)</f>
        <v>1312471.9258486428</v>
      </c>
      <c r="AG22" s="239">
        <f>SUM(AG15:AG21)</f>
        <v>1358408.4432533451</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26500</v>
      </c>
      <c r="F27" s="238"/>
      <c r="G27" s="238">
        <f>E27*$C$27</f>
        <v>27427.499999999996</v>
      </c>
      <c r="H27" s="238"/>
      <c r="I27" s="238">
        <f>G27*$C$27</f>
        <v>28387.462499999994</v>
      </c>
      <c r="J27" s="238"/>
      <c r="K27" s="238">
        <f>I27*$C$27</f>
        <v>29381.02368749999</v>
      </c>
      <c r="L27" s="238"/>
      <c r="M27" s="238">
        <f>K27*$C$27</f>
        <v>30409.359516562487</v>
      </c>
      <c r="N27" s="238"/>
      <c r="O27" s="238">
        <f>M27*$C$27</f>
        <v>31473.687099642171</v>
      </c>
      <c r="P27" s="238"/>
      <c r="Q27" s="238">
        <f>O27*$C$27</f>
        <v>32575.266148129645</v>
      </c>
      <c r="R27" s="238"/>
      <c r="S27" s="238">
        <f>Q27*$C$27</f>
        <v>33715.400463314181</v>
      </c>
      <c r="T27" s="238"/>
      <c r="U27" s="238">
        <f>S27*$C$27</f>
        <v>34895.439479530178</v>
      </c>
      <c r="V27" s="238"/>
      <c r="W27" s="238">
        <f>U27*$C$27</f>
        <v>36116.779861313735</v>
      </c>
      <c r="X27" s="238"/>
      <c r="Y27" s="238">
        <f>W27*$C$27</f>
        <v>37380.86715645971</v>
      </c>
      <c r="Z27" s="238"/>
      <c r="AA27" s="238">
        <f>Y27*$C$27</f>
        <v>38689.197506935794</v>
      </c>
      <c r="AB27" s="238"/>
      <c r="AC27" s="238">
        <f>AA27*$C$27</f>
        <v>40043.319419678541</v>
      </c>
      <c r="AD27" s="238"/>
      <c r="AE27" s="238">
        <f>AC27*$C$27</f>
        <v>41444.835599367289</v>
      </c>
      <c r="AF27" s="238"/>
      <c r="AG27" s="238">
        <f>AE27*$C$27</f>
        <v>42895.40484534514</v>
      </c>
    </row>
    <row r="28" spans="1:33" s="225" customFormat="1" ht="14.25">
      <c r="A28" s="225" t="s">
        <v>857</v>
      </c>
      <c r="C28" s="253"/>
      <c r="E28" s="238">
        <f>Application!AC889</f>
        <v>59100</v>
      </c>
      <c r="F28" s="238"/>
      <c r="G28" s="238">
        <f>$E$28</f>
        <v>59100</v>
      </c>
      <c r="H28" s="238"/>
      <c r="I28" s="238">
        <f>$E$28</f>
        <v>59100</v>
      </c>
      <c r="J28" s="238"/>
      <c r="K28" s="238">
        <f>$E$28</f>
        <v>59100</v>
      </c>
      <c r="L28" s="238"/>
      <c r="M28" s="238">
        <f>$E$28</f>
        <v>59100</v>
      </c>
      <c r="N28" s="238"/>
      <c r="O28" s="238">
        <f>$E$28</f>
        <v>59100</v>
      </c>
      <c r="P28" s="238"/>
      <c r="Q28" s="238">
        <f>$E$28</f>
        <v>59100</v>
      </c>
      <c r="R28" s="238"/>
      <c r="S28" s="238">
        <f>$E$28</f>
        <v>59100</v>
      </c>
      <c r="T28" s="238"/>
      <c r="U28" s="238">
        <f>$E$28</f>
        <v>59100</v>
      </c>
      <c r="V28" s="238"/>
      <c r="W28" s="238">
        <f>$E$28</f>
        <v>59100</v>
      </c>
      <c r="X28" s="238"/>
      <c r="Y28" s="238">
        <f>$E$28</f>
        <v>59100</v>
      </c>
      <c r="Z28" s="238"/>
      <c r="AA28" s="238">
        <f>$E$28</f>
        <v>59100</v>
      </c>
      <c r="AB28" s="238"/>
      <c r="AC28" s="238">
        <f>$E$28</f>
        <v>59100</v>
      </c>
      <c r="AD28" s="238"/>
      <c r="AE28" s="238">
        <f>$E$28</f>
        <v>59100</v>
      </c>
      <c r="AF28" s="238"/>
      <c r="AG28" s="238">
        <f>$E$28</f>
        <v>59100</v>
      </c>
    </row>
    <row r="29" spans="1:33" s="225" customFormat="1" ht="14.25">
      <c r="A29" s="225" t="s">
        <v>1867</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855</v>
      </c>
      <c r="C30" s="253">
        <v>1.02</v>
      </c>
      <c r="E30" s="238">
        <f>Application!AC891</f>
        <v>7000</v>
      </c>
      <c r="F30" s="238"/>
      <c r="G30" s="238">
        <f>E30*$C$30</f>
        <v>7140</v>
      </c>
      <c r="H30" s="238"/>
      <c r="I30" s="238">
        <f>G30*$C$30</f>
        <v>7282.8</v>
      </c>
      <c r="J30" s="238"/>
      <c r="K30" s="238">
        <f>I30*$C$30</f>
        <v>7428.4560000000001</v>
      </c>
      <c r="L30" s="238"/>
      <c r="M30" s="238">
        <f>K30*$C$30</f>
        <v>7577.0251200000002</v>
      </c>
      <c r="N30" s="238"/>
      <c r="O30" s="238">
        <f>M30*$C$30</f>
        <v>7728.5656224000004</v>
      </c>
      <c r="P30" s="238"/>
      <c r="Q30" s="238">
        <f>O30*$C$30</f>
        <v>7883.1369348480002</v>
      </c>
      <c r="R30" s="238"/>
      <c r="S30" s="238">
        <f>Q30*$C$30</f>
        <v>8040.7996735449606</v>
      </c>
      <c r="T30" s="238"/>
      <c r="U30" s="238">
        <f>S30*$C$30</f>
        <v>8201.6156670158598</v>
      </c>
      <c r="V30" s="238"/>
      <c r="W30" s="238">
        <f>U30*$C$30</f>
        <v>8365.6479803561779</v>
      </c>
      <c r="X30" s="238"/>
      <c r="Y30" s="238">
        <f>W30*$C$30</f>
        <v>8532.9609399633009</v>
      </c>
      <c r="Z30" s="238"/>
      <c r="AA30" s="238">
        <f>Y30*$C$30</f>
        <v>8703.6201587625674</v>
      </c>
      <c r="AB30" s="238"/>
      <c r="AC30" s="238">
        <f>AA30*$C$30</f>
        <v>8877.692561937818</v>
      </c>
      <c r="AD30" s="238"/>
      <c r="AE30" s="238">
        <f>AC30*$C$30</f>
        <v>9055.2464131765737</v>
      </c>
      <c r="AF30" s="238"/>
      <c r="AG30" s="238">
        <f>AE30*$C$30</f>
        <v>9236.3513414401059</v>
      </c>
    </row>
    <row r="31" spans="1:33" s="225" customFormat="1" ht="14.25">
      <c r="A31" s="225" t="s">
        <v>1868</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931800</v>
      </c>
      <c r="G35" s="239">
        <f>SUM(G22:G33)</f>
        <v>962239.49999999988</v>
      </c>
      <c r="I35" s="239">
        <f>SUM(I22:I33)</f>
        <v>993742.28249999986</v>
      </c>
      <c r="K35" s="239">
        <f>SUM(K22:K33)</f>
        <v>1026345.5203874997</v>
      </c>
      <c r="M35" s="239">
        <f>SUM(M22:M33)</f>
        <v>1060087.6867610619</v>
      </c>
      <c r="O35" s="239">
        <f>SUM(O22:O33)</f>
        <v>1095008.6004208992</v>
      </c>
      <c r="Q35" s="239">
        <f>SUM(Q22:Q33)</f>
        <v>1131149.4729512946</v>
      </c>
      <c r="S35" s="239">
        <f>SUM(S22:S33)</f>
        <v>1168552.957450567</v>
      </c>
      <c r="U35" s="239">
        <f>SUM(U22:U33)</f>
        <v>1207263.1989662335</v>
      </c>
      <c r="W35" s="239">
        <f>SUM(W22:W33)</f>
        <v>1247325.8866950464</v>
      </c>
      <c r="Y35" s="239">
        <f>SUM(Y22:Y33)</f>
        <v>1288788.3080096678</v>
      </c>
      <c r="AA35" s="239">
        <f>SUM(AA22:AA33)</f>
        <v>1331699.4043759066</v>
      </c>
      <c r="AC35" s="239">
        <f>SUM(AC22:AC33)</f>
        <v>1376109.8292266817</v>
      </c>
      <c r="AE35" s="239">
        <f>SUM(AE22:AE33)</f>
        <v>1422072.0078611868</v>
      </c>
      <c r="AG35" s="239">
        <f>SUM(AG22:AG33)</f>
        <v>1469640.1994401303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1603138.2000000002</v>
      </c>
      <c r="G37" s="239">
        <f>G11-G35</f>
        <v>1636072.1549999998</v>
      </c>
      <c r="I37" s="239">
        <f>I11-I35</f>
        <v>1669527.1638749996</v>
      </c>
      <c r="K37" s="239">
        <f>K11-K35</f>
        <v>1703505.6621468747</v>
      </c>
      <c r="M37" s="239">
        <f>M11-M35</f>
        <v>1738009.7753366714</v>
      </c>
      <c r="O37" s="239">
        <f>O11-O35</f>
        <v>1773041.2982292771</v>
      </c>
      <c r="Q37" s="239">
        <f>Q11-Q35</f>
        <v>1808601.6731651358</v>
      </c>
      <c r="S37" s="239">
        <f>S11-S35</f>
        <v>1844691.967318774</v>
      </c>
      <c r="U37" s="239">
        <f>U11-U35</f>
        <v>1881312.8489223407</v>
      </c>
      <c r="W37" s="239">
        <f>W11-W35</f>
        <v>1918464.5623907419</v>
      </c>
      <c r="Y37" s="239">
        <f>Y11-Y35</f>
        <v>1956146.9023032649</v>
      </c>
      <c r="AA37" s="239">
        <f>AA11-AA35</f>
        <v>1994359.1861948492</v>
      </c>
      <c r="AC37" s="239">
        <f>AC11-AC35</f>
        <v>2033100.2261083426</v>
      </c>
      <c r="AE37" s="239">
        <f>AE11-AE35</f>
        <v>2072368.2988572135</v>
      </c>
      <c r="AG37" s="239">
        <f>AG11-AG35</f>
        <v>2112161.1149462294</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CSCDA (Freddie Mac)</v>
      </c>
      <c r="B40" s="242"/>
      <c r="C40" s="236"/>
      <c r="E40" s="238">
        <f>Application!AF627</f>
        <v>1447806.472402211</v>
      </c>
      <c r="F40" s="238"/>
      <c r="G40" s="238">
        <f>$E$40</f>
        <v>1447806.472402211</v>
      </c>
      <c r="H40" s="238"/>
      <c r="I40" s="238">
        <f>$E$40</f>
        <v>1447806.472402211</v>
      </c>
      <c r="J40" s="238"/>
      <c r="K40" s="238">
        <f>$E$40</f>
        <v>1447806.472402211</v>
      </c>
      <c r="L40" s="238"/>
      <c r="M40" s="238">
        <f>$E$40</f>
        <v>1447806.472402211</v>
      </c>
      <c r="N40" s="238"/>
      <c r="O40" s="238">
        <f>$E$40</f>
        <v>1447806.472402211</v>
      </c>
      <c r="P40" s="238"/>
      <c r="Q40" s="238">
        <f>$E$40</f>
        <v>1447806.472402211</v>
      </c>
      <c r="R40" s="238"/>
      <c r="S40" s="238">
        <f>$E$40</f>
        <v>1447806.472402211</v>
      </c>
      <c r="T40" s="238"/>
      <c r="U40" s="238">
        <f>$E$40</f>
        <v>1447806.472402211</v>
      </c>
      <c r="V40" s="238"/>
      <c r="W40" s="238">
        <f>$E$40</f>
        <v>1447806.472402211</v>
      </c>
      <c r="X40" s="238"/>
      <c r="Y40" s="238">
        <f>$E$40</f>
        <v>1447806.472402211</v>
      </c>
      <c r="Z40" s="238"/>
      <c r="AA40" s="238">
        <f>$E$40</f>
        <v>1447806.472402211</v>
      </c>
      <c r="AB40" s="238"/>
      <c r="AC40" s="238">
        <f>$E$40</f>
        <v>1447806.472402211</v>
      </c>
      <c r="AD40" s="238"/>
      <c r="AE40" s="238">
        <f>$E$40</f>
        <v>1447806.472402211</v>
      </c>
      <c r="AF40" s="238"/>
      <c r="AG40" s="238">
        <f>$E$40</f>
        <v>1447806.472402211</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1447806.472402211</v>
      </c>
      <c r="G43" s="239">
        <f>SUM(G40:G42)</f>
        <v>1447806.472402211</v>
      </c>
      <c r="I43" s="239">
        <f>SUM(I40:I42)</f>
        <v>1447806.472402211</v>
      </c>
      <c r="K43" s="239">
        <f>SUM(K40:K42)</f>
        <v>1447806.472402211</v>
      </c>
      <c r="M43" s="239">
        <f>SUM(M40:M42)</f>
        <v>1447806.472402211</v>
      </c>
      <c r="O43" s="239">
        <f>SUM(O40:O42)</f>
        <v>1447806.472402211</v>
      </c>
      <c r="Q43" s="239">
        <f>SUM(Q40:Q42)</f>
        <v>1447806.472402211</v>
      </c>
      <c r="S43" s="239">
        <f>SUM(S40:S42)</f>
        <v>1447806.472402211</v>
      </c>
      <c r="U43" s="239">
        <f>SUM(U40:U42)</f>
        <v>1447806.472402211</v>
      </c>
      <c r="W43" s="239">
        <f>SUM(W40:W42)</f>
        <v>1447806.472402211</v>
      </c>
      <c r="Y43" s="239">
        <f>SUM(Y40:Y42)</f>
        <v>1447806.472402211</v>
      </c>
      <c r="AA43" s="239">
        <f>SUM(AA40:AA42)</f>
        <v>1447806.472402211</v>
      </c>
      <c r="AC43" s="239">
        <f>SUM(AC40:AC42)</f>
        <v>1447806.472402211</v>
      </c>
      <c r="AE43" s="239">
        <f>SUM(AE40:AE42)</f>
        <v>1447806.472402211</v>
      </c>
      <c r="AG43" s="239">
        <f>SUM(AG40:AG42)</f>
        <v>1447806.472402211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155331.72759778914</v>
      </c>
      <c r="G45" s="239">
        <f>G37-G43</f>
        <v>188265.68259778875</v>
      </c>
      <c r="I45" s="239">
        <f>I37-I43</f>
        <v>221720.69147278857</v>
      </c>
      <c r="K45" s="239">
        <f>K37-K43</f>
        <v>255699.18974466366</v>
      </c>
      <c r="M45" s="239">
        <f>M37-M43</f>
        <v>290203.30293446034</v>
      </c>
      <c r="O45" s="239">
        <f>O37-O43</f>
        <v>325234.82582706609</v>
      </c>
      <c r="Q45" s="239">
        <f>Q37-Q43</f>
        <v>360795.20076292474</v>
      </c>
      <c r="S45" s="239">
        <f>S37-S43</f>
        <v>396885.49491656292</v>
      </c>
      <c r="U45" s="239">
        <f>U37-U43</f>
        <v>433506.37652012962</v>
      </c>
      <c r="W45" s="239">
        <f>W37-W43</f>
        <v>470658.08998853085</v>
      </c>
      <c r="Y45" s="239">
        <f>Y37-Y43</f>
        <v>508340.4299010539</v>
      </c>
      <c r="AA45" s="239">
        <f>AA37-AA43</f>
        <v>546552.71379263815</v>
      </c>
      <c r="AC45" s="239">
        <f>AC37-AC43</f>
        <v>585293.7537061316</v>
      </c>
      <c r="AE45" s="239">
        <f>AE37-AE43</f>
        <v>624561.82645500242</v>
      </c>
      <c r="AG45" s="239">
        <f>AG37-AG43</f>
        <v>664354.64254401834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5.821252021761307E-2</v>
      </c>
      <c r="G47" s="243">
        <f>G45/(G4+G6+G8)</f>
        <v>6.8834082364110899E-2</v>
      </c>
      <c r="I47" s="243">
        <f>I45/(I4+I6+I8)</f>
        <v>7.908875205467697E-2</v>
      </c>
      <c r="K47" s="243">
        <f>K45/(K4+K6+K8)</f>
        <v>8.8984422232097876E-2</v>
      </c>
      <c r="M47" s="243">
        <f>M45/(M4+M6+M8)</f>
        <v>9.8528783047124535E-2</v>
      </c>
      <c r="O47" s="243">
        <f>O45/(O4+O6+O8)</f>
        <v>0.10772932670422798</v>
      </c>
      <c r="Q47" s="243">
        <f>Q45/(Q4+Q6+Q8)</f>
        <v>0.11659335218818671</v>
      </c>
      <c r="S47" s="243">
        <f>S45/(S4+S6+S8)</f>
        <v>0.12512796987440264</v>
      </c>
      <c r="U47" s="243">
        <f>U45/(U4+U6+U8)</f>
        <v>0.13334010602577226</v>
      </c>
      <c r="W47" s="243">
        <f>W45/(W4+W6+W8)</f>
        <v>0.1412365071788704</v>
      </c>
      <c r="Y47" s="243">
        <f>Y45/(Y4+Y6+Y8)</f>
        <v>0.14882374442213575</v>
      </c>
      <c r="AA47" s="243">
        <f>AA45/(AA4+AA6+AA8)</f>
        <v>0.15610821756868287</v>
      </c>
      <c r="AC47" s="243">
        <f>AC45/(AC4+AC6+AC8)</f>
        <v>0.16309615922630025</v>
      </c>
      <c r="AE47" s="243">
        <f>AE45/(AE4+AE6+AE8)</f>
        <v>0.16979363876713266</v>
      </c>
      <c r="AG47" s="243">
        <f>AG45/(AG4+AG6+AG8)</f>
        <v>0.17620656619948361</v>
      </c>
    </row>
    <row r="48" spans="1:33" s="243" customFormat="1" ht="14.25">
      <c r="A48" s="243" t="s">
        <v>863</v>
      </c>
      <c r="C48" s="236"/>
      <c r="E48" s="243">
        <f>E45/E43</f>
        <v>0.10728763170954859</v>
      </c>
      <c r="G48" s="243">
        <f>G45/G43</f>
        <v>0.13003511600926673</v>
      </c>
      <c r="I48" s="243">
        <f>I45/I43</f>
        <v>0.15314249224546425</v>
      </c>
      <c r="K48" s="243">
        <f>K45/K43</f>
        <v>0.17661144263321721</v>
      </c>
      <c r="M48" s="243">
        <f>M45/M43</f>
        <v>0.20044343527001429</v>
      </c>
      <c r="O48" s="243">
        <f>O45/O43</f>
        <v>0.22463970981386353</v>
      </c>
      <c r="Q48" s="243">
        <f>Q45/Q43</f>
        <v>0.24920126248937866</v>
      </c>
      <c r="S48" s="243">
        <f>S45/S43</f>
        <v>0.2741288303940565</v>
      </c>
      <c r="U48" s="243">
        <f>U45/U43</f>
        <v>0.2994228750758744</v>
      </c>
      <c r="W48" s="243">
        <f>W45/W43</f>
        <v>0.32508356535221972</v>
      </c>
      <c r="Y48" s="243">
        <f>Y45/Y43</f>
        <v>0.35111075933899627</v>
      </c>
      <c r="AA48" s="243">
        <f>AA45/AA43</f>
        <v>0.377503985657554</v>
      </c>
      <c r="AC48" s="243">
        <f>AC45/AC43</f>
        <v>0.40426242378583094</v>
      </c>
      <c r="AE48" s="243">
        <f>AE45/AE43</f>
        <v>0.43138488351880683</v>
      </c>
      <c r="AG48" s="243">
        <f>AG45/AG43</f>
        <v>0.45886978350201479</v>
      </c>
    </row>
    <row r="49" spans="1:35" s="244" customFormat="1" ht="14.25">
      <c r="A49" s="244" t="s">
        <v>861</v>
      </c>
      <c r="C49" s="245"/>
      <c r="E49" s="244">
        <f>E37/E43</f>
        <v>1.1072876317095486</v>
      </c>
      <c r="G49" s="244">
        <f>G37/G43</f>
        <v>1.1300351160092668</v>
      </c>
      <c r="I49" s="244">
        <f>I37/I43</f>
        <v>1.1531424922454643</v>
      </c>
      <c r="K49" s="244">
        <f>K37/K43</f>
        <v>1.1766114426332173</v>
      </c>
      <c r="M49" s="244">
        <f>M37/M43</f>
        <v>1.2004434352700144</v>
      </c>
      <c r="O49" s="244">
        <f>O37/O43</f>
        <v>1.2246397098138635</v>
      </c>
      <c r="Q49" s="244">
        <f>Q37/Q43</f>
        <v>1.2492012624893787</v>
      </c>
      <c r="S49" s="244">
        <f>S37/S43</f>
        <v>1.2741288303940566</v>
      </c>
      <c r="U49" s="244">
        <f>U37/U43</f>
        <v>1.2994228750758743</v>
      </c>
      <c r="W49" s="244">
        <f>W37/W43</f>
        <v>1.3250835653522197</v>
      </c>
      <c r="Y49" s="244">
        <f>Y37/Y43</f>
        <v>1.3511107593389964</v>
      </c>
      <c r="AA49" s="244">
        <f>AA37/AA43</f>
        <v>1.3775039856575539</v>
      </c>
      <c r="AC49" s="244">
        <f>AC37/AC43</f>
        <v>1.404262423785831</v>
      </c>
      <c r="AE49" s="244">
        <f>AE37/AE43</f>
        <v>1.4313848835188068</v>
      </c>
      <c r="AG49" s="244">
        <f>AG37/AG43</f>
        <v>1.4588697835020148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1290</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867</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155331.72759778914</v>
      </c>
      <c r="G60" s="997">
        <f>G45-G58</f>
        <v>188265.68259778875</v>
      </c>
      <c r="I60" s="997">
        <f>I45-I58</f>
        <v>221720.69147278857</v>
      </c>
      <c r="K60" s="997">
        <f>K45-K58</f>
        <v>255699.18974466366</v>
      </c>
      <c r="M60" s="997">
        <f>M45-M58</f>
        <v>290203.30293446034</v>
      </c>
      <c r="O60" s="997">
        <f>O45-O58</f>
        <v>325234.82582706609</v>
      </c>
      <c r="Q60" s="997">
        <f>Q45-Q58</f>
        <v>360795.20076292474</v>
      </c>
      <c r="S60" s="997">
        <f>S45-S58</f>
        <v>396885.49491656292</v>
      </c>
      <c r="U60" s="997">
        <f>U45-U58</f>
        <v>433506.37652012962</v>
      </c>
      <c r="W60" s="997">
        <f>W45-W58</f>
        <v>470658.08998853085</v>
      </c>
      <c r="Y60" s="997">
        <f>Y45-Y58</f>
        <v>508340.4299010539</v>
      </c>
      <c r="AA60" s="997">
        <f>AA45-AA58</f>
        <v>546552.71379263815</v>
      </c>
      <c r="AC60" s="997">
        <f>AC45-AC58</f>
        <v>585293.7537061316</v>
      </c>
      <c r="AE60" s="997">
        <f>AE45-AE58</f>
        <v>624561.82645500242</v>
      </c>
      <c r="AG60" s="997">
        <f>AG45-AG58</f>
        <v>664354.64254401834</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155331.72759778914</v>
      </c>
      <c r="G62" s="997">
        <f>G60*$C$62</f>
        <v>188265.68259778875</v>
      </c>
      <c r="I62" s="997">
        <f>I60*$C$62</f>
        <v>221720.69147278857</v>
      </c>
      <c r="K62" s="997">
        <f>K60*$C$62</f>
        <v>255699.18974466366</v>
      </c>
      <c r="M62" s="997">
        <f>M60*$C$62</f>
        <v>290203.30293446034</v>
      </c>
      <c r="O62" s="997">
        <f>O60*$C$62</f>
        <v>325234.82582706609</v>
      </c>
      <c r="Q62" s="997">
        <f>Q60*$C$62</f>
        <v>360795.20076292474</v>
      </c>
      <c r="S62" s="997">
        <f>S60*$C$62</f>
        <v>396885.49491656292</v>
      </c>
      <c r="U62" s="997">
        <f>U60*$C$62</f>
        <v>433506.37652012962</v>
      </c>
      <c r="W62" s="997">
        <f>W60*$C$62</f>
        <v>470658.08998853085</v>
      </c>
      <c r="Y62" s="997">
        <f>Y60*$C$62</f>
        <v>508340.4299010539</v>
      </c>
      <c r="AA62" s="997">
        <f>AA60*$C$62</f>
        <v>546552.71379263815</v>
      </c>
      <c r="AC62" s="997">
        <f>AC60*$C$62</f>
        <v>585293.7537061316</v>
      </c>
      <c r="AE62" s="997">
        <f>AE60*$C$62</f>
        <v>624561.82645500242</v>
      </c>
      <c r="AG62" s="997">
        <f>AG60*$C$62</f>
        <v>664354.64254401834</v>
      </c>
    </row>
    <row r="63" spans="1:35" s="997" customFormat="1">
      <c r="A63" s="2677" t="s">
        <v>1290</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1911</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5" t="s">
        <v>1909</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2889112</v>
      </c>
      <c r="C5" s="286">
        <f>'Sources and Uses Budget'!$C4</f>
        <v>2889112</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2889112</v>
      </c>
      <c r="C9" s="290">
        <f>SUM(C5:C8)</f>
        <v>2889112</v>
      </c>
      <c r="D9" s="290">
        <f t="shared" si="0"/>
        <v>0</v>
      </c>
      <c r="E9" s="288"/>
      <c r="F9" s="287"/>
      <c r="G9" s="383"/>
    </row>
    <row r="10" spans="1:7" s="380" customFormat="1">
      <c r="A10" s="395" t="s">
        <v>602</v>
      </c>
      <c r="B10" s="286">
        <f>'Sources and Uses Budget'!$C9</f>
        <v>34260888</v>
      </c>
      <c r="C10" s="286">
        <f>'Sources and Uses Budget'!$C9</f>
        <v>34260888</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34260888</v>
      </c>
      <c r="C12" s="290">
        <f>SUM(C10:C11)</f>
        <v>34260888</v>
      </c>
      <c r="D12" s="290">
        <f t="shared" si="0"/>
        <v>0</v>
      </c>
      <c r="E12" s="288"/>
      <c r="F12" s="287"/>
      <c r="G12" s="383"/>
    </row>
    <row r="13" spans="1:7" s="380" customFormat="1">
      <c r="A13" s="396" t="s">
        <v>84</v>
      </c>
      <c r="B13" s="290">
        <f>SUM(B9+B12)</f>
        <v>37150000</v>
      </c>
      <c r="C13" s="290">
        <f>SUM(C9+C12)</f>
        <v>37150000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6857190</v>
      </c>
      <c r="C19" s="286">
        <f>'Sources and Uses Budget'!$C18</f>
        <v>6857190</v>
      </c>
      <c r="D19" s="290">
        <f t="shared" si="0"/>
        <v>0</v>
      </c>
      <c r="E19" s="288"/>
      <c r="F19" s="287"/>
      <c r="G19" s="383"/>
    </row>
    <row r="20" spans="1:7" s="380" customFormat="1">
      <c r="A20" s="145" t="s">
        <v>608</v>
      </c>
      <c r="B20" s="286">
        <f>'Sources and Uses Budget'!$C19</f>
        <v>411431</v>
      </c>
      <c r="C20" s="286">
        <f>'Sources and Uses Budget'!$C19</f>
        <v>411431</v>
      </c>
      <c r="D20" s="290">
        <f t="shared" si="0"/>
        <v>0</v>
      </c>
      <c r="E20" s="288"/>
      <c r="F20" s="287"/>
      <c r="G20" s="383"/>
    </row>
    <row r="21" spans="1:7" s="380" customFormat="1">
      <c r="A21" s="145" t="s">
        <v>137</v>
      </c>
      <c r="B21" s="286">
        <f>'Sources and Uses Budget'!$C20</f>
        <v>137143</v>
      </c>
      <c r="C21" s="286">
        <f>'Sources and Uses Budget'!$C20</f>
        <v>137143</v>
      </c>
      <c r="D21" s="290">
        <f t="shared" si="0"/>
        <v>0</v>
      </c>
      <c r="E21" s="288"/>
      <c r="F21" s="287"/>
      <c r="G21" s="383"/>
    </row>
    <row r="22" spans="1:7" s="380" customFormat="1">
      <c r="A22" s="145" t="s">
        <v>138</v>
      </c>
      <c r="B22" s="286">
        <f>'Sources and Uses Budget'!$C21</f>
        <v>411431</v>
      </c>
      <c r="C22" s="286">
        <f>'Sources and Uses Budget'!$C21</f>
        <v>411431</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78858</v>
      </c>
      <c r="C24" s="286">
        <f>'Sources and Uses Budget'!$C23</f>
        <v>78858</v>
      </c>
      <c r="D24" s="290">
        <f t="shared" si="0"/>
        <v>0</v>
      </c>
      <c r="E24" s="288"/>
      <c r="F24" s="287"/>
      <c r="G24" s="383"/>
    </row>
    <row r="25" spans="1:7" s="380" customFormat="1">
      <c r="A25" s="542" t="s">
        <v>1751</v>
      </c>
      <c r="B25" s="286">
        <f>'Sources and Uses Budget'!$C24</f>
        <v>156000</v>
      </c>
      <c r="C25" s="286">
        <f>'Sources and Uses Budget'!$C24</f>
        <v>156000</v>
      </c>
      <c r="D25" s="290">
        <f t="shared" si="0"/>
        <v>0</v>
      </c>
      <c r="E25" s="288"/>
      <c r="F25" s="287"/>
      <c r="G25" s="383"/>
    </row>
    <row r="26" spans="1:7" s="380" customFormat="1" ht="24">
      <c r="A26" s="155" t="str">
        <f>'Sources and Uses Budget'!A25</f>
        <v>Other: Other Construction and Performance Bond</v>
      </c>
      <c r="B26" s="286">
        <f>'Sources and Uses Budget'!$C25</f>
        <v>92572</v>
      </c>
      <c r="C26" s="286">
        <f>'Sources and Uses Budget'!$C25</f>
        <v>92572</v>
      </c>
      <c r="D26" s="290">
        <f t="shared" si="0"/>
        <v>0</v>
      </c>
      <c r="E26" s="288"/>
      <c r="F26" s="287"/>
      <c r="G26" s="383"/>
    </row>
    <row r="27" spans="1:7" s="380" customFormat="1">
      <c r="A27" s="1053" t="s">
        <v>133</v>
      </c>
      <c r="B27" s="290">
        <f>SUM(B18:B26)</f>
        <v>8144625</v>
      </c>
      <c r="C27" s="290">
        <f>SUM(C18:C26)</f>
        <v>8144625</v>
      </c>
      <c r="D27" s="290">
        <f>SUM(D18:D26)</f>
        <v>0</v>
      </c>
      <c r="E27" s="288"/>
      <c r="F27" s="287"/>
      <c r="G27" s="383"/>
    </row>
    <row r="28" spans="1:7" s="380" customFormat="1">
      <c r="A28" s="291" t="s">
        <v>141</v>
      </c>
      <c r="B28" s="286">
        <f>'Sources and Uses Budget'!$C$27</f>
        <v>19700</v>
      </c>
      <c r="C28" s="286">
        <f>'Sources and Uses Budget'!$C$27</f>
        <v>19700</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175000</v>
      </c>
      <c r="C41" s="286">
        <f>'Sources and Uses Budget'!$C40</f>
        <v>175000</v>
      </c>
      <c r="D41" s="290">
        <f t="shared" si="0"/>
        <v>0</v>
      </c>
      <c r="E41" s="288"/>
      <c r="F41" s="287"/>
      <c r="G41" s="383"/>
    </row>
    <row r="42" spans="1:7" s="380" customFormat="1">
      <c r="A42" s="289" t="s">
        <v>146</v>
      </c>
      <c r="B42" s="286">
        <f>'Sources and Uses Budget'!$C41</f>
        <v>50000</v>
      </c>
      <c r="C42" s="286">
        <f>'Sources and Uses Budget'!$C41</f>
        <v>50000</v>
      </c>
      <c r="D42" s="290">
        <f t="shared" si="0"/>
        <v>0</v>
      </c>
      <c r="E42" s="288"/>
      <c r="F42" s="287"/>
      <c r="G42" s="383"/>
    </row>
    <row r="43" spans="1:7" s="380" customFormat="1">
      <c r="A43" s="291" t="s">
        <v>147</v>
      </c>
      <c r="B43" s="290">
        <f>SUM(B41:B42)</f>
        <v>225000</v>
      </c>
      <c r="C43" s="290">
        <f>SUM(C41:C42)</f>
        <v>225000</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1268275</v>
      </c>
      <c r="C46" s="286">
        <f>'Sources and Uses Budget'!$C45</f>
        <v>1268275</v>
      </c>
      <c r="D46" s="290">
        <f t="shared" si="0"/>
        <v>0</v>
      </c>
      <c r="E46" s="288"/>
      <c r="F46" s="287"/>
      <c r="G46" s="383"/>
    </row>
    <row r="47" spans="1:7" s="380" customFormat="1">
      <c r="A47" s="145" t="s">
        <v>151</v>
      </c>
      <c r="B47" s="286">
        <f>'Sources and Uses Budget'!$C46</f>
        <v>242500</v>
      </c>
      <c r="C47" s="286">
        <f>'Sources and Uses Budget'!$C46</f>
        <v>242500</v>
      </c>
      <c r="D47" s="290">
        <f t="shared" si="0"/>
        <v>0</v>
      </c>
      <c r="E47" s="288"/>
      <c r="F47" s="287"/>
      <c r="G47" s="383"/>
    </row>
    <row r="48" spans="1:7" s="380" customFormat="1" ht="12" customHeight="1">
      <c r="A48" s="198" t="s">
        <v>152</v>
      </c>
      <c r="B48" s="286">
        <f>'Sources and Uses Budget'!$C47</f>
        <v>4500</v>
      </c>
      <c r="C48" s="286">
        <f>'Sources and Uses Budget'!$C47</f>
        <v>4500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611000</v>
      </c>
      <c r="C50" s="286">
        <f>'Sources and Uses Budget'!$C49</f>
        <v>611000</v>
      </c>
      <c r="D50" s="290">
        <f t="shared" si="0"/>
        <v>0</v>
      </c>
      <c r="E50" s="288"/>
      <c r="F50" s="287"/>
      <c r="G50" s="383"/>
    </row>
    <row r="51" spans="1:7" s="380" customFormat="1">
      <c r="A51" s="145" t="s">
        <v>156</v>
      </c>
      <c r="B51" s="286">
        <f>'Sources and Uses Budget'!$C50</f>
        <v>0</v>
      </c>
      <c r="C51" s="286">
        <f>'Sources and Uses Budget'!$C50</f>
        <v>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2126275</v>
      </c>
      <c r="C55" s="293">
        <f>SUM(C46:C54)</f>
        <v>2126275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68678</v>
      </c>
      <c r="C58" s="286">
        <f>'Sources and Uses Budget'!$C57</f>
        <v>68678</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68678</v>
      </c>
      <c r="C63" s="290">
        <f>SUM(C57:C62)</f>
        <v>68678</v>
      </c>
      <c r="D63" s="290">
        <f t="shared" si="0"/>
        <v>0</v>
      </c>
      <c r="E63" s="288"/>
      <c r="F63" s="287"/>
      <c r="G63" s="383"/>
    </row>
    <row r="64" spans="1:7" s="380" customFormat="1">
      <c r="A64" s="294" t="s">
        <v>303</v>
      </c>
      <c r="B64" s="290">
        <f>SUM(B9+B12+B14+B15+B17+B26+B28+B39+B43+B44+B55+B63)</f>
        <v>39682225</v>
      </c>
      <c r="C64" s="290">
        <f>SUM(C9+C12+C14+C15+C17+C26+C28+C39+C43+C44+C55+C63)</f>
        <v>39682225</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65000</v>
      </c>
      <c r="C66" s="286">
        <f>'Sources and Uses Budget'!$C65</f>
        <v>65000</v>
      </c>
      <c r="D66" s="290">
        <f t="shared" si="0"/>
        <v>0</v>
      </c>
      <c r="E66" s="288"/>
      <c r="F66" s="287"/>
      <c r="G66" s="383"/>
    </row>
    <row r="67" spans="1:7" s="380" customFormat="1" ht="24">
      <c r="A67" s="304" t="s">
        <v>1752</v>
      </c>
      <c r="B67" s="286">
        <f>'Sources and Uses Budget'!$C66</f>
        <v>55500</v>
      </c>
      <c r="C67" s="286">
        <f>'Sources and Uses Budget'!$C66</f>
        <v>55500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1756</v>
      </c>
      <c r="B71" s="290">
        <f>SUM(B66:B70)</f>
        <v>120500</v>
      </c>
      <c r="C71" s="290">
        <f>SUM(C66:C70)</f>
        <v>120500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613385</v>
      </c>
      <c r="C76" s="286">
        <f>'Sources and Uses Budget'!$C75</f>
        <v>613385</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613385</v>
      </c>
      <c r="C78" s="290">
        <f>SUM(C73:C77)</f>
        <v>613385</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798862</v>
      </c>
      <c r="C80" s="286">
        <f>'Sources and Uses Budget'!$C79</f>
        <v>798862</v>
      </c>
      <c r="D80" s="290">
        <f t="shared" si="1"/>
        <v>0</v>
      </c>
      <c r="E80" s="288"/>
      <c r="F80" s="287"/>
      <c r="G80" s="383"/>
    </row>
    <row r="81" spans="1:7" s="380" customFormat="1">
      <c r="A81" s="544" t="s">
        <v>58</v>
      </c>
      <c r="B81" s="286">
        <f>'Sources and Uses Budget'!$C80</f>
        <v>94386</v>
      </c>
      <c r="C81" s="286">
        <f>'Sources and Uses Budget'!$C80</f>
        <v>94386</v>
      </c>
      <c r="D81" s="290">
        <f>C81-B81</f>
        <v>0</v>
      </c>
      <c r="E81" s="288"/>
      <c r="F81" s="287"/>
      <c r="G81" s="383"/>
    </row>
    <row r="82" spans="1:7" s="380" customFormat="1">
      <c r="A82" s="291" t="s">
        <v>1315</v>
      </c>
      <c r="B82" s="290">
        <f>SUM(B80:B81)</f>
        <v>893248</v>
      </c>
      <c r="C82" s="290">
        <f>SUM(C80:C81)</f>
        <v>893248</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305738</v>
      </c>
      <c r="C84" s="286">
        <f>'Sources and Uses Budget'!$C83</f>
        <v>305738</v>
      </c>
      <c r="D84" s="290">
        <f t="shared" si="1"/>
        <v>0</v>
      </c>
      <c r="E84" s="288"/>
      <c r="F84" s="287"/>
      <c r="G84" s="383"/>
    </row>
    <row r="85" spans="1:7" s="380" customFormat="1">
      <c r="A85" s="289" t="s">
        <v>776</v>
      </c>
      <c r="B85" s="286">
        <f>'Sources and Uses Budget'!$C84</f>
        <v>2000</v>
      </c>
      <c r="C85" s="286">
        <f>'Sources and Uses Budget'!$C84</f>
        <v>2000</v>
      </c>
      <c r="D85" s="290">
        <f t="shared" si="1"/>
        <v>0</v>
      </c>
      <c r="E85" s="288"/>
      <c r="F85" s="287"/>
      <c r="G85" s="383"/>
    </row>
    <row r="86" spans="1:7" s="380" customFormat="1">
      <c r="A86" s="289" t="s">
        <v>777</v>
      </c>
      <c r="B86" s="286">
        <f>'Sources and Uses Budget'!$C85</f>
        <v>0</v>
      </c>
      <c r="C86" s="286">
        <f>'Sources and Uses Budget'!$C85</f>
        <v>0</v>
      </c>
      <c r="D86" s="290">
        <f t="shared" si="1"/>
        <v>0</v>
      </c>
      <c r="E86" s="288"/>
      <c r="F86" s="287"/>
      <c r="G86" s="383"/>
    </row>
    <row r="87" spans="1:7" s="380" customFormat="1">
      <c r="A87" s="289" t="s">
        <v>778</v>
      </c>
      <c r="B87" s="286">
        <f>'Sources and Uses Budget'!$C86</f>
        <v>68572</v>
      </c>
      <c r="C87" s="286">
        <f>'Sources and Uses Budget'!$C86</f>
        <v>68572</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0</v>
      </c>
      <c r="C89" s="286">
        <f>'Sources and Uses Budget'!$C88</f>
        <v>0</v>
      </c>
      <c r="D89" s="290">
        <f t="shared" si="1"/>
        <v>0</v>
      </c>
      <c r="E89" s="288"/>
      <c r="F89" s="287"/>
      <c r="G89" s="383"/>
    </row>
    <row r="90" spans="1:7" s="380" customFormat="1">
      <c r="A90" s="289" t="s">
        <v>781</v>
      </c>
      <c r="B90" s="286">
        <f>'Sources and Uses Budget'!$C89</f>
        <v>0</v>
      </c>
      <c r="C90" s="286">
        <f>'Sources and Uses Budget'!$C89</f>
        <v>0</v>
      </c>
      <c r="D90" s="290">
        <f t="shared" si="1"/>
        <v>0</v>
      </c>
      <c r="E90" s="288"/>
      <c r="F90" s="287"/>
      <c r="G90" s="383"/>
    </row>
    <row r="91" spans="1:7" s="380" customFormat="1">
      <c r="A91" s="289" t="s">
        <v>782</v>
      </c>
      <c r="B91" s="286">
        <f>'Sources and Uses Budget'!$C90</f>
        <v>4100</v>
      </c>
      <c r="C91" s="286">
        <f>'Sources and Uses Budget'!$C90</f>
        <v>4100</v>
      </c>
      <c r="D91" s="290">
        <f t="shared" si="1"/>
        <v>0</v>
      </c>
      <c r="E91" s="288"/>
      <c r="F91" s="287"/>
      <c r="G91" s="383"/>
    </row>
    <row r="92" spans="1:7" s="380" customFormat="1">
      <c r="A92" s="289" t="s">
        <v>373</v>
      </c>
      <c r="B92" s="286">
        <f>'Sources and Uses Budget'!$C91</f>
        <v>27500</v>
      </c>
      <c r="C92" s="286">
        <f>'Sources and Uses Budget'!$C91</f>
        <v>27500</v>
      </c>
      <c r="D92" s="290">
        <f t="shared" si="1"/>
        <v>0</v>
      </c>
      <c r="E92" s="288"/>
      <c r="F92" s="287"/>
      <c r="G92" s="383"/>
    </row>
    <row r="93" spans="1:7" s="380" customFormat="1">
      <c r="A93" s="544" t="s">
        <v>1317</v>
      </c>
      <c r="B93" s="286">
        <f>'Sources and Uses Budget'!$C92</f>
        <v>6000</v>
      </c>
      <c r="C93" s="286">
        <f>'Sources and Uses Budget'!$C92</f>
        <v>6000</v>
      </c>
      <c r="D93" s="290">
        <f t="shared" si="1"/>
        <v>0</v>
      </c>
      <c r="E93" s="288"/>
      <c r="F93" s="287"/>
      <c r="G93" s="383"/>
    </row>
    <row r="94" spans="1:7" s="380" customFormat="1">
      <c r="A94" s="292" t="s">
        <v>34</v>
      </c>
      <c r="B94" s="286">
        <f>'Sources and Uses Budget'!$C93</f>
        <v>34010</v>
      </c>
      <c r="C94" s="286">
        <f>'Sources and Uses Budget'!$C93</f>
        <v>34010</v>
      </c>
      <c r="D94" s="290">
        <f t="shared" si="1"/>
        <v>0</v>
      </c>
      <c r="E94" s="288"/>
      <c r="F94" s="287"/>
      <c r="G94" s="383"/>
    </row>
    <row r="95" spans="1:7" s="380" customFormat="1">
      <c r="A95" s="292" t="s">
        <v>34</v>
      </c>
      <c r="B95" s="286">
        <f>'Sources and Uses Budget'!$C94</f>
        <v>20000</v>
      </c>
      <c r="C95" s="286">
        <f>'Sources and Uses Budget'!$C94</f>
        <v>20000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467920</v>
      </c>
      <c r="C97" s="290">
        <f>SUM(C84:C96)</f>
        <v>467920</v>
      </c>
      <c r="D97" s="290">
        <f t="shared" si="1"/>
        <v>0</v>
      </c>
      <c r="E97" s="288"/>
      <c r="F97" s="287"/>
      <c r="G97" s="383"/>
    </row>
    <row r="98" spans="1:7" s="380" customFormat="1">
      <c r="A98" s="291" t="s">
        <v>784</v>
      </c>
      <c r="B98" s="290">
        <f>SUM(B64+B71+B78+B82+B97)</f>
        <v>41777278</v>
      </c>
      <c r="C98" s="290">
        <f>SUM(C64+C71+C78+C82+C97)</f>
        <v>41777278</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6742396.0499999998</v>
      </c>
      <c r="C100" s="286">
        <f>'Sources and Uses Budget'!$C99</f>
        <v>6742396.0499999998</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6742396.0499999998</v>
      </c>
      <c r="C105" s="290">
        <f>SUM(C100:C104)</f>
        <v>6742396.0499999998</v>
      </c>
      <c r="D105" s="290">
        <f t="shared" si="1"/>
        <v>0</v>
      </c>
      <c r="E105" s="288"/>
      <c r="F105" s="287"/>
      <c r="G105" s="383"/>
    </row>
    <row r="106" spans="1:7" s="380" customFormat="1">
      <c r="A106" s="291" t="s">
        <v>789</v>
      </c>
      <c r="B106" s="293">
        <f>SUM(B98+B105)</f>
        <v>48519674.049999997</v>
      </c>
      <c r="C106" s="293">
        <f>SUM(C98+C105)</f>
        <v>48519674.049999997</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4" t="s">
        <v>1068</v>
      </c>
      <c r="B2" s="1304"/>
      <c r="C2" s="1278"/>
      <c r="D2" s="1278"/>
      <c r="E2" s="1278"/>
      <c r="F2" s="1278"/>
      <c r="G2" s="1278"/>
    </row>
    <row r="3" spans="1:9" s="173" customFormat="1">
      <c r="A3" s="1304" t="s">
        <v>1009</v>
      </c>
      <c r="B3" s="1304"/>
      <c r="C3" s="1278"/>
      <c r="D3" s="1278"/>
      <c r="E3" s="1278"/>
      <c r="F3" s="1278"/>
      <c r="G3" s="1278"/>
      <c r="I3" t="s">
        <v>308</v>
      </c>
    </row>
    <row r="4" spans="1:9">
      <c r="I4" s="3" t="s">
        <v>1069</v>
      </c>
    </row>
    <row r="5" spans="1:9">
      <c r="A5" s="1306" t="s">
        <v>1010</v>
      </c>
      <c r="B5" s="1306"/>
      <c r="C5" s="1278"/>
      <c r="D5" s="1278"/>
      <c r="E5" s="1278"/>
      <c r="F5" s="1278"/>
      <c r="G5" s="1278"/>
      <c r="I5" s="3" t="s">
        <v>1070</v>
      </c>
    </row>
    <row r="6" spans="1:9">
      <c r="A6" s="1306" t="s">
        <v>828</v>
      </c>
      <c r="B6" s="1306"/>
      <c r="C6" s="1278"/>
      <c r="D6" s="1278"/>
      <c r="E6" s="1278"/>
      <c r="F6" s="1278"/>
      <c r="G6" s="1278"/>
      <c r="I6" t="s">
        <v>599</v>
      </c>
    </row>
    <row r="7" spans="1:9" ht="11.85" customHeight="1"/>
    <row r="8" spans="1:9">
      <c r="A8" s="1304" t="s">
        <v>1165</v>
      </c>
      <c r="B8" s="1304"/>
      <c r="C8" s="1305"/>
      <c r="D8" s="1305"/>
      <c r="E8" s="1305"/>
      <c r="F8" s="1305"/>
      <c r="G8" s="1305"/>
    </row>
    <row r="9" spans="1:9">
      <c r="A9" s="1304" t="s">
        <v>1166</v>
      </c>
      <c r="B9" s="1304"/>
      <c r="C9" s="1305"/>
      <c r="D9" s="1305"/>
      <c r="E9" s="1305"/>
      <c r="F9" s="1305"/>
      <c r="G9" s="1305"/>
    </row>
    <row r="10" spans="1:9">
      <c r="A10" s="174"/>
      <c r="B10" s="174"/>
      <c r="C10" s="172"/>
      <c r="D10" s="172"/>
      <c r="E10" s="172"/>
      <c r="F10" s="172"/>
    </row>
    <row r="11" spans="1:9">
      <c r="A11" s="1285" t="s">
        <v>1168</v>
      </c>
      <c r="B11" s="1285"/>
      <c r="C11" s="1285"/>
      <c r="D11" s="1285"/>
      <c r="E11" s="1285"/>
      <c r="F11" s="1285"/>
      <c r="G11" s="1285"/>
    </row>
    <row r="12" spans="1:9">
      <c r="A12" s="172"/>
      <c r="B12" s="172"/>
      <c r="E12" s="2"/>
    </row>
    <row r="13" spans="1:9" ht="13.15" customHeight="1">
      <c r="C13" s="172"/>
      <c r="D13" s="1318" t="s">
        <v>1167</v>
      </c>
      <c r="E13" s="1318"/>
      <c r="F13" s="1318"/>
    </row>
    <row r="14" spans="1:9">
      <c r="C14" s="172"/>
      <c r="D14" s="1318"/>
      <c r="E14" s="1318"/>
      <c r="F14" s="1318"/>
    </row>
    <row r="15" spans="1:9">
      <c r="A15" s="175"/>
      <c r="B15" s="175"/>
      <c r="C15" s="175"/>
      <c r="D15" s="1281" t="s">
        <v>1150</v>
      </c>
      <c r="E15" s="1281"/>
      <c r="F15" s="1281"/>
    </row>
    <row r="16" spans="1:9">
      <c r="A16" s="175"/>
      <c r="B16" s="175"/>
      <c r="C16" s="175"/>
      <c r="D16" s="218"/>
    </row>
    <row r="17" spans="1:6" ht="14.25">
      <c r="A17" s="176"/>
      <c r="B17" s="468" t="s">
        <v>308</v>
      </c>
      <c r="C17" s="175"/>
      <c r="D17" s="1270" t="s">
        <v>1151</v>
      </c>
      <c r="E17" s="1270"/>
      <c r="F17" s="1270"/>
    </row>
    <row r="18" spans="1:6">
      <c r="A18" s="175"/>
      <c r="B18" s="175"/>
      <c r="C18" s="175"/>
      <c r="D18" s="1270"/>
      <c r="E18" s="1270"/>
      <c r="F18" s="1270"/>
    </row>
    <row r="19" spans="1:6">
      <c r="A19" s="175"/>
      <c r="B19" s="175"/>
      <c r="C19" s="175"/>
      <c r="D19" s="1270"/>
      <c r="E19" s="1270"/>
      <c r="F19" s="1270"/>
    </row>
    <row r="20" spans="1:6">
      <c r="A20" s="175"/>
      <c r="B20" s="175"/>
      <c r="C20" s="175"/>
    </row>
    <row r="21" spans="1:6" ht="14.25">
      <c r="A21" s="176"/>
      <c r="B21" s="468" t="s">
        <v>308</v>
      </c>
      <c r="D21" s="1313" t="s">
        <v>1152</v>
      </c>
      <c r="E21" s="1313"/>
      <c r="F21" s="1313"/>
    </row>
    <row r="22" spans="1:6" ht="14.25">
      <c r="A22" s="176"/>
      <c r="B22" s="176"/>
      <c r="D22" s="35"/>
    </row>
    <row r="23" spans="1:6" ht="14.25">
      <c r="A23" s="176"/>
      <c r="B23" s="468" t="s">
        <v>308</v>
      </c>
      <c r="D23" s="1270" t="s">
        <v>1153</v>
      </c>
      <c r="E23" s="1270"/>
      <c r="F23" s="1270"/>
    </row>
    <row r="24" spans="1:6" ht="14.25">
      <c r="A24" s="176"/>
      <c r="B24" s="176"/>
      <c r="D24" s="1270"/>
      <c r="E24" s="1270"/>
      <c r="F24" s="1270"/>
    </row>
    <row r="25" spans="1:6"/>
    <row r="26" spans="1:6" ht="14.25">
      <c r="A26" s="176"/>
      <c r="B26" s="468" t="s">
        <v>308</v>
      </c>
      <c r="D26" s="1270" t="s">
        <v>1154</v>
      </c>
      <c r="E26" s="1270"/>
      <c r="F26" s="1270"/>
    </row>
    <row r="27" spans="1:6">
      <c r="D27" s="1270"/>
      <c r="E27" s="1270"/>
      <c r="F27" s="1270"/>
    </row>
    <row r="28" spans="1:6">
      <c r="D28" s="1270"/>
      <c r="E28" s="1270"/>
      <c r="F28" s="1270"/>
    </row>
    <row r="29" spans="1:6">
      <c r="D29" s="1270"/>
      <c r="E29" s="1270"/>
      <c r="F29" s="1270"/>
    </row>
    <row r="30" spans="1:6">
      <c r="D30" s="1270"/>
      <c r="E30" s="1270"/>
      <c r="F30" s="1270"/>
    </row>
    <row r="31" spans="1:6">
      <c r="D31" s="220"/>
    </row>
    <row r="32" spans="1:6">
      <c r="B32" s="468" t="s">
        <v>308</v>
      </c>
      <c r="D32" s="1270" t="s">
        <v>1155</v>
      </c>
      <c r="E32" s="1270"/>
      <c r="F32" s="1270"/>
    </row>
    <row r="33" spans="1:6">
      <c r="D33" s="1270"/>
      <c r="E33" s="1270"/>
      <c r="F33" s="1270"/>
    </row>
    <row r="34" spans="1:6" ht="14.25">
      <c r="A34" s="176"/>
      <c r="B34" s="176"/>
      <c r="D34" s="220"/>
    </row>
    <row r="35" spans="1:6" ht="14.45" customHeight="1">
      <c r="A35" s="176"/>
      <c r="B35" s="468" t="s">
        <v>308</v>
      </c>
      <c r="D35" s="1270" t="s">
        <v>1156</v>
      </c>
      <c r="E35" s="1270"/>
      <c r="F35" s="1270"/>
    </row>
    <row r="36" spans="1:6" ht="14.25">
      <c r="A36" s="176"/>
      <c r="B36" s="176"/>
      <c r="D36" s="1270"/>
      <c r="E36" s="1270"/>
      <c r="F36" s="1270"/>
    </row>
    <row r="37" spans="1:6" ht="14.25">
      <c r="A37" s="176"/>
      <c r="B37" s="176"/>
      <c r="D37" s="1270"/>
      <c r="E37" s="1270"/>
      <c r="F37" s="1270"/>
    </row>
    <row r="38" spans="1:6" ht="14.25">
      <c r="A38" s="176"/>
      <c r="B38" s="176"/>
      <c r="D38"/>
    </row>
    <row r="39" spans="1:6" ht="14.25">
      <c r="A39" s="176"/>
      <c r="B39" s="468" t="s">
        <v>308</v>
      </c>
      <c r="D39" s="1270" t="s">
        <v>1157</v>
      </c>
      <c r="E39" s="1270"/>
      <c r="F39" s="1270"/>
    </row>
    <row r="40" spans="1:6" ht="14.25">
      <c r="A40" s="176"/>
      <c r="B40" s="176"/>
      <c r="D40" s="1270"/>
      <c r="E40" s="1270"/>
      <c r="F40" s="1270"/>
    </row>
    <row r="41" spans="1:6" ht="14.25">
      <c r="A41" s="176"/>
      <c r="B41" s="176"/>
      <c r="D41" s="1270"/>
      <c r="E41" s="1270"/>
      <c r="F41" s="1270"/>
    </row>
    <row r="42" spans="1:6" ht="14.25">
      <c r="A42" s="176"/>
      <c r="B42" s="176"/>
      <c r="D42" s="1270"/>
      <c r="E42" s="1270"/>
      <c r="F42" s="1270"/>
    </row>
    <row r="43" spans="1:6" ht="14.25">
      <c r="A43" s="176"/>
      <c r="B43" s="176"/>
      <c r="D43" s="1270"/>
      <c r="E43" s="1270"/>
      <c r="F43" s="1270"/>
    </row>
    <row r="44" spans="1:6" ht="14.25">
      <c r="A44" s="176"/>
      <c r="B44" s="176"/>
      <c r="D44" s="474"/>
      <c r="E44" s="474"/>
      <c r="F44" s="474"/>
    </row>
    <row r="45" spans="1:6" ht="14.25">
      <c r="A45" s="176"/>
      <c r="B45" s="468" t="s">
        <v>308</v>
      </c>
      <c r="D45" s="1270" t="s">
        <v>1158</v>
      </c>
      <c r="E45" s="1270"/>
      <c r="F45" s="1270"/>
    </row>
    <row r="46" spans="1:6" ht="14.25">
      <c r="A46" s="176"/>
      <c r="B46" s="176"/>
      <c r="D46" s="1270"/>
      <c r="E46" s="1270"/>
      <c r="F46" s="1270"/>
    </row>
    <row r="47" spans="1:6" ht="14.25">
      <c r="A47" s="176"/>
      <c r="B47" s="176"/>
      <c r="D47" s="1270"/>
      <c r="E47" s="1270"/>
      <c r="F47" s="1270"/>
    </row>
    <row r="48" spans="1:6" ht="23.25" customHeight="1">
      <c r="A48" s="176"/>
      <c r="B48" s="176"/>
      <c r="D48" s="1270"/>
      <c r="E48" s="1270"/>
      <c r="F48" s="1270"/>
    </row>
    <row r="49" spans="1:7" ht="14.25">
      <c r="A49" s="176"/>
      <c r="B49" s="176"/>
      <c r="D49" s="35"/>
    </row>
    <row r="50" spans="1:7" ht="14.45" customHeight="1">
      <c r="A50" s="176"/>
      <c r="B50" s="468" t="s">
        <v>308</v>
      </c>
      <c r="D50" s="1270" t="s">
        <v>1159</v>
      </c>
      <c r="E50" s="1270"/>
      <c r="F50" s="1270"/>
    </row>
    <row r="51" spans="1:7" ht="14.25">
      <c r="A51" s="176"/>
      <c r="B51" s="176"/>
      <c r="D51" s="1270"/>
      <c r="E51" s="1270"/>
      <c r="F51" s="1270"/>
    </row>
    <row r="52" spans="1:7" ht="14.25">
      <c r="A52" s="176"/>
      <c r="B52" s="176"/>
      <c r="D52" s="1270"/>
      <c r="E52" s="1270"/>
      <c r="F52" s="1270"/>
    </row>
    <row r="53" spans="1:7" ht="14.25">
      <c r="A53" s="176"/>
      <c r="B53" s="176"/>
      <c r="C53" s="385"/>
      <c r="D53" s="3"/>
      <c r="E53" s="3"/>
      <c r="F53" s="3"/>
      <c r="G53" s="3"/>
    </row>
    <row r="54" spans="1:7" ht="14.25">
      <c r="A54" s="176"/>
      <c r="B54" s="468" t="s">
        <v>308</v>
      </c>
      <c r="C54" s="385"/>
      <c r="D54" s="1270" t="s">
        <v>1160</v>
      </c>
      <c r="E54" s="1270"/>
      <c r="F54" s="1270"/>
      <c r="G54" s="3"/>
    </row>
    <row r="55" spans="1:7" ht="14.25">
      <c r="A55" s="176"/>
      <c r="B55" s="176"/>
      <c r="C55" s="385"/>
      <c r="D55" s="1270"/>
      <c r="E55" s="1270"/>
      <c r="F55" s="1270"/>
      <c r="G55" s="3"/>
    </row>
    <row r="56" spans="1:7">
      <c r="D56" s="220"/>
    </row>
    <row r="57" spans="1:7" ht="14.25">
      <c r="A57" s="176"/>
      <c r="B57" s="468" t="s">
        <v>308</v>
      </c>
      <c r="D57" s="1270" t="s">
        <v>1161</v>
      </c>
      <c r="E57" s="1270"/>
      <c r="F57" s="1270"/>
    </row>
    <row r="58" spans="1:7">
      <c r="D58" s="1270"/>
      <c r="E58" s="1270"/>
      <c r="F58" s="1270"/>
    </row>
    <row r="59" spans="1:7">
      <c r="D59" s="1270"/>
      <c r="E59" s="1270"/>
      <c r="F59" s="1270"/>
    </row>
    <row r="60" spans="1:7">
      <c r="D60" s="3"/>
    </row>
    <row r="61" spans="1:7" ht="14.25">
      <c r="A61" s="176"/>
      <c r="B61" s="468" t="s">
        <v>308</v>
      </c>
      <c r="D61" s="1270" t="s">
        <v>1162</v>
      </c>
      <c r="E61" s="1270"/>
      <c r="F61" s="1270"/>
    </row>
    <row r="62" spans="1:7">
      <c r="D62" s="1270"/>
      <c r="E62" s="1270"/>
      <c r="F62" s="1270"/>
    </row>
    <row r="63" spans="1:7"/>
    <row r="64" spans="1:7" ht="14.25">
      <c r="A64" s="176"/>
      <c r="B64" s="468" t="s">
        <v>308</v>
      </c>
      <c r="D64" s="1270" t="s">
        <v>1163</v>
      </c>
      <c r="E64" s="1270"/>
      <c r="F64" s="1270"/>
    </row>
    <row r="65" spans="1:7">
      <c r="D65" s="1270"/>
      <c r="E65" s="1270"/>
      <c r="F65" s="1270"/>
    </row>
    <row r="66" spans="1:7">
      <c r="D66" s="1270"/>
      <c r="E66" s="1270"/>
      <c r="F66" s="1270"/>
    </row>
    <row r="67" spans="1:7">
      <c r="D67"/>
    </row>
    <row r="68" spans="1:7" ht="14.25">
      <c r="A68" s="176"/>
      <c r="B68" s="468" t="s">
        <v>308</v>
      </c>
      <c r="D68" s="1270" t="s">
        <v>1164</v>
      </c>
      <c r="E68" s="1270"/>
      <c r="F68" s="1270"/>
    </row>
    <row r="69" spans="1:7">
      <c r="D69" s="1270"/>
      <c r="E69" s="1270"/>
      <c r="F69" s="1270"/>
    </row>
    <row r="70" spans="1:7" ht="14.25">
      <c r="A70" s="176"/>
      <c r="B70" s="176"/>
      <c r="D70" s="35"/>
    </row>
    <row r="71" spans="1:7">
      <c r="A71" s="1285" t="s">
        <v>1071</v>
      </c>
      <c r="B71" s="1285"/>
      <c r="C71" s="1285"/>
      <c r="D71" s="1285"/>
      <c r="E71" s="1285"/>
      <c r="F71" s="1285"/>
      <c r="G71" s="1285"/>
    </row>
    <row r="72" spans="1:7"/>
    <row r="73" spans="1:7">
      <c r="C73" s="177"/>
      <c r="D73" s="1303" t="s">
        <v>1169</v>
      </c>
      <c r="E73" s="1303"/>
      <c r="F73" s="1303"/>
    </row>
    <row r="74" spans="1:7">
      <c r="A74" s="35"/>
      <c r="B74" s="35"/>
      <c r="D74" s="1270" t="s">
        <v>1196</v>
      </c>
      <c r="E74" s="1270"/>
      <c r="F74" s="1270"/>
    </row>
    <row r="75" spans="1:7">
      <c r="A75" s="35"/>
      <c r="B75" s="35"/>
    </row>
    <row r="76" spans="1:7" ht="14.25">
      <c r="A76" s="176"/>
      <c r="B76" s="468" t="s">
        <v>308</v>
      </c>
      <c r="D76" s="1270" t="s">
        <v>1170</v>
      </c>
      <c r="E76" s="1270"/>
      <c r="F76" s="1270"/>
    </row>
    <row r="77" spans="1:7" ht="14.25">
      <c r="A77" s="176"/>
      <c r="B77" s="176"/>
      <c r="D77" s="1270"/>
      <c r="E77" s="1270"/>
      <c r="F77" s="1270"/>
    </row>
    <row r="78" spans="1:7" ht="14.25">
      <c r="A78" s="176"/>
      <c r="B78" s="176"/>
      <c r="D78" s="1270"/>
      <c r="E78" s="1270"/>
      <c r="F78" s="1270"/>
    </row>
    <row r="79" spans="1:7" ht="14.25">
      <c r="A79" s="176"/>
      <c r="B79" s="176"/>
      <c r="D79" s="1270"/>
      <c r="E79" s="1270"/>
      <c r="F79" s="1270"/>
    </row>
    <row r="80" spans="1:7" ht="14.25">
      <c r="A80" s="176"/>
      <c r="B80" s="176"/>
      <c r="D80" s="1270"/>
      <c r="E80" s="1270"/>
      <c r="F80" s="1270"/>
    </row>
    <row r="81" spans="1:6" ht="14.25">
      <c r="A81" s="176"/>
      <c r="B81" s="176"/>
      <c r="D81" s="1270"/>
      <c r="E81" s="1270"/>
      <c r="F81" s="1270"/>
    </row>
    <row r="82" spans="1:6" ht="14.25">
      <c r="A82" s="176"/>
      <c r="B82" s="176"/>
      <c r="D82" s="474"/>
      <c r="E82" s="474"/>
      <c r="F82" s="474"/>
    </row>
    <row r="83" spans="1:6" ht="14.45" customHeight="1">
      <c r="A83" s="176"/>
      <c r="B83" s="468" t="s">
        <v>308</v>
      </c>
      <c r="D83" s="1279" t="s">
        <v>1269</v>
      </c>
      <c r="E83" s="1279"/>
      <c r="F83" s="1279"/>
    </row>
    <row r="84" spans="1:6" ht="14.25">
      <c r="A84" s="176"/>
      <c r="B84" s="176"/>
      <c r="D84" s="1279"/>
      <c r="E84" s="1279"/>
      <c r="F84" s="1279"/>
    </row>
    <row r="85" spans="1:6" ht="14.25">
      <c r="A85" s="176"/>
      <c r="B85" s="176"/>
      <c r="D85" s="1279"/>
      <c r="E85" s="1279"/>
      <c r="F85" s="1279"/>
    </row>
    <row r="86" spans="1:6" ht="14.25">
      <c r="A86" s="176"/>
      <c r="B86" s="176"/>
      <c r="D86" s="1279"/>
      <c r="E86" s="1279"/>
      <c r="F86" s="1279"/>
    </row>
    <row r="87" spans="1:6" ht="14.25">
      <c r="A87" s="176"/>
      <c r="B87" s="176"/>
      <c r="D87" s="1279"/>
      <c r="E87" s="1279"/>
      <c r="F87" s="1279"/>
    </row>
    <row r="88" spans="1:6" ht="14.25">
      <c r="A88" s="176"/>
      <c r="B88" s="176"/>
      <c r="D88" s="1279"/>
      <c r="E88" s="1279"/>
      <c r="F88" s="1279"/>
    </row>
    <row r="89" spans="1:6" ht="14.25">
      <c r="A89" s="176"/>
      <c r="B89" s="176"/>
      <c r="D89" s="1279"/>
      <c r="E89" s="1279"/>
      <c r="F89" s="1279"/>
    </row>
    <row r="90" spans="1:6" ht="14.25">
      <c r="A90" s="176"/>
      <c r="B90" s="176"/>
      <c r="D90" s="1279"/>
      <c r="E90" s="1279"/>
      <c r="F90" s="1279"/>
    </row>
    <row r="91" spans="1:6" ht="14.25">
      <c r="A91" s="176"/>
      <c r="B91" s="176"/>
      <c r="D91" s="1279"/>
      <c r="E91" s="1279"/>
      <c r="F91" s="1279"/>
    </row>
    <row r="92" spans="1:6" ht="14.25">
      <c r="A92" s="176"/>
      <c r="B92" s="176"/>
      <c r="D92" s="1279"/>
      <c r="E92" s="1279"/>
      <c r="F92" s="1279"/>
    </row>
    <row r="93" spans="1:6" ht="14.25">
      <c r="A93" s="176"/>
      <c r="B93" s="176"/>
      <c r="D93" s="1279"/>
      <c r="E93" s="1279"/>
      <c r="F93" s="1279"/>
    </row>
    <row r="94" spans="1:6" ht="14.25">
      <c r="A94" s="176"/>
      <c r="B94" s="176"/>
      <c r="D94" s="1279"/>
      <c r="E94" s="1279"/>
      <c r="F94" s="1279"/>
    </row>
    <row r="95" spans="1:6" ht="14.25">
      <c r="A95" s="176"/>
      <c r="B95" s="176"/>
      <c r="D95" s="1279"/>
      <c r="E95" s="1279"/>
      <c r="F95" s="1279"/>
    </row>
    <row r="96" spans="1:6" ht="14.25">
      <c r="A96" s="176"/>
      <c r="B96" s="176"/>
      <c r="D96" s="1279"/>
      <c r="E96" s="1279"/>
      <c r="F96" s="1279"/>
    </row>
    <row r="97" spans="1:11" ht="14.25">
      <c r="A97" s="176"/>
      <c r="B97" s="468" t="s">
        <v>308</v>
      </c>
      <c r="D97" s="1270" t="s">
        <v>1171</v>
      </c>
      <c r="E97" s="1270"/>
      <c r="F97" s="1270"/>
    </row>
    <row r="98" spans="1:11" ht="14.25">
      <c r="A98" s="176"/>
      <c r="B98" s="176"/>
      <c r="D98" s="1270"/>
      <c r="E98" s="1270"/>
      <c r="F98" s="1270"/>
    </row>
    <row r="99" spans="1:11" ht="14.25">
      <c r="A99" s="176"/>
      <c r="B99" s="176"/>
      <c r="D99" s="1270"/>
      <c r="E99" s="1270"/>
      <c r="F99" s="1270"/>
    </row>
    <row r="100" spans="1:11" ht="14.25">
      <c r="A100" s="176"/>
      <c r="B100" s="176"/>
      <c r="D100" s="1270"/>
      <c r="E100" s="1270"/>
      <c r="F100" s="1270"/>
    </row>
    <row r="101" spans="1:11" ht="14.25">
      <c r="A101" s="176"/>
      <c r="B101" s="176"/>
      <c r="D101" s="1270"/>
      <c r="E101" s="1270"/>
      <c r="F101" s="1270"/>
    </row>
    <row r="102" spans="1:11" ht="14.25">
      <c r="A102" s="176"/>
      <c r="B102" s="176"/>
      <c r="D102" s="1270"/>
      <c r="E102" s="1270"/>
      <c r="F102" s="1270"/>
    </row>
    <row r="103" spans="1:11" ht="14.25">
      <c r="A103" s="176"/>
      <c r="B103" s="176"/>
      <c r="D103" s="1270"/>
      <c r="E103" s="1270"/>
      <c r="F103" s="1270"/>
    </row>
    <row r="104" spans="1:11" ht="14.25">
      <c r="A104" s="176"/>
      <c r="B104" s="176"/>
      <c r="D104" s="1270"/>
      <c r="E104" s="1270"/>
      <c r="F104" s="1270"/>
    </row>
    <row r="105" spans="1:11" ht="14.25">
      <c r="A105" s="176"/>
      <c r="B105" s="176"/>
      <c r="D105" s="474"/>
      <c r="E105" s="474"/>
      <c r="F105" s="474"/>
    </row>
    <row r="106" spans="1:11" ht="14.25">
      <c r="A106" s="176"/>
      <c r="B106" s="468" t="s">
        <v>308</v>
      </c>
      <c r="C106" s="179"/>
      <c r="D106" s="1307" t="s">
        <v>1172</v>
      </c>
      <c r="E106" s="1307"/>
      <c r="F106" s="1307"/>
      <c r="G106" s="183"/>
      <c r="H106" s="181"/>
      <c r="I106" s="181"/>
      <c r="J106" s="181"/>
      <c r="K106" s="181"/>
    </row>
    <row r="107" spans="1:11" ht="14.25">
      <c r="A107" s="176"/>
      <c r="B107" s="176"/>
      <c r="C107" s="179"/>
      <c r="D107" s="1307"/>
      <c r="E107" s="1307"/>
      <c r="F107" s="1307"/>
      <c r="G107" s="183"/>
      <c r="H107" s="181"/>
      <c r="I107" s="181"/>
      <c r="J107" s="181"/>
      <c r="K107" s="181"/>
    </row>
    <row r="108" spans="1:11" ht="14.25">
      <c r="A108" s="176"/>
      <c r="B108" s="176"/>
      <c r="C108" s="179"/>
      <c r="D108" s="1307"/>
      <c r="E108" s="1307"/>
      <c r="F108" s="1307"/>
      <c r="G108" s="183"/>
      <c r="H108" s="181"/>
      <c r="I108" s="181"/>
      <c r="J108" s="181"/>
      <c r="K108" s="181"/>
    </row>
    <row r="109" spans="1:11" ht="14.25">
      <c r="A109" s="176"/>
      <c r="B109" s="176"/>
      <c r="C109" s="179"/>
      <c r="D109" s="1307"/>
      <c r="E109" s="1307"/>
      <c r="F109" s="1307"/>
      <c r="G109" s="183"/>
      <c r="H109" s="181"/>
      <c r="I109" s="181"/>
      <c r="J109" s="181"/>
      <c r="K109" s="181"/>
    </row>
    <row r="110" spans="1:11" ht="14.25">
      <c r="A110" s="176"/>
      <c r="B110" s="176"/>
      <c r="C110" s="179"/>
      <c r="D110" s="1307"/>
      <c r="E110" s="1307"/>
      <c r="F110" s="1307"/>
      <c r="G110" s="183"/>
      <c r="H110" s="181"/>
      <c r="I110" s="181"/>
      <c r="J110" s="181"/>
      <c r="K110" s="181"/>
    </row>
    <row r="111" spans="1:11">
      <c r="C111"/>
      <c r="D111" s="1307"/>
      <c r="E111" s="1307"/>
      <c r="F111" s="1307"/>
      <c r="G111"/>
    </row>
    <row r="112" spans="1:11">
      <c r="C112"/>
      <c r="D112" s="1307"/>
      <c r="E112" s="1307"/>
      <c r="F112" s="1307"/>
      <c r="G112"/>
    </row>
    <row r="113" spans="1:7">
      <c r="C113"/>
      <c r="D113" s="330"/>
      <c r="E113"/>
      <c r="F113"/>
      <c r="G113"/>
    </row>
    <row r="114" spans="1:7" ht="14.25">
      <c r="A114" s="176"/>
      <c r="B114" s="468" t="s">
        <v>308</v>
      </c>
      <c r="C114"/>
      <c r="D114" s="1308" t="s">
        <v>1173</v>
      </c>
      <c r="E114" s="1308"/>
      <c r="F114" s="1308"/>
      <c r="G114"/>
    </row>
    <row r="115" spans="1:7" ht="14.25">
      <c r="A115" s="176"/>
      <c r="B115" s="176"/>
      <c r="C115"/>
      <c r="D115" s="1308"/>
      <c r="E115" s="1308"/>
      <c r="F115" s="1308"/>
      <c r="G115"/>
    </row>
    <row r="116" spans="1:7"/>
    <row r="117" spans="1:7" ht="14.25">
      <c r="A117" s="176"/>
      <c r="B117" s="468" t="s">
        <v>308</v>
      </c>
      <c r="D117" s="1270" t="s">
        <v>1174</v>
      </c>
      <c r="E117" s="1270"/>
      <c r="F117" s="1270"/>
    </row>
    <row r="118" spans="1:7">
      <c r="D118" s="1270"/>
      <c r="E118" s="1270"/>
      <c r="F118" s="1270"/>
    </row>
    <row r="119" spans="1:7">
      <c r="D119" s="1270"/>
      <c r="E119" s="1270"/>
      <c r="F119" s="1270"/>
    </row>
    <row r="120" spans="1:7">
      <c r="D120" s="1270"/>
      <c r="E120" s="1270"/>
      <c r="F120" s="1270"/>
    </row>
    <row r="121" spans="1:7">
      <c r="D121" s="1270"/>
      <c r="E121" s="1270"/>
      <c r="F121" s="1270"/>
    </row>
    <row r="122" spans="1:7"/>
    <row r="123" spans="1:7" ht="14.25">
      <c r="A123" s="176"/>
      <c r="B123" s="468" t="s">
        <v>308</v>
      </c>
      <c r="D123" s="1270" t="s">
        <v>1175</v>
      </c>
      <c r="E123" s="1270"/>
      <c r="F123" s="1270"/>
    </row>
    <row r="124" spans="1:7" s="197" customFormat="1" ht="13.7" customHeight="1">
      <c r="A124" s="195"/>
      <c r="B124" s="195"/>
      <c r="C124" s="195"/>
      <c r="D124" s="1270"/>
      <c r="E124" s="1270"/>
      <c r="F124" s="1270"/>
      <c r="G124" s="196"/>
    </row>
    <row r="125" spans="1:7" ht="13.7" customHeight="1">
      <c r="D125" s="1270"/>
      <c r="E125" s="1270"/>
      <c r="F125" s="1270"/>
    </row>
    <row r="126" spans="1:7" ht="13.7" customHeight="1">
      <c r="D126" s="1270"/>
      <c r="E126" s="1270"/>
      <c r="F126" s="1270"/>
    </row>
    <row r="127" spans="1:7" ht="13.7" customHeight="1">
      <c r="D127" s="1270"/>
      <c r="E127" s="1270"/>
      <c r="F127" s="1270"/>
    </row>
    <row r="128" spans="1:7" ht="13.7" customHeight="1">
      <c r="A128" s="256"/>
      <c r="B128" s="256"/>
      <c r="D128" s="1270"/>
      <c r="E128" s="1270"/>
      <c r="F128" s="1270"/>
    </row>
    <row r="129" spans="2:6" ht="13.7" customHeight="1">
      <c r="D129" s="1270"/>
      <c r="E129" s="1270"/>
      <c r="F129" s="1270"/>
    </row>
    <row r="130" spans="2:6" ht="13.7" customHeight="1">
      <c r="D130" s="1270"/>
      <c r="E130" s="1270"/>
      <c r="F130" s="1270"/>
    </row>
    <row r="131" spans="2:6" ht="13.7" customHeight="1">
      <c r="D131" s="1270"/>
      <c r="E131" s="1270"/>
      <c r="F131" s="1270"/>
    </row>
    <row r="132" spans="2:6" ht="13.7" customHeight="1">
      <c r="D132" s="1270"/>
      <c r="E132" s="1270"/>
      <c r="F132" s="1270"/>
    </row>
    <row r="133" spans="2:6" ht="13.7" customHeight="1">
      <c r="D133" s="1270"/>
      <c r="E133" s="1270"/>
      <c r="F133" s="1270"/>
    </row>
    <row r="134" spans="2:6" ht="13.7" customHeight="1">
      <c r="D134" s="1270"/>
      <c r="E134" s="1270"/>
      <c r="F134" s="1270"/>
    </row>
    <row r="135" spans="2:6" ht="13.7" customHeight="1">
      <c r="D135" s="218"/>
      <c r="E135" s="35"/>
      <c r="F135" s="35"/>
    </row>
    <row r="136" spans="2:6" ht="13.7" customHeight="1">
      <c r="B136" s="468" t="s">
        <v>308</v>
      </c>
      <c r="D136" s="1270" t="s">
        <v>1283</v>
      </c>
      <c r="E136" s="1270"/>
      <c r="F136" s="1270"/>
    </row>
    <row r="137" spans="2:6" ht="13.7" customHeight="1">
      <c r="D137" s="1270"/>
      <c r="E137" s="1270"/>
      <c r="F137" s="1270"/>
    </row>
    <row r="138" spans="2:6" ht="13.7" customHeight="1">
      <c r="D138" s="1270"/>
      <c r="E138" s="1270"/>
      <c r="F138" s="1270"/>
    </row>
    <row r="139" spans="2:6" ht="13.7" customHeight="1">
      <c r="D139" s="1270"/>
      <c r="E139" s="1270"/>
      <c r="F139" s="1270"/>
    </row>
    <row r="140" spans="2:6" ht="13.7" customHeight="1">
      <c r="D140" s="1270"/>
      <c r="E140" s="1270"/>
      <c r="F140" s="1270"/>
    </row>
    <row r="141" spans="2:6" ht="13.7" customHeight="1">
      <c r="D141" s="1270"/>
      <c r="E141" s="1270"/>
      <c r="F141" s="1270"/>
    </row>
    <row r="142" spans="2:6" ht="13.7" customHeight="1">
      <c r="D142" s="1270"/>
      <c r="E142" s="1270"/>
      <c r="F142" s="1270"/>
    </row>
    <row r="143" spans="2:6" ht="13.7" customHeight="1">
      <c r="D143" s="1270"/>
      <c r="E143" s="1270"/>
      <c r="F143" s="1270"/>
    </row>
    <row r="144" spans="2:6" ht="13.7" customHeight="1">
      <c r="D144" s="1270"/>
      <c r="E144" s="1270"/>
      <c r="F144" s="1270"/>
    </row>
    <row r="145" spans="1:7" ht="13.7" customHeight="1">
      <c r="D145" s="1270"/>
      <c r="E145" s="1270"/>
      <c r="F145" s="1270"/>
    </row>
    <row r="146" spans="1:7" ht="13.7" customHeight="1">
      <c r="D146" s="1270"/>
      <c r="E146" s="1270"/>
      <c r="F146" s="1270"/>
    </row>
    <row r="147" spans="1:7" ht="13.7" customHeight="1">
      <c r="D147" s="1270"/>
      <c r="E147" s="1270"/>
      <c r="F147" s="1270"/>
    </row>
    <row r="148" spans="1:7" ht="13.7" customHeight="1">
      <c r="D148" s="1270"/>
      <c r="E148" s="1270"/>
      <c r="F148" s="1270"/>
    </row>
    <row r="149" spans="1:7" ht="13.7" customHeight="1">
      <c r="D149" s="1270"/>
      <c r="E149" s="1270"/>
      <c r="F149" s="1270"/>
    </row>
    <row r="150" spans="1:7" ht="13.7" customHeight="1">
      <c r="D150" s="1270"/>
      <c r="E150" s="1270"/>
      <c r="F150" s="1270"/>
    </row>
    <row r="151" spans="1:7" ht="13.7" customHeight="1">
      <c r="D151" s="1270"/>
      <c r="E151" s="1270"/>
      <c r="F151" s="1270"/>
    </row>
    <row r="152" spans="1:7" ht="13.7" customHeight="1">
      <c r="D152" s="1270"/>
      <c r="E152" s="1270"/>
      <c r="F152" s="1270"/>
    </row>
    <row r="153" spans="1:7" ht="13.7" customHeight="1">
      <c r="D153" s="1270"/>
      <c r="E153" s="1270"/>
      <c r="F153" s="1270"/>
    </row>
    <row r="154" spans="1:7" ht="13.7" customHeight="1">
      <c r="D154" s="1270"/>
      <c r="E154" s="1270"/>
      <c r="F154" s="1270"/>
    </row>
    <row r="155" spans="1:7" ht="13.7" customHeight="1">
      <c r="D155" s="218"/>
      <c r="E155" s="35"/>
      <c r="F155" s="35"/>
    </row>
    <row r="156" spans="1:7" ht="13.7" customHeight="1">
      <c r="A156" s="256"/>
      <c r="B156" s="468" t="s">
        <v>308</v>
      </c>
      <c r="C156" s="218"/>
      <c r="D156" s="1279" t="s">
        <v>1176</v>
      </c>
      <c r="E156" s="1279"/>
      <c r="F156" s="1279"/>
      <c r="G156" s="218"/>
    </row>
    <row r="157" spans="1:7" ht="13.7" customHeight="1">
      <c r="A157" s="256"/>
      <c r="B157" s="256"/>
      <c r="C157" s="218"/>
      <c r="D157" s="1279"/>
      <c r="E157" s="1279"/>
      <c r="F157" s="1279"/>
      <c r="G157" s="218"/>
    </row>
    <row r="158" spans="1:7" ht="13.7" customHeight="1">
      <c r="A158" s="256"/>
      <c r="B158" s="256"/>
      <c r="C158" s="218"/>
      <c r="D158" s="218"/>
      <c r="E158" s="218"/>
      <c r="F158" s="218"/>
      <c r="G158" s="218"/>
    </row>
    <row r="159" spans="1:7" ht="13.7" customHeight="1">
      <c r="A159" s="256"/>
      <c r="B159" s="468" t="s">
        <v>308</v>
      </c>
      <c r="C159" s="218"/>
      <c r="D159" s="1279" t="s">
        <v>1177</v>
      </c>
      <c r="E159" s="1279"/>
      <c r="F159" s="1279"/>
      <c r="G159" s="218"/>
    </row>
    <row r="160" spans="1:7" ht="13.7" customHeight="1">
      <c r="A160" s="256"/>
      <c r="B160" s="256"/>
      <c r="C160" s="218"/>
      <c r="D160" s="1279"/>
      <c r="E160" s="1279"/>
      <c r="F160" s="1279"/>
      <c r="G160" s="218"/>
    </row>
    <row r="161" spans="1:7" ht="13.7" customHeight="1">
      <c r="A161" s="256"/>
      <c r="B161" s="256"/>
      <c r="C161" s="218"/>
      <c r="D161" s="1279"/>
      <c r="E161" s="1279"/>
      <c r="F161" s="1279"/>
      <c r="G161" s="218"/>
    </row>
    <row r="162" spans="1:7" ht="13.7" customHeight="1">
      <c r="A162" s="256"/>
      <c r="B162" s="256"/>
      <c r="C162" s="218"/>
      <c r="D162" s="1279"/>
      <c r="E162" s="1279"/>
      <c r="F162" s="1279"/>
      <c r="G162" s="218"/>
    </row>
    <row r="163" spans="1:7" ht="13.7" customHeight="1">
      <c r="D163" s="35"/>
      <c r="E163" s="35"/>
      <c r="F163" s="35"/>
    </row>
    <row r="164" spans="1:7" ht="13.7" customHeight="1">
      <c r="B164" s="468" t="s">
        <v>308</v>
      </c>
      <c r="D164" s="1284" t="s">
        <v>1178</v>
      </c>
      <c r="E164" s="1284"/>
      <c r="F164" s="1284"/>
    </row>
    <row r="165" spans="1:7" ht="13.7" customHeight="1">
      <c r="D165" s="1284"/>
      <c r="E165" s="1284"/>
      <c r="F165" s="1284"/>
    </row>
    <row r="166" spans="1:7" ht="13.7" customHeight="1">
      <c r="D166" s="1284"/>
      <c r="E166" s="1284"/>
      <c r="F166" s="1284"/>
    </row>
    <row r="167" spans="1:7" ht="13.7" customHeight="1">
      <c r="A167" s="13"/>
      <c r="B167" s="13"/>
      <c r="E167" s="35"/>
      <c r="F167" s="35"/>
    </row>
    <row r="168" spans="1:7">
      <c r="A168" s="1285" t="s">
        <v>1072</v>
      </c>
      <c r="B168" s="1285"/>
      <c r="C168" s="1285"/>
      <c r="D168" s="1285"/>
      <c r="E168" s="1285"/>
      <c r="F168" s="1285"/>
      <c r="G168" s="1285"/>
    </row>
    <row r="169" spans="1:7" ht="12" customHeight="1">
      <c r="D169" s="35"/>
      <c r="E169" s="35"/>
      <c r="F169" s="35"/>
    </row>
    <row r="170" spans="1:7">
      <c r="B170" s="1302" t="s">
        <v>448</v>
      </c>
      <c r="C170" s="1302"/>
      <c r="D170" s="1302"/>
      <c r="E170" s="1302"/>
      <c r="F170" s="1302"/>
    </row>
    <row r="171" spans="1:7" ht="12" customHeight="1">
      <c r="A171" s="172"/>
      <c r="B171" s="172"/>
      <c r="C171" s="172"/>
    </row>
    <row r="172" spans="1:7">
      <c r="A172" s="1285" t="s">
        <v>1073</v>
      </c>
      <c r="B172" s="1285"/>
      <c r="C172" s="1285"/>
      <c r="D172" s="1285"/>
      <c r="E172" s="1285"/>
      <c r="F172" s="1285"/>
      <c r="G172" s="1285"/>
    </row>
    <row r="173" spans="1:7" ht="12" customHeight="1">
      <c r="A173" s="2"/>
      <c r="B173" s="2"/>
      <c r="E173" s="2"/>
    </row>
    <row r="174" spans="1:7" ht="13.15" customHeight="1">
      <c r="A174" s="2"/>
      <c r="B174" s="2"/>
      <c r="D174" s="1299" t="s">
        <v>1181</v>
      </c>
      <c r="E174" s="1299"/>
      <c r="F174" s="1299"/>
    </row>
    <row r="175" spans="1:7">
      <c r="A175" s="2"/>
      <c r="B175" s="2"/>
      <c r="D175" s="1299"/>
      <c r="E175" s="1299"/>
      <c r="F175" s="1299"/>
    </row>
    <row r="176" spans="1:7">
      <c r="A176" s="2"/>
      <c r="B176" s="2"/>
      <c r="D176" s="1300" t="s">
        <v>1182</v>
      </c>
      <c r="E176" s="1300"/>
      <c r="F176" s="1300"/>
    </row>
    <row r="177" spans="1:7" ht="12" customHeight="1">
      <c r="A177" s="2"/>
      <c r="B177" s="2"/>
      <c r="E177" s="2"/>
    </row>
    <row r="178" spans="1:7" ht="14.25">
      <c r="A178" s="176"/>
      <c r="B178" s="468" t="s">
        <v>308</v>
      </c>
      <c r="D178" s="1297" t="s">
        <v>1180</v>
      </c>
      <c r="E178" s="1297"/>
      <c r="F178" s="1297"/>
    </row>
    <row r="179" spans="1:7" ht="14.25">
      <c r="A179" s="176"/>
      <c r="B179" s="176"/>
      <c r="D179" s="1297"/>
      <c r="E179" s="1297"/>
      <c r="F179" s="1297"/>
    </row>
    <row r="180" spans="1:7" ht="14.25">
      <c r="A180" s="176"/>
      <c r="B180" s="176"/>
      <c r="D180" s="1297"/>
      <c r="E180" s="1297"/>
      <c r="F180" s="1297"/>
    </row>
    <row r="181" spans="1:7">
      <c r="D181" s="1297"/>
      <c r="E181" s="1297"/>
      <c r="F181" s="1297"/>
    </row>
    <row r="182" spans="1:7">
      <c r="D182" s="220"/>
    </row>
    <row r="183" spans="1:7">
      <c r="D183" s="1301" t="s">
        <v>1089</v>
      </c>
      <c r="E183" s="1301"/>
      <c r="F183" s="1301"/>
    </row>
    <row r="184" spans="1:7">
      <c r="D184" s="1301"/>
      <c r="E184" s="1301"/>
      <c r="F184" s="1301"/>
    </row>
    <row r="185" spans="1:7">
      <c r="D185" s="475"/>
      <c r="E185" s="475"/>
      <c r="F185" s="475"/>
    </row>
    <row r="186" spans="1:7" ht="14.25">
      <c r="A186" s="176"/>
      <c r="B186" s="468" t="s">
        <v>308</v>
      </c>
      <c r="C186" s="385"/>
      <c r="D186" s="1270" t="s">
        <v>1179</v>
      </c>
      <c r="E186" s="1270"/>
      <c r="F186" s="1270"/>
      <c r="G186" s="3"/>
    </row>
    <row r="187" spans="1:7" ht="14.45" customHeight="1">
      <c r="A187" s="176"/>
      <c r="B187"/>
      <c r="C187" s="385"/>
      <c r="D187" s="1270"/>
      <c r="E187" s="1270"/>
      <c r="F187" s="1270"/>
      <c r="G187" s="3"/>
    </row>
    <row r="188" spans="1:7" ht="14.25">
      <c r="A188" s="176"/>
      <c r="B188" s="385"/>
      <c r="C188" s="385"/>
      <c r="D188" s="1270"/>
      <c r="E188" s="1270"/>
      <c r="F188" s="1270"/>
      <c r="G188" s="3"/>
    </row>
    <row r="189" spans="1:7" ht="14.25">
      <c r="A189" s="176"/>
      <c r="B189" s="385"/>
      <c r="C189" s="385"/>
      <c r="D189" s="1270"/>
      <c r="E189" s="1270"/>
      <c r="F189" s="1270"/>
      <c r="G189" s="3"/>
    </row>
    <row r="190" spans="1:7">
      <c r="D190" s="475"/>
      <c r="E190" s="475"/>
      <c r="F190" s="475"/>
    </row>
    <row r="191" spans="1:7">
      <c r="A191" s="1285" t="s">
        <v>1074</v>
      </c>
      <c r="B191" s="1285"/>
      <c r="C191" s="1285"/>
      <c r="D191" s="1285"/>
      <c r="E191" s="1285"/>
      <c r="F191" s="1285"/>
      <c r="G191" s="1285"/>
    </row>
    <row r="192" spans="1:7" ht="12" customHeight="1">
      <c r="D192" s="35"/>
      <c r="E192" s="35"/>
      <c r="F192" s="35"/>
    </row>
    <row r="193" spans="1:6">
      <c r="C193" s="177"/>
      <c r="D193" s="1286" t="s">
        <v>209</v>
      </c>
      <c r="E193" s="1286"/>
      <c r="F193" s="1286"/>
    </row>
    <row r="194" spans="1:6">
      <c r="A194" s="172"/>
      <c r="B194" s="172"/>
      <c r="C194" s="172"/>
      <c r="D194" s="1281" t="s">
        <v>1203</v>
      </c>
      <c r="E194" s="1289"/>
      <c r="F194" s="1289"/>
    </row>
    <row r="195" spans="1:6" ht="12" customHeight="1">
      <c r="A195" s="13"/>
      <c r="B195" s="13"/>
      <c r="C195" s="13"/>
    </row>
    <row r="196" spans="1:6" ht="13.15" customHeight="1">
      <c r="A196" s="13"/>
      <c r="C196" s="13"/>
      <c r="D196" s="1286" t="s">
        <v>554</v>
      </c>
      <c r="E196" s="1286"/>
      <c r="F196" s="1286"/>
    </row>
    <row r="197" spans="1:6" ht="14.25">
      <c r="A197" s="176"/>
      <c r="B197" s="468" t="s">
        <v>308</v>
      </c>
      <c r="D197" s="1270" t="s">
        <v>1197</v>
      </c>
      <c r="E197" s="1270"/>
      <c r="F197" s="1270"/>
    </row>
    <row r="198" spans="1:6" ht="14.25">
      <c r="A198" s="176"/>
      <c r="B198" s="176"/>
      <c r="D198" s="1270"/>
      <c r="E198" s="1270"/>
      <c r="F198" s="1270"/>
    </row>
    <row r="199" spans="1:6"/>
    <row r="200" spans="1:6" ht="14.25">
      <c r="A200" s="176"/>
      <c r="B200" s="468" t="s">
        <v>308</v>
      </c>
      <c r="D200" s="1270" t="s">
        <v>1198</v>
      </c>
      <c r="E200" s="1270"/>
      <c r="F200" s="1270"/>
    </row>
    <row r="201" spans="1:6" ht="14.25">
      <c r="A201" s="176"/>
      <c r="B201" s="176"/>
      <c r="D201" s="1270"/>
      <c r="E201" s="1270"/>
      <c r="F201" s="1270"/>
    </row>
    <row r="202" spans="1:6" ht="14.25">
      <c r="A202" s="176"/>
      <c r="B202" s="176"/>
      <c r="D202" s="1270"/>
      <c r="E202" s="1270"/>
      <c r="F202" s="1270"/>
    </row>
    <row r="203" spans="1:6" ht="5.0999999999999996" customHeight="1">
      <c r="A203" s="176"/>
      <c r="B203" s="176"/>
      <c r="D203" s="35"/>
      <c r="E203" s="35"/>
      <c r="F203" s="35"/>
    </row>
    <row r="204" spans="1:6" ht="14.25">
      <c r="A204" s="176"/>
      <c r="B204" s="176"/>
      <c r="D204" s="1270" t="s">
        <v>1199</v>
      </c>
      <c r="E204" s="1270"/>
      <c r="F204" s="1270"/>
    </row>
    <row r="205" spans="1:6" ht="14.25">
      <c r="A205" s="176"/>
      <c r="B205" s="176"/>
      <c r="D205" s="1270"/>
      <c r="E205" s="1270"/>
      <c r="F205" s="1270"/>
    </row>
    <row r="206" spans="1:6" ht="14.25">
      <c r="A206" s="176"/>
      <c r="B206" s="176"/>
      <c r="D206" s="1270"/>
      <c r="E206" s="1270"/>
      <c r="F206" s="1270"/>
    </row>
    <row r="207" spans="1:6" ht="14.25">
      <c r="A207" s="176"/>
      <c r="B207" s="176"/>
      <c r="D207" s="1270"/>
      <c r="E207" s="1270"/>
      <c r="F207" s="1270"/>
    </row>
    <row r="208" spans="1:6" ht="14.25">
      <c r="A208" s="176"/>
      <c r="B208" s="176"/>
      <c r="D208" s="1270"/>
      <c r="E208" s="1270"/>
      <c r="F208" s="1270"/>
    </row>
    <row r="209" spans="1:7" ht="14.25">
      <c r="A209" s="176"/>
      <c r="B209" s="176"/>
      <c r="D209" s="35"/>
      <c r="E209" s="35"/>
      <c r="F209" s="35"/>
    </row>
    <row r="210" spans="1:7" ht="14.25">
      <c r="A210" s="176"/>
      <c r="B210" s="468" t="s">
        <v>308</v>
      </c>
      <c r="D210" s="1270" t="s">
        <v>1200</v>
      </c>
      <c r="E210" s="1270"/>
      <c r="F210" s="1270"/>
    </row>
    <row r="211" spans="1:7" ht="14.25">
      <c r="A211" s="176"/>
      <c r="B211" s="176"/>
      <c r="D211" s="1270"/>
      <c r="E211" s="1270"/>
      <c r="F211" s="1270"/>
    </row>
    <row r="212" spans="1:7" ht="14.25">
      <c r="A212" s="176"/>
      <c r="B212" s="176"/>
      <c r="D212" s="1302" t="s">
        <v>909</v>
      </c>
      <c r="E212" s="1302"/>
      <c r="F212" s="1302"/>
    </row>
    <row r="213" spans="1:7" ht="14.25">
      <c r="A213" s="176"/>
      <c r="B213" s="176"/>
      <c r="D213" s="35"/>
      <c r="E213" s="35"/>
      <c r="F213" s="35"/>
    </row>
    <row r="214" spans="1:7" ht="14.45" customHeight="1">
      <c r="A214" s="176"/>
      <c r="B214" s="468" t="s">
        <v>308</v>
      </c>
      <c r="D214" s="1270" t="s">
        <v>1202</v>
      </c>
      <c r="E214" s="1270"/>
      <c r="F214" s="1270"/>
    </row>
    <row r="215" spans="1:7" ht="14.25">
      <c r="A215" s="176"/>
      <c r="B215" s="176"/>
      <c r="D215" s="1270"/>
      <c r="E215" s="1270"/>
      <c r="F215" s="1270"/>
    </row>
    <row r="216" spans="1:7" ht="14.25">
      <c r="A216" s="176"/>
      <c r="B216" s="176"/>
      <c r="D216" s="1270"/>
      <c r="E216" s="1270"/>
      <c r="F216" s="1270"/>
    </row>
    <row r="217" spans="1:7" ht="14.25">
      <c r="A217" s="176"/>
      <c r="B217" s="176"/>
      <c r="D217" s="1270"/>
      <c r="E217" s="1270"/>
      <c r="F217" s="1270"/>
    </row>
    <row r="218" spans="1:7" ht="14.25">
      <c r="A218" s="176"/>
      <c r="B218" s="176"/>
      <c r="D218" s="1270"/>
      <c r="E218" s="1270"/>
      <c r="F218" s="1270"/>
    </row>
    <row r="219" spans="1:7">
      <c r="D219" s="35"/>
      <c r="E219" s="35"/>
      <c r="F219" s="35"/>
    </row>
    <row r="220" spans="1:7" ht="14.25">
      <c r="A220" s="176"/>
      <c r="B220" s="468" t="s">
        <v>308</v>
      </c>
      <c r="D220" s="1270" t="s">
        <v>1201</v>
      </c>
      <c r="E220" s="1270"/>
      <c r="F220" s="1270"/>
    </row>
    <row r="221" spans="1:7" ht="14.25">
      <c r="A221" s="176"/>
      <c r="B221" s="176"/>
      <c r="D221" s="1270"/>
      <c r="E221" s="1270"/>
      <c r="F221" s="1270"/>
    </row>
    <row r="222" spans="1:7">
      <c r="D222" s="19"/>
    </row>
    <row r="223" spans="1:7">
      <c r="A223" s="1285" t="s">
        <v>1075</v>
      </c>
      <c r="B223" s="1285"/>
      <c r="C223" s="1285"/>
      <c r="D223" s="1285"/>
      <c r="E223" s="1285"/>
      <c r="F223" s="1285"/>
      <c r="G223" s="1285"/>
    </row>
    <row r="224" spans="1:7">
      <c r="D224" s="19"/>
    </row>
    <row r="225" spans="1:6">
      <c r="C225" s="177"/>
      <c r="D225" s="1286" t="s">
        <v>1204</v>
      </c>
      <c r="E225" s="1286"/>
      <c r="F225" s="1286"/>
    </row>
    <row r="226" spans="1:6">
      <c r="A226" s="172"/>
      <c r="B226" s="172"/>
      <c r="C226" s="172"/>
      <c r="D226" s="35"/>
      <c r="E226" s="35"/>
      <c r="F226" s="35"/>
    </row>
    <row r="227" spans="1:6">
      <c r="A227" s="175"/>
      <c r="B227" s="175"/>
      <c r="C227" s="175"/>
      <c r="D227" s="1286" t="s">
        <v>270</v>
      </c>
      <c r="E227" s="1286"/>
      <c r="F227" s="1286"/>
    </row>
    <row r="228" spans="1:6" ht="14.25">
      <c r="A228" s="176"/>
      <c r="B228" s="468" t="s">
        <v>308</v>
      </c>
      <c r="D228" s="1288" t="s">
        <v>1205</v>
      </c>
      <c r="E228" s="1288"/>
      <c r="F228" s="1288"/>
    </row>
    <row r="229" spans="1:6" ht="14.25">
      <c r="A229" s="176"/>
      <c r="B229" s="176"/>
      <c r="D229" s="1288"/>
      <c r="E229" s="1288"/>
      <c r="F229" s="1288"/>
    </row>
    <row r="230" spans="1:6">
      <c r="D230" s="35"/>
      <c r="E230" s="35"/>
      <c r="F230" s="35"/>
    </row>
    <row r="231" spans="1:6" ht="14.45" customHeight="1">
      <c r="A231" s="176"/>
      <c r="B231" s="468" t="s">
        <v>308</v>
      </c>
      <c r="D231" s="1270" t="s">
        <v>1206</v>
      </c>
      <c r="E231" s="1270"/>
      <c r="F231" s="1270"/>
    </row>
    <row r="232" spans="1:6">
      <c r="D232" s="1270"/>
      <c r="E232" s="1270"/>
      <c r="F232" s="1270"/>
    </row>
    <row r="233" spans="1:6">
      <c r="D233" s="1289" t="s">
        <v>901</v>
      </c>
      <c r="E233" s="1289"/>
      <c r="F233" s="1289"/>
    </row>
    <row r="234" spans="1:6">
      <c r="D234" s="35"/>
      <c r="E234" s="35"/>
      <c r="F234" s="35"/>
    </row>
    <row r="235" spans="1:6" ht="14.45" customHeight="1">
      <c r="A235" s="176"/>
      <c r="B235" s="468" t="s">
        <v>308</v>
      </c>
      <c r="D235" s="1270" t="s">
        <v>1208</v>
      </c>
      <c r="E235" s="1270"/>
      <c r="F235" s="1270"/>
    </row>
    <row r="236" spans="1:6">
      <c r="D236" s="1270"/>
      <c r="E236" s="1270"/>
      <c r="F236" s="1270"/>
    </row>
    <row r="237" spans="1:6">
      <c r="D237" s="1270"/>
      <c r="E237" s="1270"/>
      <c r="F237" s="1270"/>
    </row>
    <row r="238" spans="1:6">
      <c r="D238" s="1270"/>
      <c r="E238" s="1270"/>
      <c r="F238" s="1270"/>
    </row>
    <row r="239" spans="1:6">
      <c r="D239" s="1270"/>
      <c r="E239" s="1270"/>
      <c r="F239" s="1270"/>
    </row>
    <row r="240" spans="1:6">
      <c r="D240" s="35"/>
      <c r="E240" s="35"/>
      <c r="F240" s="35"/>
    </row>
    <row r="241" spans="1:7" ht="14.25">
      <c r="A241" s="176"/>
      <c r="B241" s="468" t="s">
        <v>308</v>
      </c>
      <c r="D241" s="1270" t="s">
        <v>1207</v>
      </c>
      <c r="E241" s="1270"/>
      <c r="F241" s="1270"/>
    </row>
    <row r="242" spans="1:7">
      <c r="D242" s="1270"/>
      <c r="E242" s="1270"/>
      <c r="F242" s="1270"/>
    </row>
    <row r="243" spans="1:7">
      <c r="D243" s="1270"/>
      <c r="E243" s="1270"/>
      <c r="F243" s="1270"/>
    </row>
    <row r="244" spans="1:7">
      <c r="D244" s="178"/>
      <c r="E244" s="35"/>
      <c r="F244" s="35"/>
    </row>
    <row r="245" spans="1:7">
      <c r="A245" s="1285" t="s">
        <v>1076</v>
      </c>
      <c r="B245" s="1285"/>
      <c r="C245" s="1285"/>
      <c r="D245" s="1285"/>
      <c r="E245" s="1285"/>
      <c r="F245" s="1285"/>
      <c r="G245" s="1285"/>
    </row>
    <row r="246" spans="1:7">
      <c r="D246" s="178"/>
      <c r="E246" s="35"/>
      <c r="F246" s="35"/>
    </row>
    <row r="247" spans="1:7">
      <c r="C247" s="172"/>
      <c r="D247" s="1303" t="s">
        <v>1209</v>
      </c>
      <c r="E247" s="1303"/>
      <c r="F247" s="1303"/>
    </row>
    <row r="248" spans="1:7">
      <c r="C248" s="172"/>
      <c r="D248" s="1303"/>
      <c r="E248" s="1303"/>
      <c r="F248" s="1303"/>
    </row>
    <row r="249" spans="1:7">
      <c r="A249" s="175"/>
      <c r="B249" s="175"/>
      <c r="C249" s="175"/>
      <c r="D249" s="2"/>
      <c r="E249" s="3"/>
      <c r="F249" s="3"/>
    </row>
    <row r="250" spans="1:7">
      <c r="C250" s="175"/>
      <c r="D250" s="1286" t="s">
        <v>210</v>
      </c>
      <c r="E250" s="1286"/>
      <c r="F250" s="1286"/>
    </row>
    <row r="251" spans="1:7" ht="15.75" customHeight="1">
      <c r="A251" s="176"/>
      <c r="B251" s="176"/>
      <c r="D251" s="1292" t="s">
        <v>1210</v>
      </c>
      <c r="E251" s="1292"/>
      <c r="F251" s="1292"/>
    </row>
    <row r="252" spans="1:7">
      <c r="E252" s="35"/>
      <c r="F252" s="35"/>
    </row>
    <row r="253" spans="1:7" ht="14.25">
      <c r="A253" s="176"/>
      <c r="B253" s="468" t="s">
        <v>308</v>
      </c>
      <c r="D253" s="1270" t="s">
        <v>1211</v>
      </c>
      <c r="E253" s="1270"/>
      <c r="F253" s="1270"/>
    </row>
    <row r="254" spans="1:7" ht="14.25">
      <c r="A254" s="176"/>
      <c r="B254" s="176"/>
      <c r="D254" s="1270"/>
      <c r="E254" s="1270"/>
      <c r="F254" s="1270"/>
    </row>
    <row r="255" spans="1:7">
      <c r="D255" s="35"/>
      <c r="E255" s="35"/>
      <c r="F255" s="35"/>
    </row>
    <row r="256" spans="1:7" ht="14.25">
      <c r="A256" s="176"/>
      <c r="B256" s="468" t="s">
        <v>308</v>
      </c>
      <c r="D256" s="1270" t="s">
        <v>1212</v>
      </c>
      <c r="E256" s="1270"/>
      <c r="F256" s="1270"/>
    </row>
    <row r="257" spans="1:7" ht="14.25">
      <c r="A257" s="176"/>
      <c r="B257" s="176"/>
      <c r="D257" s="1270"/>
      <c r="E257" s="1270"/>
      <c r="F257" s="1270"/>
    </row>
    <row r="258" spans="1:7" ht="14.25">
      <c r="A258" s="176"/>
      <c r="B258" s="176"/>
      <c r="D258" s="1270"/>
      <c r="E258" s="1270"/>
      <c r="F258" s="1270"/>
    </row>
    <row r="259" spans="1:7">
      <c r="D259" s="35"/>
      <c r="E259" s="35"/>
      <c r="F259" s="35"/>
    </row>
    <row r="260" spans="1:7" ht="14.25">
      <c r="A260" s="176"/>
      <c r="B260" s="468" t="s">
        <v>308</v>
      </c>
      <c r="D260" s="1270" t="s">
        <v>1213</v>
      </c>
      <c r="E260" s="1270"/>
      <c r="F260" s="1270"/>
    </row>
    <row r="261" spans="1:7" ht="14.25">
      <c r="A261" s="176"/>
      <c r="B261" s="176"/>
      <c r="D261" s="1270"/>
      <c r="E261" s="1270"/>
      <c r="F261" s="1270"/>
    </row>
    <row r="262" spans="1:7">
      <c r="A262" s="13"/>
      <c r="B262" s="13"/>
      <c r="E262" s="35"/>
      <c r="F262" s="35"/>
    </row>
    <row r="263" spans="1:7">
      <c r="A263" s="1285" t="s">
        <v>1077</v>
      </c>
      <c r="B263" s="1285"/>
      <c r="C263" s="1285"/>
      <c r="D263" s="1285"/>
      <c r="E263" s="1285"/>
      <c r="F263" s="1285"/>
      <c r="G263" s="1285"/>
    </row>
    <row r="264" spans="1:7">
      <c r="A264" s="13"/>
      <c r="B264" s="13"/>
      <c r="D264" s="35"/>
      <c r="E264" s="35"/>
      <c r="F264" s="35"/>
    </row>
    <row r="265" spans="1:7">
      <c r="C265" s="13"/>
      <c r="D265" s="1286" t="s">
        <v>690</v>
      </c>
      <c r="E265" s="1286"/>
      <c r="F265" s="1286"/>
    </row>
    <row r="266" spans="1:7">
      <c r="C266" s="13"/>
      <c r="D266" s="1281" t="s">
        <v>1214</v>
      </c>
      <c r="E266" s="1281"/>
      <c r="F266" s="1281"/>
    </row>
    <row r="267" spans="1:7">
      <c r="C267" s="13"/>
      <c r="D267" s="173"/>
    </row>
    <row r="268" spans="1:7">
      <c r="B268" s="468" t="s">
        <v>308</v>
      </c>
      <c r="D268" s="1281" t="s">
        <v>1215</v>
      </c>
      <c r="E268" s="1281"/>
      <c r="F268" s="1281"/>
    </row>
    <row r="269" spans="1:7" ht="14.25">
      <c r="A269" s="176"/>
      <c r="B269" s="176"/>
      <c r="D269" s="341"/>
      <c r="E269" s="342"/>
      <c r="F269" s="342"/>
    </row>
    <row r="270" spans="1:7" ht="13.15" customHeight="1">
      <c r="B270" s="468" t="s">
        <v>308</v>
      </c>
      <c r="D270" s="1290" t="s">
        <v>1216</v>
      </c>
      <c r="E270" s="1290"/>
      <c r="F270" s="1290"/>
    </row>
    <row r="271" spans="1:7" ht="14.25">
      <c r="A271" s="176"/>
      <c r="B271" s="176"/>
      <c r="D271" s="1290"/>
      <c r="E271" s="1290"/>
      <c r="F271" s="1290"/>
    </row>
    <row r="272" spans="1:7" ht="14.25">
      <c r="A272" s="176"/>
      <c r="B272" s="176"/>
      <c r="D272" s="1290"/>
      <c r="E272" s="1290"/>
      <c r="F272" s="1290"/>
    </row>
    <row r="273" spans="1:6" ht="14.25">
      <c r="A273" s="176"/>
      <c r="B273" s="176"/>
      <c r="D273" s="1290"/>
      <c r="E273" s="1290"/>
      <c r="F273" s="1290"/>
    </row>
    <row r="274" spans="1:6" ht="14.25">
      <c r="A274" s="176"/>
      <c r="B274" s="176"/>
      <c r="D274" s="1290"/>
      <c r="E274" s="1290"/>
      <c r="F274" s="1290"/>
    </row>
    <row r="275" spans="1:6" ht="14.25">
      <c r="A275" s="176"/>
      <c r="B275" s="176"/>
      <c r="D275" s="341"/>
      <c r="E275" s="342"/>
      <c r="F275" s="342"/>
    </row>
    <row r="276" spans="1:6" ht="13.15" customHeight="1">
      <c r="B276" s="468" t="s">
        <v>308</v>
      </c>
      <c r="D276" s="1290" t="s">
        <v>1217</v>
      </c>
      <c r="E276" s="1290"/>
      <c r="F276" s="1290"/>
    </row>
    <row r="277" spans="1:6">
      <c r="D277" s="1290"/>
      <c r="E277" s="1290"/>
      <c r="F277" s="1290"/>
    </row>
    <row r="278" spans="1:6" ht="14.25">
      <c r="A278" s="176"/>
      <c r="B278" s="176"/>
      <c r="D278" s="341"/>
      <c r="E278" s="342"/>
      <c r="F278" s="342"/>
    </row>
    <row r="279" spans="1:6">
      <c r="B279" s="468" t="s">
        <v>308</v>
      </c>
      <c r="D279" s="1281" t="s">
        <v>1218</v>
      </c>
      <c r="E279" s="1281"/>
      <c r="F279" s="1281"/>
    </row>
    <row r="280" spans="1:6">
      <c r="E280" s="35"/>
      <c r="F280" s="35"/>
    </row>
    <row r="281" spans="1:6" ht="14.25">
      <c r="A281" s="176"/>
      <c r="B281" s="468" t="s">
        <v>308</v>
      </c>
      <c r="D281" s="1270" t="s">
        <v>1219</v>
      </c>
      <c r="E281" s="1270"/>
      <c r="F281" s="1270"/>
    </row>
    <row r="282" spans="1:6" ht="14.25">
      <c r="A282" s="176"/>
      <c r="B282" s="176"/>
      <c r="D282" s="1270"/>
      <c r="E282" s="1270"/>
      <c r="F282" s="1270"/>
    </row>
    <row r="283" spans="1:6" ht="14.25">
      <c r="A283" s="176"/>
      <c r="B283" s="176"/>
      <c r="D283" s="1270"/>
      <c r="E283" s="1270"/>
      <c r="F283" s="1270"/>
    </row>
    <row r="284" spans="1:6" ht="14.25">
      <c r="A284" s="176"/>
      <c r="B284" s="176"/>
      <c r="D284" s="1270"/>
      <c r="E284" s="1270"/>
      <c r="F284" s="1270"/>
    </row>
    <row r="285" spans="1:6" ht="14.25">
      <c r="A285" s="176"/>
      <c r="B285" s="176"/>
      <c r="D285" s="1270"/>
      <c r="E285" s="1270"/>
      <c r="F285" s="1270"/>
    </row>
    <row r="286" spans="1:6" ht="14.25">
      <c r="A286" s="176"/>
      <c r="B286" s="176"/>
      <c r="D286" s="1270"/>
      <c r="E286" s="1270"/>
      <c r="F286" s="1270"/>
    </row>
    <row r="287" spans="1:6" ht="14.25">
      <c r="A287" s="176"/>
      <c r="B287" s="176"/>
      <c r="D287" s="1270"/>
      <c r="E287" s="1270"/>
      <c r="F287" s="1270"/>
    </row>
    <row r="288" spans="1:6" ht="14.25">
      <c r="A288" s="176"/>
      <c r="B288" s="176"/>
      <c r="D288" s="1270"/>
      <c r="E288" s="1270"/>
      <c r="F288" s="1270"/>
    </row>
    <row r="289" spans="1:6" ht="14.25">
      <c r="A289" s="176"/>
      <c r="B289" s="176"/>
      <c r="D289" s="1270"/>
      <c r="E289" s="1270"/>
      <c r="F289" s="1270"/>
    </row>
    <row r="290" spans="1:6" ht="14.25">
      <c r="A290" s="176"/>
      <c r="B290" s="176"/>
      <c r="D290" s="1270"/>
      <c r="E290" s="1270"/>
      <c r="F290" s="1270"/>
    </row>
    <row r="291" spans="1:6" ht="14.25">
      <c r="A291" s="176"/>
      <c r="B291" s="176"/>
      <c r="D291" s="1270"/>
      <c r="E291" s="1270"/>
      <c r="F291" s="1270"/>
    </row>
    <row r="292" spans="1:6" ht="14.25">
      <c r="A292" s="176"/>
      <c r="B292" s="176"/>
      <c r="D292" s="1270"/>
      <c r="E292" s="1270"/>
      <c r="F292" s="1270"/>
    </row>
    <row r="293" spans="1:6" ht="14.25">
      <c r="A293" s="176"/>
      <c r="B293" s="176"/>
      <c r="D293" s="1270"/>
      <c r="E293" s="1270"/>
      <c r="F293" s="1270"/>
    </row>
    <row r="294" spans="1:6" ht="14.25">
      <c r="A294" s="176"/>
      <c r="B294" s="176"/>
      <c r="D294" s="1270"/>
      <c r="E294" s="1270"/>
      <c r="F294" s="1270"/>
    </row>
    <row r="295" spans="1:6" ht="14.25">
      <c r="A295" s="176"/>
      <c r="B295" s="176"/>
      <c r="D295" s="1270"/>
      <c r="E295" s="1270"/>
      <c r="F295" s="1270"/>
    </row>
    <row r="296" spans="1:6">
      <c r="D296" s="35"/>
      <c r="E296" s="35"/>
      <c r="F296" s="35"/>
    </row>
    <row r="297" spans="1:6" ht="14.25">
      <c r="A297" s="176"/>
      <c r="B297" s="468" t="s">
        <v>308</v>
      </c>
      <c r="D297" s="1270" t="s">
        <v>1220</v>
      </c>
      <c r="E297" s="1270"/>
      <c r="F297" s="1270"/>
    </row>
    <row r="298" spans="1:6">
      <c r="D298" s="1270"/>
      <c r="E298" s="1270"/>
      <c r="F298" s="1270"/>
    </row>
    <row r="299" spans="1:6">
      <c r="D299" s="1270"/>
      <c r="E299" s="1270"/>
      <c r="F299" s="1270"/>
    </row>
    <row r="300" spans="1:6">
      <c r="D300" s="1270"/>
      <c r="E300" s="1270"/>
      <c r="F300" s="1270"/>
    </row>
    <row r="301" spans="1:6">
      <c r="D301" s="1270"/>
      <c r="E301" s="1270"/>
      <c r="F301" s="1270"/>
    </row>
    <row r="302" spans="1:6">
      <c r="D302" s="1270"/>
      <c r="E302" s="1270"/>
      <c r="F302" s="1270"/>
    </row>
    <row r="303" spans="1:6">
      <c r="D303" s="1270"/>
      <c r="E303" s="1270"/>
      <c r="F303" s="1270"/>
    </row>
    <row r="304" spans="1:6">
      <c r="D304" s="1270"/>
      <c r="E304" s="1270"/>
      <c r="F304" s="1270"/>
    </row>
    <row r="305" spans="1:7">
      <c r="D305" s="1270"/>
      <c r="E305" s="1270"/>
      <c r="F305" s="1270"/>
    </row>
    <row r="306" spans="1:7">
      <c r="D306" s="35"/>
      <c r="E306" s="35"/>
      <c r="F306" s="35"/>
    </row>
    <row r="307" spans="1:7" ht="14.25">
      <c r="A307" s="176"/>
      <c r="B307" s="468" t="s">
        <v>308</v>
      </c>
      <c r="D307" s="1270" t="s">
        <v>1221</v>
      </c>
      <c r="E307" s="1270"/>
      <c r="F307" s="1270"/>
    </row>
    <row r="308" spans="1:7">
      <c r="D308" s="1270"/>
      <c r="E308" s="1270"/>
      <c r="F308" s="1270"/>
      <c r="G308"/>
    </row>
    <row r="309" spans="1:7">
      <c r="D309" s="1270"/>
      <c r="E309" s="1270"/>
      <c r="F309" s="1270"/>
      <c r="G309"/>
    </row>
    <row r="310" spans="1:7">
      <c r="D310" s="1270"/>
      <c r="E310" s="1270"/>
      <c r="F310" s="1270"/>
      <c r="G310"/>
    </row>
    <row r="311" spans="1:7">
      <c r="D311" s="1270"/>
      <c r="E311" s="1270"/>
      <c r="F311" s="1270"/>
      <c r="G311"/>
    </row>
    <row r="312" spans="1:7">
      <c r="D312" s="1270"/>
      <c r="E312" s="1270"/>
      <c r="F312" s="1270"/>
      <c r="G312"/>
    </row>
    <row r="313" spans="1:7">
      <c r="D313" s="474"/>
      <c r="E313" s="474"/>
      <c r="F313" s="474"/>
      <c r="G313"/>
    </row>
    <row r="314" spans="1:7" ht="13.5" thickBot="1">
      <c r="D314" s="1293" t="s">
        <v>998</v>
      </c>
      <c r="E314" s="1293"/>
      <c r="F314" s="1293"/>
      <c r="G314"/>
    </row>
    <row r="315" spans="1:7" ht="13.5" thickTop="1">
      <c r="D315" s="1294" t="s">
        <v>1222</v>
      </c>
      <c r="E315" s="1294"/>
      <c r="F315" s="1294"/>
      <c r="G315"/>
    </row>
    <row r="316" spans="1:7">
      <c r="A316" s="218"/>
      <c r="B316" s="218"/>
      <c r="C316" s="218"/>
      <c r="D316" s="220"/>
      <c r="E316" s="220"/>
      <c r="F316" s="35"/>
      <c r="G316"/>
    </row>
    <row r="317" spans="1:7" ht="14.25">
      <c r="A317" s="176"/>
      <c r="B317" s="468" t="s">
        <v>308</v>
      </c>
      <c r="C317" s="218"/>
      <c r="D317" s="1283" t="s">
        <v>1223</v>
      </c>
      <c r="E317" s="1283"/>
      <c r="F317" s="1283"/>
      <c r="G317"/>
    </row>
    <row r="318" spans="1:7">
      <c r="A318" s="218"/>
      <c r="B318" s="218"/>
      <c r="C318" s="218"/>
      <c r="D318" s="220"/>
      <c r="E318" s="220"/>
      <c r="F318" s="35"/>
      <c r="G318"/>
    </row>
    <row r="319" spans="1:7">
      <c r="A319" s="218"/>
      <c r="B319" s="468" t="s">
        <v>308</v>
      </c>
      <c r="C319" s="218"/>
      <c r="D319" s="1279" t="s">
        <v>1224</v>
      </c>
      <c r="E319" s="1279"/>
      <c r="F319" s="1279"/>
      <c r="G319"/>
    </row>
    <row r="320" spans="1:7">
      <c r="A320" s="218"/>
      <c r="B320" s="218"/>
      <c r="C320" s="218"/>
      <c r="D320" s="1279"/>
      <c r="E320" s="1279"/>
      <c r="F320" s="1279"/>
      <c r="G320"/>
    </row>
    <row r="321" spans="1:7">
      <c r="A321" s="218"/>
      <c r="B321" s="218"/>
      <c r="C321" s="218"/>
      <c r="D321" s="1279"/>
      <c r="E321" s="1279"/>
      <c r="F321" s="1279"/>
      <c r="G321"/>
    </row>
    <row r="322" spans="1:7">
      <c r="A322" s="218"/>
      <c r="B322" s="218"/>
      <c r="C322" s="218"/>
      <c r="D322" s="1279"/>
      <c r="E322" s="1279"/>
      <c r="F322" s="1279"/>
      <c r="G322"/>
    </row>
    <row r="323" spans="1:7">
      <c r="A323" s="218"/>
      <c r="B323" s="218"/>
      <c r="C323" s="218"/>
      <c r="D323" s="1279"/>
      <c r="E323" s="1279"/>
      <c r="F323" s="1279"/>
      <c r="G323"/>
    </row>
    <row r="324" spans="1:7">
      <c r="A324" s="218"/>
      <c r="B324" s="218"/>
      <c r="C324" s="218"/>
      <c r="D324" s="1279"/>
      <c r="E324" s="1279"/>
      <c r="F324" s="1279"/>
      <c r="G324"/>
    </row>
    <row r="325" spans="1:7">
      <c r="A325" s="218"/>
      <c r="B325" s="218"/>
      <c r="C325" s="218"/>
      <c r="D325" s="1279"/>
      <c r="E325" s="1279"/>
      <c r="F325" s="1279"/>
      <c r="G325"/>
    </row>
    <row r="326" spans="1:7">
      <c r="A326" s="218"/>
      <c r="B326" s="218"/>
      <c r="C326" s="218"/>
      <c r="D326" s="1279"/>
      <c r="E326" s="1279"/>
      <c r="F326" s="1279"/>
      <c r="G326"/>
    </row>
    <row r="327" spans="1:7">
      <c r="A327" s="218"/>
      <c r="B327" s="218"/>
      <c r="C327" s="218"/>
      <c r="D327" s="1279"/>
      <c r="E327" s="1279"/>
      <c r="F327" s="1279"/>
      <c r="G327"/>
    </row>
    <row r="328" spans="1:7">
      <c r="A328" s="218"/>
      <c r="B328" s="218"/>
      <c r="C328" s="218"/>
      <c r="D328" s="1279"/>
      <c r="E328" s="1279"/>
      <c r="F328" s="1279"/>
      <c r="G328"/>
    </row>
    <row r="329" spans="1:7">
      <c r="A329" s="218"/>
      <c r="B329" s="218"/>
      <c r="C329" s="218"/>
      <c r="D329" s="1279"/>
      <c r="E329" s="1279"/>
      <c r="F329" s="1279"/>
      <c r="G329"/>
    </row>
    <row r="330" spans="1:7">
      <c r="A330" s="218"/>
      <c r="B330" s="218"/>
      <c r="C330" s="218"/>
      <c r="D330"/>
      <c r="E330" s="220"/>
      <c r="F330" s="35"/>
      <c r="G330"/>
    </row>
    <row r="331" spans="1:7" ht="14.25">
      <c r="A331" s="176"/>
      <c r="B331" s="468" t="s">
        <v>308</v>
      </c>
      <c r="C331" s="218"/>
      <c r="D331" s="1279" t="s">
        <v>1225</v>
      </c>
      <c r="E331" s="1279"/>
      <c r="F331" s="1279"/>
      <c r="G331"/>
    </row>
    <row r="332" spans="1:7">
      <c r="A332" s="218"/>
      <c r="B332" s="218"/>
      <c r="C332" s="218"/>
      <c r="D332" s="1279"/>
      <c r="E332" s="1279"/>
      <c r="F332" s="1279"/>
      <c r="G332"/>
    </row>
    <row r="333" spans="1:7">
      <c r="A333" s="218"/>
      <c r="B333" s="218"/>
      <c r="C333" s="218"/>
      <c r="D333" s="1279"/>
      <c r="E333" s="1279"/>
      <c r="F333" s="1279"/>
      <c r="G333"/>
    </row>
    <row r="334" spans="1:7">
      <c r="A334" s="218"/>
      <c r="B334" s="218"/>
      <c r="C334" s="218"/>
      <c r="D334" s="1279"/>
      <c r="E334" s="1279"/>
      <c r="F334" s="1279"/>
      <c r="G334"/>
    </row>
    <row r="335" spans="1:7">
      <c r="A335" s="218"/>
      <c r="B335" s="218"/>
      <c r="C335" s="218"/>
      <c r="D335" s="220"/>
      <c r="E335" s="220"/>
      <c r="F335" s="35"/>
      <c r="G335"/>
    </row>
    <row r="336" spans="1:7">
      <c r="A336" s="218"/>
      <c r="B336" s="218"/>
      <c r="C336" s="218"/>
      <c r="D336" s="1279" t="s">
        <v>1226</v>
      </c>
      <c r="E336" s="1279"/>
      <c r="F336" s="1279"/>
      <c r="G336"/>
    </row>
    <row r="337" spans="1:7">
      <c r="A337" s="218"/>
      <c r="B337" s="218"/>
      <c r="C337" s="218"/>
      <c r="D337" s="1279"/>
      <c r="E337" s="1279"/>
      <c r="F337" s="1279"/>
      <c r="G337"/>
    </row>
    <row r="338" spans="1:7">
      <c r="A338" s="218"/>
      <c r="B338" s="218"/>
      <c r="C338" s="218"/>
      <c r="D338" s="1279"/>
      <c r="E338" s="1279"/>
      <c r="F338" s="1279"/>
      <c r="G338"/>
    </row>
    <row r="339" spans="1:7">
      <c r="A339" s="218"/>
      <c r="B339" s="218"/>
      <c r="C339" s="218"/>
      <c r="D339" s="1279"/>
      <c r="E339" s="1279"/>
      <c r="F339" s="1279"/>
      <c r="G339"/>
    </row>
    <row r="340" spans="1:7" ht="18" customHeight="1">
      <c r="A340" s="218"/>
      <c r="B340" s="218"/>
      <c r="C340" s="218"/>
      <c r="D340" s="1279"/>
      <c r="E340" s="1279"/>
      <c r="F340" s="1279"/>
      <c r="G340"/>
    </row>
    <row r="341" spans="1:7">
      <c r="A341" s="218"/>
      <c r="B341" s="218"/>
      <c r="C341" s="218"/>
      <c r="D341" s="1279"/>
      <c r="E341" s="1279"/>
      <c r="F341" s="1279"/>
      <c r="G341"/>
    </row>
    <row r="342" spans="1:7">
      <c r="A342" s="218"/>
      <c r="B342" s="218"/>
      <c r="C342" s="218"/>
      <c r="D342" s="1279"/>
      <c r="E342" s="1279"/>
      <c r="F342" s="1279"/>
      <c r="G342"/>
    </row>
    <row r="343" spans="1:7">
      <c r="A343" s="218"/>
      <c r="B343" s="218"/>
      <c r="C343" s="218"/>
      <c r="D343" s="1279"/>
      <c r="E343" s="1279"/>
      <c r="F343" s="1279"/>
      <c r="G343"/>
    </row>
    <row r="344" spans="1:7" ht="8.25" customHeight="1">
      <c r="A344" s="218"/>
      <c r="B344" s="218"/>
      <c r="C344" s="218"/>
      <c r="D344" s="1279"/>
      <c r="E344" s="1279"/>
      <c r="F344" s="1279"/>
      <c r="G344"/>
    </row>
    <row r="345" spans="1:7" ht="13.15" customHeight="1">
      <c r="A345" s="218"/>
      <c r="B345" s="218"/>
      <c r="C345" s="218"/>
      <c r="D345" s="1279" t="s">
        <v>1227</v>
      </c>
      <c r="E345" s="1279"/>
      <c r="F345" s="1279"/>
      <c r="G345"/>
    </row>
    <row r="346" spans="1:7">
      <c r="A346" s="218"/>
      <c r="B346" s="218"/>
      <c r="C346" s="218"/>
      <c r="D346" s="1279"/>
      <c r="E346" s="1279"/>
      <c r="F346" s="1279"/>
      <c r="G346"/>
    </row>
    <row r="347" spans="1:7">
      <c r="A347" s="218"/>
      <c r="B347" s="218"/>
      <c r="C347" s="218"/>
      <c r="D347" s="1279"/>
      <c r="E347" s="1279"/>
      <c r="F347" s="1279"/>
      <c r="G347"/>
    </row>
    <row r="348" spans="1:7">
      <c r="A348" s="218"/>
      <c r="B348" s="218"/>
      <c r="C348" s="218"/>
      <c r="D348" s="1279"/>
      <c r="E348" s="1279"/>
      <c r="F348" s="1279"/>
      <c r="G348"/>
    </row>
    <row r="349" spans="1:7">
      <c r="A349" s="218"/>
      <c r="B349" s="218"/>
      <c r="C349" s="218"/>
      <c r="D349" s="1279"/>
      <c r="E349" s="1279"/>
      <c r="F349" s="1279"/>
      <c r="G349"/>
    </row>
    <row r="350" spans="1:7">
      <c r="A350" s="218"/>
      <c r="B350" s="218"/>
      <c r="C350" s="218"/>
      <c r="D350" s="1279"/>
      <c r="E350" s="1279"/>
      <c r="F350" s="1279"/>
      <c r="G350"/>
    </row>
    <row r="351" spans="1:7">
      <c r="A351" s="218"/>
      <c r="B351" s="218"/>
      <c r="C351" s="218"/>
      <c r="D351" s="1279"/>
      <c r="E351" s="1279"/>
      <c r="F351" s="1279"/>
      <c r="G351"/>
    </row>
    <row r="352" spans="1:7">
      <c r="A352" s="218"/>
      <c r="B352" s="218"/>
      <c r="C352" s="218"/>
      <c r="D352" s="1279"/>
      <c r="E352" s="1279"/>
      <c r="F352" s="1279"/>
      <c r="G352"/>
    </row>
    <row r="353" spans="1:7">
      <c r="A353" s="218"/>
      <c r="B353" s="218"/>
      <c r="C353" s="218"/>
      <c r="D353" s="1279"/>
      <c r="E353" s="1279"/>
      <c r="F353" s="1279"/>
      <c r="G353"/>
    </row>
    <row r="354" spans="1:7">
      <c r="A354" s="218"/>
      <c r="B354" s="218"/>
      <c r="C354" s="218"/>
      <c r="D354" s="1279"/>
      <c r="E354" s="1279"/>
      <c r="F354" s="1279"/>
      <c r="G354"/>
    </row>
    <row r="355" spans="1:7">
      <c r="A355" s="218"/>
      <c r="B355" s="218"/>
      <c r="C355" s="218"/>
      <c r="D355" s="1279"/>
      <c r="E355" s="1279"/>
      <c r="F355" s="1279"/>
      <c r="G355"/>
    </row>
    <row r="356" spans="1:7">
      <c r="A356" s="218"/>
      <c r="B356" s="218"/>
      <c r="C356" s="218"/>
      <c r="D356" s="1279"/>
      <c r="E356" s="1279"/>
      <c r="F356" s="1279"/>
      <c r="G356"/>
    </row>
    <row r="357" spans="1:7">
      <c r="A357" s="218"/>
      <c r="B357" s="218"/>
      <c r="C357" s="347"/>
      <c r="D357" s="1279"/>
      <c r="E357" s="1279"/>
      <c r="F357" s="1279"/>
      <c r="G357"/>
    </row>
    <row r="358" spans="1:7">
      <c r="A358" s="218"/>
      <c r="B358" s="218"/>
      <c r="C358" s="347"/>
      <c r="D358" s="1279"/>
      <c r="E358" s="1279"/>
      <c r="F358" s="1279"/>
      <c r="G358"/>
    </row>
    <row r="359" spans="1:7">
      <c r="A359" s="218"/>
      <c r="B359" s="218"/>
      <c r="C359" s="218"/>
      <c r="D359" s="1279"/>
      <c r="E359" s="1279"/>
      <c r="F359" s="1279"/>
      <c r="G359"/>
    </row>
    <row r="360" spans="1:7">
      <c r="A360" s="218"/>
      <c r="B360" s="218"/>
      <c r="C360" s="347"/>
      <c r="D360" s="1279"/>
      <c r="E360" s="1279"/>
      <c r="F360" s="1279"/>
      <c r="G360"/>
    </row>
    <row r="361" spans="1:7">
      <c r="A361" s="218"/>
      <c r="B361" s="218"/>
      <c r="C361" s="347"/>
      <c r="D361" s="1279"/>
      <c r="E361" s="1279"/>
      <c r="F361" s="1279"/>
      <c r="G361"/>
    </row>
    <row r="362" spans="1:7">
      <c r="A362" s="218"/>
      <c r="B362" s="218"/>
      <c r="C362" s="347"/>
      <c r="D362" s="1279"/>
      <c r="E362" s="1279"/>
      <c r="F362" s="1279"/>
      <c r="G362"/>
    </row>
    <row r="363" spans="1:7">
      <c r="A363" s="218"/>
      <c r="B363" s="218"/>
      <c r="C363" s="218"/>
      <c r="D363" s="220"/>
      <c r="E363" s="220"/>
      <c r="F363" s="35"/>
      <c r="G363"/>
    </row>
    <row r="364" spans="1:7">
      <c r="A364" s="218"/>
      <c r="B364" s="468" t="s">
        <v>308</v>
      </c>
      <c r="C364" s="218"/>
      <c r="D364" s="1279" t="s">
        <v>1228</v>
      </c>
      <c r="E364" s="1279"/>
      <c r="F364" s="1279"/>
      <c r="G364"/>
    </row>
    <row r="365" spans="1:7">
      <c r="A365" s="218"/>
      <c r="B365" s="218"/>
      <c r="C365" s="218"/>
      <c r="D365" s="1279"/>
      <c r="E365" s="1279"/>
      <c r="F365" s="1279"/>
      <c r="G365"/>
    </row>
    <row r="366" spans="1:7">
      <c r="A366" s="218"/>
      <c r="B366" s="218"/>
      <c r="C366" s="218"/>
      <c r="D366" s="220"/>
      <c r="E366" s="220"/>
      <c r="F366" s="35"/>
      <c r="G366"/>
    </row>
    <row r="367" spans="1:7" ht="14.25">
      <c r="A367" s="176"/>
      <c r="B367" s="468" t="s">
        <v>308</v>
      </c>
      <c r="C367" s="218"/>
      <c r="D367" s="1279" t="s">
        <v>1229</v>
      </c>
      <c r="E367" s="1279"/>
      <c r="F367" s="1279"/>
      <c r="G367"/>
    </row>
    <row r="368" spans="1:7" ht="14.25">
      <c r="A368" s="346"/>
      <c r="B368" s="346"/>
      <c r="C368" s="218"/>
      <c r="D368" s="1279"/>
      <c r="E368" s="1279"/>
      <c r="F368" s="1279"/>
      <c r="G368"/>
    </row>
    <row r="369" spans="1:7" ht="14.25">
      <c r="A369" s="346"/>
      <c r="B369" s="346"/>
      <c r="C369" s="218"/>
      <c r="D369" s="1279"/>
      <c r="E369" s="1279"/>
      <c r="F369" s="1279"/>
      <c r="G369"/>
    </row>
    <row r="370" spans="1:7" ht="14.25">
      <c r="A370" s="346"/>
      <c r="B370" s="346"/>
      <c r="C370" s="218"/>
      <c r="D370" s="1279"/>
      <c r="E370" s="1279"/>
      <c r="F370" s="1279"/>
      <c r="G370"/>
    </row>
    <row r="371" spans="1:7" ht="14.25">
      <c r="A371" s="346"/>
      <c r="B371" s="346"/>
      <c r="C371" s="218"/>
      <c r="D371" s="1279"/>
      <c r="E371" s="1279"/>
      <c r="F371" s="1279"/>
      <c r="G371"/>
    </row>
    <row r="372" spans="1:7">
      <c r="D372" s="35"/>
      <c r="E372" s="35"/>
      <c r="F372" s="35"/>
      <c r="G372"/>
    </row>
    <row r="373" spans="1:7" ht="14.25">
      <c r="A373" s="176"/>
      <c r="B373" s="468" t="s">
        <v>308</v>
      </c>
      <c r="C373" s="179"/>
      <c r="D373" s="1270" t="s">
        <v>1230</v>
      </c>
      <c r="E373" s="1270"/>
      <c r="F373" s="1270"/>
      <c r="G373"/>
    </row>
    <row r="374" spans="1:7" ht="14.25">
      <c r="A374" s="176"/>
      <c r="B374" s="176"/>
      <c r="D374" s="1270"/>
      <c r="E374" s="1270"/>
      <c r="F374" s="1270"/>
      <c r="G374"/>
    </row>
    <row r="375" spans="1:7">
      <c r="D375" s="1270"/>
      <c r="E375" s="1270"/>
      <c r="F375" s="1270"/>
      <c r="G375"/>
    </row>
    <row r="376" spans="1:7">
      <c r="D376" s="1270"/>
      <c r="E376" s="1270"/>
      <c r="F376" s="1270"/>
      <c r="G376"/>
    </row>
    <row r="377" spans="1:7">
      <c r="D377" s="1270"/>
      <c r="E377" s="1270"/>
      <c r="F377" s="1270"/>
      <c r="G377"/>
    </row>
    <row r="378" spans="1:7">
      <c r="D378" s="1270"/>
      <c r="E378" s="1270"/>
      <c r="F378" s="1270"/>
      <c r="G378"/>
    </row>
    <row r="379" spans="1:7">
      <c r="D379" s="1270"/>
      <c r="E379" s="1270"/>
      <c r="F379" s="1270"/>
      <c r="G379"/>
    </row>
    <row r="380" spans="1:7">
      <c r="D380" s="1270"/>
      <c r="E380" s="1270"/>
      <c r="F380" s="1270"/>
      <c r="G380"/>
    </row>
    <row r="381" spans="1:7">
      <c r="D381" s="1270"/>
      <c r="E381" s="1270"/>
      <c r="F381" s="1270"/>
      <c r="G381"/>
    </row>
    <row r="382" spans="1:7">
      <c r="D382" s="1270"/>
      <c r="E382" s="1270"/>
      <c r="F382" s="1270"/>
      <c r="G382"/>
    </row>
    <row r="383" spans="1:7">
      <c r="D383" s="1270"/>
      <c r="E383" s="1270"/>
      <c r="F383" s="1270"/>
      <c r="G383"/>
    </row>
    <row r="384" spans="1:7">
      <c r="D384" s="1270"/>
      <c r="E384" s="1270"/>
      <c r="F384" s="1270"/>
      <c r="G384"/>
    </row>
    <row r="385" spans="1:7">
      <c r="D385" s="1270"/>
      <c r="E385" s="1270"/>
      <c r="F385" s="1270"/>
      <c r="G385"/>
    </row>
    <row r="386" spans="1:7">
      <c r="A386"/>
      <c r="B386"/>
      <c r="C386"/>
      <c r="D386" s="1270"/>
      <c r="E386" s="1270"/>
      <c r="F386" s="1270"/>
      <c r="G386"/>
    </row>
    <row r="387" spans="1:7">
      <c r="A387"/>
      <c r="B387"/>
      <c r="C387"/>
      <c r="D387" s="1270"/>
      <c r="E387" s="1270"/>
      <c r="F387" s="1270"/>
      <c r="G387"/>
    </row>
    <row r="388" spans="1:7">
      <c r="A388"/>
      <c r="B388"/>
      <c r="C388"/>
      <c r="D388" s="1270"/>
      <c r="E388" s="1270"/>
      <c r="F388" s="1270"/>
      <c r="G388"/>
    </row>
    <row r="389" spans="1:7">
      <c r="A389"/>
      <c r="B389"/>
      <c r="C389"/>
      <c r="D389" s="1270"/>
      <c r="E389" s="1270"/>
      <c r="F389" s="1270"/>
      <c r="G389"/>
    </row>
    <row r="390" spans="1:7">
      <c r="A390"/>
      <c r="B390"/>
      <c r="C390"/>
      <c r="D390" s="1270"/>
      <c r="E390" s="1270"/>
      <c r="F390" s="1270"/>
      <c r="G390"/>
    </row>
    <row r="391" spans="1:7">
      <c r="A391"/>
      <c r="B391"/>
      <c r="C391"/>
      <c r="D391" s="1270"/>
      <c r="E391" s="1270"/>
      <c r="F391" s="1270"/>
      <c r="G391"/>
    </row>
    <row r="392" spans="1:7">
      <c r="A392"/>
      <c r="B392"/>
      <c r="C392"/>
      <c r="D392" s="1270"/>
      <c r="E392" s="1270"/>
      <c r="F392" s="1270"/>
      <c r="G392"/>
    </row>
    <row r="393" spans="1:7">
      <c r="A393"/>
      <c r="B393"/>
      <c r="C393"/>
      <c r="D393" s="1270"/>
      <c r="E393" s="1270"/>
      <c r="F393" s="1270"/>
      <c r="G393"/>
    </row>
    <row r="394" spans="1:7">
      <c r="A394"/>
      <c r="B394"/>
      <c r="C394"/>
      <c r="D394" s="1270"/>
      <c r="E394" s="1270"/>
      <c r="F394" s="1270"/>
      <c r="G394"/>
    </row>
    <row r="395" spans="1:7">
      <c r="A395"/>
      <c r="B395"/>
      <c r="C395"/>
      <c r="D395" s="1270"/>
      <c r="E395" s="1270"/>
      <c r="F395" s="1270"/>
      <c r="G395"/>
    </row>
    <row r="396" spans="1:7">
      <c r="A396"/>
      <c r="B396"/>
      <c r="C396"/>
      <c r="D396" s="1270"/>
      <c r="E396" s="1270"/>
      <c r="F396" s="1270"/>
      <c r="G396"/>
    </row>
    <row r="397" spans="1:7">
      <c r="A397"/>
      <c r="B397"/>
      <c r="C397"/>
      <c r="D397" s="1270"/>
      <c r="E397" s="1270"/>
      <c r="F397" s="1270"/>
      <c r="G397"/>
    </row>
    <row r="398" spans="1:7">
      <c r="A398"/>
      <c r="B398"/>
      <c r="C398"/>
      <c r="D398" s="1270"/>
      <c r="E398" s="1270"/>
      <c r="F398" s="1270"/>
      <c r="G398"/>
    </row>
    <row r="399" spans="1:7">
      <c r="A399"/>
      <c r="B399"/>
      <c r="C399"/>
      <c r="D399" s="1270"/>
      <c r="E399" s="1270"/>
      <c r="F399" s="1270"/>
      <c r="G399"/>
    </row>
    <row r="400" spans="1:7">
      <c r="A400"/>
      <c r="B400"/>
      <c r="C400"/>
      <c r="D400" s="1270"/>
      <c r="E400" s="1270"/>
      <c r="F400" s="1270"/>
      <c r="G400"/>
    </row>
    <row r="401" spans="1:7">
      <c r="A401"/>
      <c r="B401"/>
      <c r="C401"/>
      <c r="D401" s="1270"/>
      <c r="E401" s="1270"/>
      <c r="F401" s="1270"/>
      <c r="G401"/>
    </row>
    <row r="402" spans="1:7">
      <c r="D402" s="1270"/>
      <c r="E402" s="1270"/>
      <c r="F402" s="1270"/>
    </row>
    <row r="403" spans="1:7" ht="40.700000000000003" customHeight="1">
      <c r="D403" s="1270"/>
      <c r="E403" s="1270"/>
      <c r="F403" s="1270"/>
    </row>
    <row r="404" spans="1:7">
      <c r="D404" s="35"/>
      <c r="E404" s="35"/>
      <c r="F404" s="35"/>
    </row>
    <row r="405" spans="1:7" ht="14.25">
      <c r="A405" s="176"/>
      <c r="B405" s="468" t="s">
        <v>308</v>
      </c>
      <c r="C405" s="179"/>
      <c r="D405" s="1281" t="s">
        <v>1231</v>
      </c>
      <c r="E405" s="1281"/>
      <c r="F405" s="1281"/>
    </row>
    <row r="406" spans="1:7">
      <c r="D406" s="1291" t="s">
        <v>1006</v>
      </c>
      <c r="E406" s="1291"/>
      <c r="F406" s="1291"/>
    </row>
    <row r="407" spans="1:7">
      <c r="D407" s="1270" t="s">
        <v>1232</v>
      </c>
      <c r="E407" s="1270"/>
      <c r="F407" s="1270"/>
    </row>
    <row r="408" spans="1:7">
      <c r="D408" s="1270"/>
      <c r="E408" s="1270"/>
      <c r="F408" s="1270"/>
    </row>
    <row r="409" spans="1:7">
      <c r="D409" s="1270"/>
      <c r="E409" s="1270"/>
      <c r="F409" s="1270"/>
    </row>
    <row r="410" spans="1:7">
      <c r="D410" s="1270"/>
      <c r="E410" s="1270"/>
      <c r="F410" s="1270"/>
    </row>
    <row r="411" spans="1:7">
      <c r="D411" s="35"/>
      <c r="E411" s="35"/>
      <c r="F411" s="35"/>
      <c r="G411"/>
    </row>
    <row r="412" spans="1:7" ht="14.25">
      <c r="A412" s="176"/>
      <c r="B412" s="468" t="s">
        <v>308</v>
      </c>
      <c r="C412" s="179"/>
      <c r="D412" s="1270" t="s">
        <v>1233</v>
      </c>
      <c r="E412" s="1270"/>
      <c r="F412" s="1270"/>
      <c r="G412"/>
    </row>
    <row r="413" spans="1:7">
      <c r="D413" s="1270"/>
      <c r="E413" s="1270"/>
      <c r="F413" s="1270"/>
      <c r="G413"/>
    </row>
    <row r="414" spans="1:7">
      <c r="D414" s="1270"/>
      <c r="E414" s="1270"/>
      <c r="F414" s="1270"/>
      <c r="G414"/>
    </row>
    <row r="415" spans="1:7">
      <c r="D415" s="474"/>
      <c r="E415" s="474"/>
      <c r="F415" s="474"/>
      <c r="G415"/>
    </row>
    <row r="416" spans="1:7" ht="14.25">
      <c r="B416" s="468" t="s">
        <v>308</v>
      </c>
      <c r="C416" s="176"/>
      <c r="D416" s="1270" t="s">
        <v>1234</v>
      </c>
      <c r="E416" s="1270"/>
      <c r="F416" s="1270"/>
      <c r="G416"/>
    </row>
    <row r="417" spans="1:7">
      <c r="D417" s="1270"/>
      <c r="E417" s="1270"/>
      <c r="F417" s="1270"/>
      <c r="G417"/>
    </row>
    <row r="418" spans="1:7">
      <c r="D418" s="35"/>
      <c r="E418" s="35"/>
      <c r="F418" s="35"/>
      <c r="G418"/>
    </row>
    <row r="419" spans="1:7" ht="14.25">
      <c r="B419" s="468" t="s">
        <v>308</v>
      </c>
      <c r="C419" s="176"/>
      <c r="D419" s="1270" t="s">
        <v>1235</v>
      </c>
      <c r="E419" s="1270"/>
      <c r="F419" s="1270"/>
      <c r="G419"/>
    </row>
    <row r="420" spans="1:7">
      <c r="D420" s="1270"/>
      <c r="E420" s="1270"/>
      <c r="F420" s="1270"/>
      <c r="G420"/>
    </row>
    <row r="421" spans="1:7">
      <c r="D421" s="1270"/>
      <c r="E421" s="1270"/>
      <c r="F421" s="1270"/>
      <c r="G421"/>
    </row>
    <row r="422" spans="1:7">
      <c r="D422" s="1270"/>
      <c r="E422" s="1270"/>
      <c r="F422" s="1270"/>
      <c r="G422"/>
    </row>
    <row r="423" spans="1:7">
      <c r="B423" s="468" t="s">
        <v>308</v>
      </c>
      <c r="D423" s="1270"/>
      <c r="E423" s="1270"/>
      <c r="F423" s="1270"/>
      <c r="G423"/>
    </row>
    <row r="424" spans="1:7">
      <c r="A424"/>
      <c r="B424"/>
      <c r="C424"/>
      <c r="D424" s="1270"/>
      <c r="E424" s="1270"/>
      <c r="F424" s="1270"/>
      <c r="G424"/>
    </row>
    <row r="425" spans="1:7">
      <c r="A425"/>
      <c r="C425"/>
      <c r="D425" s="1270"/>
      <c r="E425" s="1270"/>
      <c r="F425" s="1270"/>
      <c r="G425"/>
    </row>
    <row r="426" spans="1:7">
      <c r="A426"/>
      <c r="B426" s="468" t="s">
        <v>308</v>
      </c>
      <c r="C426"/>
      <c r="D426" s="1270"/>
      <c r="E426" s="1270"/>
      <c r="F426" s="1270"/>
      <c r="G426"/>
    </row>
    <row r="427" spans="1:7">
      <c r="A427"/>
      <c r="B427"/>
      <c r="C427"/>
      <c r="D427" s="1270"/>
      <c r="E427" s="1270"/>
      <c r="F427" s="1270"/>
      <c r="G427"/>
    </row>
    <row r="428" spans="1:7">
      <c r="A428"/>
      <c r="C428"/>
      <c r="D428" s="1270"/>
      <c r="E428" s="1270"/>
      <c r="F428" s="1270"/>
      <c r="G428"/>
    </row>
    <row r="429" spans="1:7">
      <c r="A429"/>
      <c r="C429"/>
      <c r="D429" s="1270"/>
      <c r="E429" s="1270"/>
      <c r="F429" s="1270"/>
      <c r="G429"/>
    </row>
    <row r="430" spans="1:7">
      <c r="A430"/>
      <c r="B430" s="468" t="s">
        <v>308</v>
      </c>
      <c r="C430"/>
      <c r="D430" s="1270"/>
      <c r="E430" s="1270"/>
      <c r="F430" s="1270"/>
      <c r="G430"/>
    </row>
    <row r="431" spans="1:7">
      <c r="A431"/>
      <c r="B431"/>
      <c r="C431"/>
      <c r="D431" s="1270"/>
      <c r="E431" s="1270"/>
      <c r="F431" s="1270"/>
      <c r="G431"/>
    </row>
    <row r="432" spans="1:7">
      <c r="A432"/>
      <c r="B432" s="468" t="s">
        <v>308</v>
      </c>
      <c r="C432"/>
      <c r="D432" s="1270"/>
      <c r="E432" s="1270"/>
      <c r="F432" s="1270"/>
      <c r="G432"/>
    </row>
    <row r="433" spans="1:7">
      <c r="A433"/>
      <c r="B433"/>
      <c r="C433"/>
      <c r="D433" s="474"/>
      <c r="E433" s="474"/>
      <c r="F433" s="474"/>
      <c r="G433"/>
    </row>
    <row r="434" spans="1:7">
      <c r="A434"/>
      <c r="B434" s="468" t="s">
        <v>308</v>
      </c>
      <c r="C434"/>
      <c r="D434" s="1270" t="s">
        <v>1236</v>
      </c>
      <c r="E434" s="1270"/>
      <c r="F434" s="1270"/>
      <c r="G434"/>
    </row>
    <row r="435" spans="1:7">
      <c r="A435"/>
      <c r="B435"/>
      <c r="C435"/>
      <c r="D435" s="1270"/>
      <c r="E435" s="1270"/>
      <c r="F435" s="1270"/>
      <c r="G435"/>
    </row>
    <row r="436" spans="1:7">
      <c r="A436"/>
      <c r="B436"/>
      <c r="C436"/>
      <c r="D436" s="1270"/>
      <c r="E436" s="1270"/>
      <c r="F436" s="1270"/>
      <c r="G436"/>
    </row>
    <row r="437" spans="1:7">
      <c r="A437"/>
      <c r="B437"/>
      <c r="C437"/>
      <c r="D437" s="1270"/>
      <c r="E437" s="1270"/>
      <c r="F437" s="1270"/>
      <c r="G437"/>
    </row>
    <row r="438" spans="1:7">
      <c r="D438" s="1270"/>
      <c r="E438" s="1270"/>
      <c r="F438" s="1270"/>
    </row>
    <row r="439" spans="1:7">
      <c r="D439" s="35"/>
      <c r="E439" s="35"/>
      <c r="F439" s="35"/>
    </row>
    <row r="440" spans="1:7">
      <c r="B440" s="468" t="s">
        <v>308</v>
      </c>
      <c r="D440" s="1281" t="s">
        <v>1237</v>
      </c>
      <c r="E440" s="1281"/>
      <c r="F440" s="1281"/>
    </row>
    <row r="441" spans="1:7">
      <c r="A441" s="35"/>
      <c r="B441" s="35"/>
    </row>
    <row r="442" spans="1:7">
      <c r="A442" s="1285" t="s">
        <v>1078</v>
      </c>
      <c r="B442" s="1285"/>
      <c r="C442" s="1285"/>
      <c r="D442" s="1285"/>
      <c r="E442" s="1285"/>
      <c r="F442" s="1285"/>
      <c r="G442" s="1285"/>
    </row>
    <row r="443" spans="1:7">
      <c r="A443" s="35"/>
      <c r="B443" s="35"/>
    </row>
    <row r="444" spans="1:7">
      <c r="D444" s="1282" t="s">
        <v>895</v>
      </c>
      <c r="E444" s="1282"/>
      <c r="F444" s="1282"/>
    </row>
    <row r="445" spans="1:7" ht="14.25">
      <c r="A445" s="176"/>
      <c r="B445" s="176"/>
      <c r="D445" s="1283" t="s">
        <v>1238</v>
      </c>
      <c r="E445" s="1283"/>
      <c r="F445" s="1283"/>
    </row>
    <row r="446" spans="1:7" ht="14.25">
      <c r="A446" s="176"/>
      <c r="B446" s="176"/>
      <c r="D446" s="481"/>
      <c r="E446" s="3"/>
      <c r="F446" s="3"/>
    </row>
    <row r="447" spans="1:7" ht="14.25">
      <c r="A447" s="176"/>
      <c r="B447" s="468" t="s">
        <v>308</v>
      </c>
      <c r="D447" s="1279" t="s">
        <v>1239</v>
      </c>
      <c r="E447" s="1279"/>
      <c r="F447" s="1279"/>
    </row>
    <row r="448" spans="1:7" ht="14.25">
      <c r="A448" s="176"/>
      <c r="B448" s="176"/>
      <c r="D448" s="1279"/>
      <c r="E448" s="1279"/>
      <c r="F448" s="1279"/>
    </row>
    <row r="449" spans="1:7" ht="14.25">
      <c r="A449" s="176"/>
      <c r="B449" s="176"/>
      <c r="D449" s="118"/>
      <c r="E449" s="3"/>
      <c r="F449" s="3"/>
    </row>
    <row r="450" spans="1:7">
      <c r="B450" s="468" t="s">
        <v>308</v>
      </c>
      <c r="D450" s="1284" t="s">
        <v>1240</v>
      </c>
      <c r="E450" s="1284"/>
      <c r="F450" s="1284"/>
    </row>
    <row r="451" spans="1:7" ht="14.25">
      <c r="A451" s="176"/>
      <c r="D451" s="1284"/>
      <c r="E451" s="1284"/>
      <c r="F451" s="1284"/>
    </row>
    <row r="452" spans="1:7" ht="14.25">
      <c r="A452" s="176"/>
      <c r="B452" s="176"/>
      <c r="D452" s="1284"/>
      <c r="E452" s="1284"/>
      <c r="F452" s="1284"/>
    </row>
    <row r="453" spans="1:7" ht="14.25">
      <c r="A453" s="176"/>
      <c r="B453" s="176"/>
      <c r="D453" s="1284"/>
      <c r="E453" s="1284"/>
      <c r="F453" s="1284"/>
    </row>
    <row r="454" spans="1:7">
      <c r="D454" s="3"/>
      <c r="E454" s="3"/>
      <c r="F454" s="3"/>
      <c r="G454"/>
    </row>
    <row r="455" spans="1:7" ht="14.25">
      <c r="A455" s="176"/>
      <c r="B455" s="468" t="s">
        <v>308</v>
      </c>
      <c r="D455" s="1270" t="s">
        <v>1241</v>
      </c>
      <c r="E455" s="1270"/>
      <c r="F455" s="1270"/>
      <c r="G455"/>
    </row>
    <row r="456" spans="1:7" ht="14.25">
      <c r="A456" s="176"/>
      <c r="B456" s="176"/>
      <c r="D456" s="1270"/>
      <c r="E456" s="1270"/>
      <c r="F456" s="1270"/>
      <c r="G456"/>
    </row>
    <row r="457" spans="1:7" ht="14.25">
      <c r="A457" s="176"/>
      <c r="D457" s="1270"/>
      <c r="E457" s="1270"/>
      <c r="F457" s="1270"/>
      <c r="G457"/>
    </row>
    <row r="458" spans="1:7" ht="14.25">
      <c r="A458" s="176"/>
      <c r="B458" s="176"/>
      <c r="D458" s="3"/>
      <c r="E458" s="3"/>
      <c r="F458" s="3"/>
      <c r="G458"/>
    </row>
    <row r="459" spans="1:7" ht="14.25">
      <c r="A459" s="176"/>
      <c r="B459" s="468" t="s">
        <v>308</v>
      </c>
      <c r="D459" s="1281" t="s">
        <v>1242</v>
      </c>
      <c r="E459" s="1281"/>
      <c r="F459" s="1281"/>
      <c r="G459"/>
    </row>
    <row r="460" spans="1:7" ht="14.25">
      <c r="A460" s="176"/>
      <c r="B460" s="176"/>
      <c r="D460" s="118"/>
      <c r="E460" s="3"/>
      <c r="F460" s="3"/>
      <c r="G460"/>
    </row>
    <row r="461" spans="1:7" ht="14.25">
      <c r="A461" s="176"/>
      <c r="B461" s="468" t="s">
        <v>308</v>
      </c>
      <c r="D461" s="1270" t="s">
        <v>1243</v>
      </c>
      <c r="E461" s="1270"/>
      <c r="F461" s="1270"/>
      <c r="G461"/>
    </row>
    <row r="462" spans="1:7" ht="14.25">
      <c r="A462" s="176"/>
      <c r="D462" s="1270"/>
      <c r="E462" s="1270"/>
      <c r="F462" s="1270"/>
      <c r="G462"/>
    </row>
    <row r="463" spans="1:7">
      <c r="A463" s="13"/>
      <c r="B463" s="13"/>
      <c r="D463" s="481"/>
      <c r="E463" s="3"/>
      <c r="F463" s="3"/>
      <c r="G463"/>
    </row>
    <row r="464" spans="1:7">
      <c r="A464" s="13"/>
      <c r="B464" s="468" t="s">
        <v>308</v>
      </c>
      <c r="D464" s="1281" t="s">
        <v>1244</v>
      </c>
      <c r="E464" s="1281"/>
      <c r="F464" s="1281"/>
      <c r="G464"/>
    </row>
    <row r="465" spans="1:7" ht="14.25">
      <c r="A465" s="176"/>
      <c r="B465" s="176"/>
      <c r="D465" s="35"/>
    </row>
    <row r="466" spans="1:7">
      <c r="A466" s="1285" t="s">
        <v>1079</v>
      </c>
      <c r="B466" s="1285"/>
      <c r="C466" s="1285"/>
      <c r="D466" s="1285"/>
      <c r="E466" s="1285"/>
      <c r="F466" s="1285"/>
      <c r="G466" s="1285"/>
    </row>
    <row r="467" spans="1:7" ht="12" customHeight="1">
      <c r="A467" s="176"/>
      <c r="B467" s="176"/>
      <c r="D467" s="35"/>
    </row>
    <row r="468" spans="1:7">
      <c r="C468" s="172"/>
      <c r="D468" s="1286" t="s">
        <v>802</v>
      </c>
      <c r="E468" s="1286"/>
      <c r="F468" s="1286"/>
    </row>
    <row r="469" spans="1:7" ht="13.15" customHeight="1">
      <c r="A469" s="175"/>
      <c r="B469" s="175"/>
      <c r="C469" s="175"/>
      <c r="D469" s="1287" t="s">
        <v>1122</v>
      </c>
      <c r="E469" s="1287"/>
      <c r="F469" s="1287"/>
    </row>
    <row r="470" spans="1:7">
      <c r="A470" s="175"/>
      <c r="B470" s="175"/>
      <c r="C470" s="175"/>
      <c r="D470" s="1287"/>
      <c r="E470" s="1287"/>
      <c r="F470" s="1287"/>
    </row>
    <row r="471" spans="1:7">
      <c r="A471" s="175"/>
      <c r="B471" s="175"/>
      <c r="C471" s="175"/>
      <c r="D471" s="1287"/>
      <c r="E471" s="1287"/>
      <c r="F471" s="1287"/>
    </row>
    <row r="472" spans="1:7">
      <c r="A472" s="175"/>
      <c r="B472" s="175"/>
      <c r="C472" s="175"/>
      <c r="D472" s="1287"/>
      <c r="E472" s="1287"/>
      <c r="F472" s="1287"/>
    </row>
    <row r="473" spans="1:7">
      <c r="A473" s="175"/>
      <c r="B473" s="175"/>
      <c r="C473" s="175"/>
      <c r="D473" s="1287"/>
      <c r="E473" s="1287"/>
      <c r="F473" s="1287"/>
    </row>
    <row r="474" spans="1:7">
      <c r="A474" s="175"/>
      <c r="B474" s="175"/>
      <c r="C474" s="175"/>
      <c r="D474" s="326"/>
      <c r="F474" s="35"/>
    </row>
    <row r="475" spans="1:7" ht="14.45" customHeight="1">
      <c r="A475" s="176"/>
      <c r="B475" s="468" t="s">
        <v>308</v>
      </c>
      <c r="C475" s="175"/>
      <c r="D475" s="1301" t="s">
        <v>1113</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45" customHeight="1">
      <c r="A481" s="176"/>
      <c r="B481" s="468" t="s">
        <v>308</v>
      </c>
      <c r="C481" s="175"/>
      <c r="D481" s="1301" t="s">
        <v>1116</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9.9499999999999993" customHeight="1">
      <c r="A485" s="175"/>
      <c r="B485" s="175"/>
      <c r="C485" s="175"/>
      <c r="D485" s="220"/>
      <c r="F485" s="35"/>
    </row>
    <row r="486" spans="1:6" ht="14.45" customHeight="1">
      <c r="A486" s="176"/>
      <c r="B486" s="468" t="s">
        <v>308</v>
      </c>
      <c r="C486" s="175"/>
      <c r="D486" s="1301" t="s">
        <v>1114</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45" customHeight="1">
      <c r="A490" s="176"/>
      <c r="B490" s="468" t="s">
        <v>308</v>
      </c>
      <c r="C490" s="175"/>
      <c r="D490" s="1301" t="s">
        <v>1115</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15" customHeight="1">
      <c r="A500" s="175"/>
      <c r="B500" s="468" t="s">
        <v>308</v>
      </c>
      <c r="C500" s="175"/>
      <c r="D500" s="1279" t="s">
        <v>1259</v>
      </c>
      <c r="E500" s="1279"/>
      <c r="F500" s="1279"/>
    </row>
    <row r="501" spans="1:7">
      <c r="A501" s="175"/>
      <c r="B501" s="175"/>
      <c r="C501" s="175"/>
      <c r="D501" s="1279"/>
      <c r="E501" s="1279"/>
      <c r="F501" s="1279"/>
    </row>
    <row r="502" spans="1:7">
      <c r="A502" s="175"/>
      <c r="B502" s="175"/>
      <c r="C502" s="175"/>
      <c r="D502" s="1279"/>
      <c r="E502" s="1279"/>
      <c r="F502" s="1279"/>
    </row>
    <row r="503" spans="1:7">
      <c r="A503" s="175"/>
      <c r="B503" s="175"/>
      <c r="C503" s="175"/>
      <c r="D503" s="1279"/>
      <c r="E503" s="1279"/>
      <c r="F503" s="1279"/>
    </row>
    <row r="504" spans="1:7">
      <c r="A504" s="175"/>
      <c r="B504" s="175"/>
      <c r="C504" s="175"/>
      <c r="D504" s="1279"/>
      <c r="E504" s="1279"/>
      <c r="F504" s="1279"/>
    </row>
    <row r="505" spans="1:7">
      <c r="A505" s="175"/>
      <c r="B505" s="175"/>
      <c r="C505" s="175"/>
      <c r="D505" s="485"/>
      <c r="E505" s="485"/>
      <c r="F505" s="485"/>
    </row>
    <row r="506" spans="1:7" ht="14.45" customHeight="1">
      <c r="A506" s="176"/>
      <c r="B506" s="468" t="s">
        <v>308</v>
      </c>
      <c r="D506" s="1301" t="s">
        <v>1117</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5" t="s">
        <v>1080</v>
      </c>
      <c r="B510" s="1285"/>
      <c r="C510" s="1285"/>
      <c r="D510" s="1285"/>
      <c r="E510" s="1285"/>
      <c r="F510" s="1285"/>
      <c r="G510" s="1285"/>
    </row>
    <row r="511" spans="1:7">
      <c r="A511" s="35"/>
      <c r="B511" s="35"/>
      <c r="C511" s="179"/>
      <c r="F511" s="57"/>
    </row>
    <row r="512" spans="1:7">
      <c r="B512" s="1302" t="s">
        <v>448</v>
      </c>
      <c r="C512" s="1302"/>
      <c r="D512" s="1302"/>
      <c r="E512" s="1302"/>
      <c r="F512" s="1302"/>
    </row>
    <row r="513" spans="1:7">
      <c r="A513" s="35"/>
      <c r="B513" s="35"/>
      <c r="C513" s="179"/>
      <c r="D513" s="35"/>
      <c r="F513" s="35"/>
    </row>
    <row r="514" spans="1:7">
      <c r="A514" s="1316" t="s">
        <v>1081</v>
      </c>
      <c r="B514" s="1316"/>
      <c r="C514" s="1316"/>
      <c r="D514" s="1316"/>
      <c r="E514" s="1316"/>
      <c r="F514" s="1316"/>
      <c r="G514" s="1316"/>
    </row>
    <row r="515" spans="1:7">
      <c r="A515" s="35"/>
      <c r="B515" s="35"/>
      <c r="C515" s="179"/>
      <c r="D515" s="35"/>
      <c r="F515" s="35"/>
    </row>
    <row r="516" spans="1:7">
      <c r="C516" s="179"/>
      <c r="D516" s="1286" t="s">
        <v>691</v>
      </c>
      <c r="E516" s="1286"/>
      <c r="F516" s="1286"/>
    </row>
    <row r="517" spans="1:7">
      <c r="C517" s="179"/>
      <c r="D517" s="1281" t="s">
        <v>1138</v>
      </c>
      <c r="E517" s="1281"/>
      <c r="F517" s="1281"/>
    </row>
    <row r="518" spans="1:7">
      <c r="C518" s="179"/>
      <c r="D518" s="118"/>
      <c r="E518" s="118"/>
      <c r="F518" s="118"/>
    </row>
    <row r="519" spans="1:7" ht="13.15" customHeight="1">
      <c r="A519" s="176"/>
      <c r="B519" s="468" t="s">
        <v>308</v>
      </c>
      <c r="C519" s="179"/>
      <c r="D519" s="1281" t="s">
        <v>896</v>
      </c>
      <c r="E519" s="1281"/>
      <c r="F519" s="1281"/>
      <c r="G519"/>
    </row>
    <row r="520" spans="1:7" ht="13.15" customHeight="1">
      <c r="A520" s="179"/>
      <c r="B520" s="179"/>
      <c r="C520" s="179"/>
      <c r="D520" s="118"/>
      <c r="E520"/>
      <c r="F520"/>
      <c r="G520"/>
    </row>
    <row r="521" spans="1:7" ht="14.25">
      <c r="A521" s="176"/>
      <c r="B521" s="468" t="s">
        <v>308</v>
      </c>
      <c r="C521" s="179"/>
      <c r="D521" s="1270" t="s">
        <v>1139</v>
      </c>
      <c r="E521" s="1270"/>
      <c r="F521" s="1270"/>
      <c r="G521"/>
    </row>
    <row r="522" spans="1:7">
      <c r="A522" s="179"/>
      <c r="B522" s="179"/>
      <c r="C522" s="179"/>
      <c r="D522" s="1270"/>
      <c r="E522" s="1270"/>
      <c r="F522" s="1270"/>
      <c r="G522"/>
    </row>
    <row r="523" spans="1:7">
      <c r="A523" s="179"/>
      <c r="B523" s="179"/>
      <c r="C523" s="179"/>
      <c r="D523" s="35"/>
      <c r="E523" s="35"/>
      <c r="F523" s="35"/>
      <c r="G523"/>
    </row>
    <row r="524" spans="1:7" ht="14.25">
      <c r="A524" s="176"/>
      <c r="B524" s="468" t="s">
        <v>308</v>
      </c>
      <c r="C524" s="179"/>
      <c r="D524" s="1270" t="s">
        <v>1140</v>
      </c>
      <c r="E524" s="1270"/>
      <c r="F524" s="1270"/>
      <c r="G524"/>
    </row>
    <row r="525" spans="1:7">
      <c r="A525" s="179"/>
      <c r="B525" s="179"/>
      <c r="C525" s="179"/>
      <c r="D525" s="1270"/>
      <c r="E525" s="1270"/>
      <c r="F525" s="1270"/>
      <c r="G525"/>
    </row>
    <row r="526" spans="1:7">
      <c r="A526" s="179"/>
      <c r="B526" s="179"/>
      <c r="C526" s="179"/>
      <c r="D526" s="35"/>
      <c r="E526" s="35"/>
      <c r="F526" s="35"/>
      <c r="G526"/>
    </row>
    <row r="527" spans="1:7" ht="14.25">
      <c r="A527" s="176"/>
      <c r="B527" s="468" t="s">
        <v>308</v>
      </c>
      <c r="C527" s="179"/>
      <c r="D527" s="1270" t="s">
        <v>1141</v>
      </c>
      <c r="E527" s="1270"/>
      <c r="F527" s="1270"/>
      <c r="G527"/>
    </row>
    <row r="528" spans="1:7">
      <c r="A528" s="179"/>
      <c r="B528" s="179"/>
      <c r="C528" s="179"/>
      <c r="D528" s="1270"/>
      <c r="E528" s="1270"/>
      <c r="F528" s="1270"/>
      <c r="G528"/>
    </row>
    <row r="529" spans="1:7">
      <c r="A529" s="179"/>
      <c r="B529" s="179"/>
      <c r="C529" s="179"/>
      <c r="D529" s="35"/>
      <c r="E529" s="35"/>
      <c r="F529" s="35"/>
      <c r="G529"/>
    </row>
    <row r="530" spans="1:7" ht="14.25">
      <c r="A530" s="176"/>
      <c r="B530" s="468" t="s">
        <v>308</v>
      </c>
      <c r="C530" s="179"/>
      <c r="D530" s="1270" t="s">
        <v>1142</v>
      </c>
      <c r="E530" s="1270"/>
      <c r="F530" s="1270"/>
      <c r="G530"/>
    </row>
    <row r="531" spans="1:7">
      <c r="A531" s="179"/>
      <c r="B531" s="179"/>
      <c r="C531" s="179"/>
      <c r="D531" s="1270"/>
      <c r="E531" s="1270"/>
      <c r="F531" s="1270"/>
      <c r="G531"/>
    </row>
    <row r="532" spans="1:7">
      <c r="A532" s="179"/>
      <c r="B532" s="179"/>
      <c r="C532" s="179"/>
      <c r="D532" s="1270"/>
      <c r="E532" s="1270"/>
      <c r="F532" s="1270"/>
      <c r="G532"/>
    </row>
    <row r="533" spans="1:7">
      <c r="A533" s="179"/>
      <c r="B533" s="179"/>
      <c r="C533" s="179"/>
      <c r="D533" s="35"/>
      <c r="E533" s="35"/>
      <c r="F533" s="35"/>
    </row>
    <row r="534" spans="1:7" ht="14.25">
      <c r="A534" s="176"/>
      <c r="B534" s="468" t="s">
        <v>308</v>
      </c>
      <c r="C534" s="179"/>
      <c r="D534" s="1270" t="s">
        <v>1260</v>
      </c>
      <c r="E534" s="1270"/>
      <c r="F534" s="1270"/>
    </row>
    <row r="535" spans="1:7">
      <c r="A535" s="179"/>
      <c r="B535" s="179"/>
      <c r="C535" s="179"/>
      <c r="D535" s="1270"/>
      <c r="E535" s="1270"/>
      <c r="F535" s="1270"/>
    </row>
    <row r="536" spans="1:7">
      <c r="A536" s="179"/>
      <c r="B536" s="179"/>
      <c r="C536" s="179"/>
      <c r="D536" s="35"/>
      <c r="E536" s="35"/>
      <c r="F536" s="35"/>
    </row>
    <row r="537" spans="1:7" ht="14.25">
      <c r="A537" s="176"/>
      <c r="B537" s="468" t="s">
        <v>308</v>
      </c>
      <c r="C537" s="179"/>
      <c r="D537" s="1270" t="s">
        <v>1143</v>
      </c>
      <c r="E537" s="1270"/>
      <c r="F537" s="1270"/>
    </row>
    <row r="538" spans="1:7">
      <c r="A538" s="179"/>
      <c r="B538" s="179"/>
      <c r="C538" s="179"/>
      <c r="D538" s="1270"/>
      <c r="E538" s="1270"/>
      <c r="F538" s="1270"/>
    </row>
    <row r="539" spans="1:7">
      <c r="A539" s="179"/>
      <c r="B539" s="179"/>
      <c r="C539" s="179"/>
      <c r="D539" s="35"/>
      <c r="E539" s="35"/>
      <c r="F539" s="35"/>
    </row>
    <row r="540" spans="1:7" ht="14.25">
      <c r="A540" s="176"/>
      <c r="B540" s="468" t="s">
        <v>308</v>
      </c>
      <c r="C540" s="179"/>
      <c r="D540" s="1270" t="s">
        <v>1144</v>
      </c>
      <c r="E540" s="1270"/>
      <c r="F540" s="1270"/>
    </row>
    <row r="541" spans="1:7">
      <c r="A541" s="179"/>
      <c r="B541" s="179"/>
      <c r="C541" s="179"/>
      <c r="D541" s="1270"/>
      <c r="E541" s="1270"/>
      <c r="F541" s="1270"/>
    </row>
    <row r="542" spans="1:7">
      <c r="A542" s="179"/>
      <c r="B542" s="179"/>
      <c r="C542" s="179"/>
      <c r="D542" s="35"/>
      <c r="E542" s="35"/>
      <c r="F542" s="35"/>
    </row>
    <row r="543" spans="1:7" ht="14.25">
      <c r="A543" s="176"/>
      <c r="B543" s="468" t="s">
        <v>308</v>
      </c>
      <c r="C543" s="179"/>
      <c r="D543" s="1281" t="s">
        <v>1145</v>
      </c>
      <c r="E543" s="1281"/>
      <c r="F543" s="1281"/>
    </row>
    <row r="544" spans="1:7">
      <c r="A544" s="13"/>
      <c r="B544" s="13"/>
      <c r="C544" s="179"/>
      <c r="D544" s="1281" t="s">
        <v>829</v>
      </c>
      <c r="E544" s="1281"/>
      <c r="F544" s="1281"/>
    </row>
    <row r="545" spans="1:7">
      <c r="A545" s="13"/>
      <c r="B545" s="13"/>
      <c r="C545" s="179"/>
      <c r="D545" s="3"/>
      <c r="E545" s="1292" t="s">
        <v>1146</v>
      </c>
      <c r="F545" s="1292"/>
    </row>
    <row r="546" spans="1:7" ht="14.25">
      <c r="A546" s="176"/>
      <c r="B546" s="176"/>
      <c r="C546" s="179"/>
      <c r="E546" s="35"/>
      <c r="F546" s="35"/>
    </row>
    <row r="547" spans="1:7" ht="14.25">
      <c r="A547" s="176"/>
      <c r="B547" s="468" t="s">
        <v>308</v>
      </c>
      <c r="C547" s="179"/>
      <c r="D547" s="1281" t="s">
        <v>1147</v>
      </c>
      <c r="E547" s="1281"/>
      <c r="F547" s="1281"/>
    </row>
    <row r="548" spans="1:7">
      <c r="C548" s="179"/>
      <c r="D548" s="1270" t="s">
        <v>1148</v>
      </c>
      <c r="E548" s="1270"/>
      <c r="F548" s="1270"/>
    </row>
    <row r="549" spans="1:7">
      <c r="A549" s="179"/>
      <c r="B549" s="179"/>
      <c r="C549" s="179"/>
      <c r="D549" s="1270"/>
      <c r="E549" s="1270"/>
      <c r="F549" s="1270"/>
    </row>
    <row r="550" spans="1:7">
      <c r="A550" s="179"/>
      <c r="B550" s="179"/>
      <c r="C550" s="179"/>
      <c r="D550" s="1270"/>
      <c r="E550" s="1270"/>
      <c r="F550" s="1270"/>
    </row>
    <row r="551" spans="1:7">
      <c r="A551" s="179"/>
      <c r="B551" s="179"/>
      <c r="C551" s="179"/>
      <c r="D551" s="35"/>
      <c r="E551" s="35"/>
      <c r="F551" s="35"/>
    </row>
    <row r="552" spans="1:7" ht="14.25">
      <c r="A552" s="176"/>
      <c r="B552" s="468" t="s">
        <v>308</v>
      </c>
      <c r="C552" s="179"/>
      <c r="D552" s="1270" t="s">
        <v>1149</v>
      </c>
      <c r="E552" s="1270"/>
      <c r="F552" s="1270"/>
    </row>
    <row r="553" spans="1:7" ht="14.25">
      <c r="A553" s="176"/>
      <c r="B553" s="176"/>
      <c r="C553" s="179"/>
      <c r="D553" s="1270"/>
      <c r="E553" s="1270"/>
      <c r="F553" s="1270"/>
    </row>
    <row r="554" spans="1:7" ht="14.25">
      <c r="A554" s="176"/>
      <c r="B554" s="176"/>
      <c r="C554" s="179"/>
      <c r="D554" s="1270"/>
      <c r="E554" s="1270"/>
      <c r="F554" s="1270"/>
    </row>
    <row r="555" spans="1:7" ht="14.25">
      <c r="A555" s="176"/>
      <c r="B555" s="176"/>
      <c r="C555" s="179"/>
      <c r="D555" s="1270"/>
      <c r="E555" s="1270"/>
      <c r="F555" s="1270"/>
    </row>
    <row r="556" spans="1:7" ht="14.25">
      <c r="A556" s="176"/>
      <c r="B556" s="176"/>
      <c r="C556" s="179"/>
      <c r="D556" s="35"/>
      <c r="E556" s="35"/>
      <c r="F556" s="35"/>
    </row>
    <row r="557" spans="1:7">
      <c r="A557" s="1285" t="s">
        <v>1082</v>
      </c>
      <c r="B557" s="1285"/>
      <c r="C557" s="1285"/>
      <c r="D557" s="1285"/>
      <c r="E557" s="1285"/>
      <c r="F557" s="1285"/>
      <c r="G557" s="1285"/>
    </row>
    <row r="558" spans="1:7">
      <c r="A558" s="179"/>
      <c r="B558" s="179"/>
      <c r="C558" s="179"/>
      <c r="E558" s="35"/>
      <c r="F558" s="35"/>
    </row>
    <row r="559" spans="1:7" ht="12.75" customHeight="1">
      <c r="C559" s="172"/>
      <c r="D559" s="1303" t="s">
        <v>211</v>
      </c>
      <c r="E559" s="1303"/>
      <c r="F559" s="1303"/>
    </row>
    <row r="560" spans="1:7">
      <c r="A560" s="175"/>
      <c r="B560" s="175"/>
      <c r="C560" s="175"/>
      <c r="D560" s="1284" t="s">
        <v>1098</v>
      </c>
      <c r="E560" s="1284"/>
      <c r="F560" s="1284"/>
    </row>
    <row r="561" spans="1:6">
      <c r="A561"/>
      <c r="B561"/>
      <c r="C561" s="175"/>
      <c r="D561" s="255"/>
    </row>
    <row r="562" spans="1:6">
      <c r="A562" s="175"/>
      <c r="B562" s="468" t="s">
        <v>308</v>
      </c>
      <c r="D562" s="1284" t="s">
        <v>902</v>
      </c>
      <c r="E562" s="1284"/>
      <c r="F562" s="1284"/>
    </row>
    <row r="563" spans="1:6">
      <c r="A563" s="13"/>
      <c r="B563" s="13"/>
      <c r="D563" s="218"/>
    </row>
    <row r="564" spans="1:6">
      <c r="A564" s="13"/>
      <c r="B564" s="468" t="s">
        <v>308</v>
      </c>
      <c r="D564" s="1284" t="s">
        <v>1099</v>
      </c>
      <c r="E564" s="1284"/>
      <c r="F564" s="1284"/>
    </row>
    <row r="565" spans="1:6">
      <c r="A565" s="13"/>
      <c r="B565" s="13"/>
      <c r="D565" s="1284"/>
      <c r="E565" s="1284"/>
      <c r="F565" s="1284"/>
    </row>
    <row r="566" spans="1:6">
      <c r="A566" s="13"/>
      <c r="B566" s="13"/>
      <c r="D566" s="1284"/>
      <c r="E566" s="1284"/>
      <c r="F566" s="1284"/>
    </row>
    <row r="567" spans="1:6">
      <c r="A567" s="13"/>
      <c r="B567" s="13"/>
      <c r="D567" s="255"/>
    </row>
    <row r="568" spans="1:6">
      <c r="A568" s="13"/>
      <c r="B568" s="468" t="s">
        <v>308</v>
      </c>
      <c r="D568" s="1284" t="s">
        <v>1100</v>
      </c>
      <c r="E568" s="1284"/>
      <c r="F568" s="1284"/>
    </row>
    <row r="569" spans="1:6">
      <c r="A569" s="13"/>
      <c r="B569" s="13"/>
      <c r="D569" s="1284"/>
      <c r="E569" s="1284"/>
      <c r="F569" s="1284"/>
    </row>
    <row r="570" spans="1:6">
      <c r="A570" s="13"/>
      <c r="B570" s="13"/>
      <c r="D570" s="1284"/>
      <c r="E570" s="1284"/>
      <c r="F570" s="1284"/>
    </row>
    <row r="571" spans="1:6">
      <c r="A571" s="13"/>
      <c r="B571" s="13"/>
      <c r="D571" s="1284"/>
      <c r="E571" s="1284"/>
      <c r="F571" s="1284"/>
    </row>
    <row r="572" spans="1:6">
      <c r="A572" s="13"/>
      <c r="B572" s="13"/>
      <c r="D572" s="473"/>
      <c r="E572" s="473"/>
      <c r="F572" s="473"/>
    </row>
    <row r="573" spans="1:6">
      <c r="A573" s="13"/>
      <c r="B573" s="468" t="s">
        <v>308</v>
      </c>
      <c r="D573" s="1284" t="s">
        <v>1101</v>
      </c>
      <c r="E573" s="1284"/>
      <c r="F573" s="1284"/>
    </row>
    <row r="574" spans="1:6">
      <c r="A574" s="13"/>
      <c r="B574" s="13"/>
      <c r="D574" s="1284"/>
      <c r="E574" s="1284"/>
      <c r="F574" s="1284"/>
    </row>
    <row r="575" spans="1:6">
      <c r="A575" s="13"/>
      <c r="B575" s="13"/>
      <c r="D575" s="255"/>
    </row>
    <row r="576" spans="1:6">
      <c r="A576" s="13"/>
      <c r="B576" s="468" t="s">
        <v>308</v>
      </c>
      <c r="D576" s="1284" t="s">
        <v>1102</v>
      </c>
      <c r="E576" s="1284"/>
      <c r="F576" s="1284"/>
    </row>
    <row r="577" spans="1:7">
      <c r="A577" s="13"/>
      <c r="B577" s="13"/>
      <c r="D577" s="1284"/>
      <c r="E577" s="1284"/>
      <c r="F577" s="1284"/>
    </row>
    <row r="578" spans="1:7">
      <c r="A578" s="13"/>
      <c r="B578" s="13"/>
      <c r="D578" s="255"/>
    </row>
    <row r="579" spans="1:7" ht="14.25">
      <c r="A579" s="176"/>
      <c r="B579" s="468" t="s">
        <v>308</v>
      </c>
      <c r="D579" s="1284" t="s">
        <v>897</v>
      </c>
      <c r="E579" s="1284"/>
      <c r="F579" s="1284"/>
    </row>
    <row r="580" spans="1:7" ht="14.25">
      <c r="A580" s="176"/>
      <c r="B580" s="176"/>
      <c r="D580" s="255"/>
    </row>
    <row r="581" spans="1:7" ht="14.25">
      <c r="A581" s="176"/>
      <c r="B581" s="468" t="s">
        <v>308</v>
      </c>
      <c r="D581" s="1284" t="s">
        <v>1103</v>
      </c>
      <c r="E581" s="1284"/>
      <c r="F581" s="1284"/>
    </row>
    <row r="582" spans="1:7" ht="14.25">
      <c r="A582" s="176"/>
      <c r="B582" s="176"/>
      <c r="D582" s="1284"/>
      <c r="E582" s="1284"/>
      <c r="F582" s="1284"/>
    </row>
    <row r="583" spans="1:7">
      <c r="D583" s="1284"/>
      <c r="E583" s="1284"/>
      <c r="F583" s="1284"/>
    </row>
    <row r="584" spans="1:7">
      <c r="D584" s="1284"/>
      <c r="E584" s="1284"/>
      <c r="F584" s="1284"/>
    </row>
    <row r="585" spans="1:7">
      <c r="D585" s="1284"/>
      <c r="E585" s="1284"/>
      <c r="F585" s="1284"/>
    </row>
    <row r="586" spans="1:7">
      <c r="D586" s="1284"/>
      <c r="E586" s="1284"/>
      <c r="F586" s="1284"/>
    </row>
    <row r="587" spans="1:7"/>
    <row r="588" spans="1:7">
      <c r="A588" s="1285" t="s">
        <v>1083</v>
      </c>
      <c r="B588" s="1285"/>
      <c r="C588" s="1285"/>
      <c r="D588" s="1285"/>
      <c r="E588" s="1285"/>
      <c r="F588" s="1285"/>
      <c r="G588" s="1285"/>
    </row>
    <row r="589" spans="1:7"/>
    <row r="590" spans="1:7">
      <c r="D590" s="1296" t="s">
        <v>1183</v>
      </c>
      <c r="E590" s="1296"/>
      <c r="F590" s="1296"/>
    </row>
    <row r="591" spans="1:7">
      <c r="D591" s="1319" t="s">
        <v>1184</v>
      </c>
      <c r="E591" s="1319"/>
      <c r="F591" s="1319"/>
    </row>
    <row r="592" spans="1:7">
      <c r="D592" s="478"/>
      <c r="E592" s="433"/>
      <c r="F592" s="433"/>
    </row>
    <row r="593" spans="1:7" ht="14.25">
      <c r="A593" s="176"/>
      <c r="B593" s="468" t="s">
        <v>308</v>
      </c>
      <c r="D593" s="1297" t="s">
        <v>1185</v>
      </c>
      <c r="E593" s="1297"/>
      <c r="F593" s="1297"/>
    </row>
    <row r="594" spans="1:7">
      <c r="D594" s="1297"/>
      <c r="E594" s="1297"/>
      <c r="F594" s="1297"/>
    </row>
    <row r="595" spans="1:7">
      <c r="D595" s="1297"/>
      <c r="E595" s="1297"/>
      <c r="F595" s="1297"/>
    </row>
    <row r="596" spans="1:7"/>
    <row r="597" spans="1:7">
      <c r="A597" s="1285" t="s">
        <v>1084</v>
      </c>
      <c r="B597" s="1285"/>
      <c r="C597" s="1285"/>
      <c r="D597" s="1285"/>
      <c r="E597" s="1285"/>
      <c r="F597" s="1285"/>
      <c r="G597" s="1285"/>
    </row>
    <row r="598" spans="1:7">
      <c r="A598" s="35"/>
      <c r="B598" s="35"/>
    </row>
    <row r="599" spans="1:7">
      <c r="A599" s="172"/>
      <c r="B599" s="172"/>
      <c r="C599" s="172"/>
      <c r="D599" s="1320" t="s">
        <v>1186</v>
      </c>
      <c r="E599" s="1320"/>
      <c r="F599" s="1320"/>
    </row>
    <row r="600" spans="1:7">
      <c r="A600" s="172"/>
      <c r="B600" s="172"/>
      <c r="C600" s="172"/>
      <c r="D600" s="1320"/>
      <c r="E600" s="1320"/>
      <c r="F600" s="1320"/>
    </row>
    <row r="601" spans="1:7">
      <c r="C601" s="175"/>
      <c r="D601" s="1319" t="s">
        <v>1187</v>
      </c>
      <c r="E601" s="1319"/>
      <c r="F601" s="1319"/>
    </row>
    <row r="602" spans="1:7">
      <c r="C602" s="175"/>
      <c r="D602" s="478"/>
      <c r="E602" s="478"/>
      <c r="F602" s="478"/>
    </row>
    <row r="603" spans="1:7">
      <c r="A603" s="13"/>
      <c r="B603" s="468" t="s">
        <v>308</v>
      </c>
      <c r="D603" s="1319" t="s">
        <v>433</v>
      </c>
      <c r="E603" s="1319"/>
      <c r="F603" s="1319"/>
    </row>
    <row r="604" spans="1:7">
      <c r="C604" s="180"/>
      <c r="E604"/>
    </row>
    <row r="605" spans="1:7">
      <c r="A605" s="13"/>
      <c r="B605" s="468" t="s">
        <v>308</v>
      </c>
      <c r="D605" s="1295" t="s">
        <v>1188</v>
      </c>
      <c r="E605" s="1295"/>
      <c r="F605" s="1295"/>
    </row>
    <row r="606" spans="1:7">
      <c r="D606" s="1295"/>
      <c r="E606" s="1295"/>
      <c r="F606" s="1295"/>
    </row>
    <row r="607" spans="1:7">
      <c r="D607"/>
    </row>
    <row r="608" spans="1:7">
      <c r="B608" s="468" t="s">
        <v>308</v>
      </c>
      <c r="D608" s="1295" t="s">
        <v>1189</v>
      </c>
      <c r="E608" s="1295"/>
      <c r="F608" s="1295"/>
    </row>
    <row r="609" spans="1:7">
      <c r="C609" s="180"/>
      <c r="D609" s="1295"/>
      <c r="E609" s="1295"/>
      <c r="F609" s="1295"/>
    </row>
    <row r="610" spans="1:7">
      <c r="C610" s="180"/>
    </row>
    <row r="611" spans="1:7">
      <c r="B611" s="468" t="s">
        <v>308</v>
      </c>
      <c r="C611" s="180"/>
      <c r="D611" s="1295" t="s">
        <v>1190</v>
      </c>
      <c r="E611" s="1295"/>
      <c r="F611" s="1295"/>
    </row>
    <row r="612" spans="1:7">
      <c r="C612" s="180"/>
      <c r="D612" s="1295"/>
      <c r="E612" s="1295"/>
      <c r="F612" s="1295"/>
    </row>
    <row r="613" spans="1:7">
      <c r="C613" s="180"/>
    </row>
    <row r="614" spans="1:7">
      <c r="A614" s="1285" t="s">
        <v>1085</v>
      </c>
      <c r="B614" s="1285"/>
      <c r="C614" s="1285"/>
      <c r="D614" s="1285"/>
      <c r="E614" s="1285"/>
      <c r="F614" s="1285"/>
      <c r="G614" s="1285"/>
    </row>
    <row r="615" spans="1:7">
      <c r="A615" s="172"/>
      <c r="B615" s="172"/>
      <c r="C615" s="172"/>
    </row>
    <row r="616" spans="1:7">
      <c r="C616" s="13"/>
      <c r="D616" s="1296" t="s">
        <v>1191</v>
      </c>
      <c r="E616" s="1296"/>
      <c r="F616" s="1296"/>
    </row>
    <row r="617" spans="1:7">
      <c r="A617" s="13"/>
      <c r="B617" s="13"/>
      <c r="D617" s="2"/>
    </row>
    <row r="618" spans="1:7" ht="14.25">
      <c r="A618" s="176"/>
      <c r="B618" s="468" t="s">
        <v>308</v>
      </c>
      <c r="D618" s="1297" t="s">
        <v>1192</v>
      </c>
      <c r="E618" s="1297"/>
      <c r="F618" s="1297"/>
    </row>
    <row r="619" spans="1:7">
      <c r="D619" s="1297"/>
      <c r="E619" s="1297"/>
      <c r="F619" s="1297"/>
    </row>
    <row r="620" spans="1:7">
      <c r="D620" s="1297"/>
      <c r="E620" s="1297"/>
      <c r="F620" s="1297"/>
    </row>
    <row r="621" spans="1:7">
      <c r="D621" s="1297"/>
      <c r="E621" s="1297"/>
      <c r="F621" s="1297"/>
    </row>
    <row r="622" spans="1:7">
      <c r="D622" s="1297"/>
      <c r="E622" s="1297"/>
      <c r="F622" s="1297"/>
    </row>
    <row r="623" spans="1:7">
      <c r="D623" s="1297"/>
      <c r="E623" s="1297"/>
      <c r="F623" s="1297"/>
    </row>
    <row r="624" spans="1:7">
      <c r="D624" s="479"/>
      <c r="E624" s="479"/>
      <c r="F624" s="479"/>
    </row>
    <row r="625" spans="1:7" ht="14.25">
      <c r="A625" s="176"/>
      <c r="B625" s="468" t="s">
        <v>308</v>
      </c>
      <c r="D625" s="1297" t="s">
        <v>1193</v>
      </c>
      <c r="E625" s="1297"/>
      <c r="F625" s="1297"/>
    </row>
    <row r="626" spans="1:7">
      <c r="A626" s="179"/>
      <c r="B626" s="179"/>
      <c r="C626" s="179"/>
      <c r="D626" s="1297"/>
      <c r="E626" s="1297"/>
      <c r="F626" s="1297"/>
    </row>
    <row r="627" spans="1:7">
      <c r="A627" s="179"/>
      <c r="B627" s="179"/>
      <c r="C627" s="179"/>
      <c r="D627" s="35"/>
      <c r="E627" s="35"/>
      <c r="F627" s="35"/>
    </row>
    <row r="628" spans="1:7" ht="14.25">
      <c r="A628" s="176"/>
      <c r="B628" s="468" t="s">
        <v>308</v>
      </c>
      <c r="C628" s="179"/>
      <c r="D628" s="1297" t="s">
        <v>1194</v>
      </c>
      <c r="E628" s="1297"/>
      <c r="F628" s="1297"/>
    </row>
    <row r="629" spans="1:7" ht="14.25">
      <c r="A629" s="176"/>
      <c r="B629" s="176"/>
      <c r="C629" s="179"/>
      <c r="D629" s="1297"/>
      <c r="E629" s="1297"/>
      <c r="F629" s="1297"/>
    </row>
    <row r="630" spans="1:7" ht="14.25">
      <c r="A630" s="176"/>
      <c r="B630" s="176"/>
      <c r="C630" s="179"/>
      <c r="D630" s="1297"/>
      <c r="E630" s="1297"/>
      <c r="F630" s="1297"/>
    </row>
    <row r="631" spans="1:7">
      <c r="A631" s="179"/>
      <c r="B631" s="179"/>
      <c r="C631" s="179"/>
      <c r="D631" s="1297"/>
      <c r="E631" s="1297"/>
      <c r="F631" s="1297"/>
    </row>
    <row r="632" spans="1:7">
      <c r="A632" s="179"/>
      <c r="B632" s="179"/>
      <c r="C632" s="179"/>
      <c r="D632" s="479"/>
      <c r="E632" s="479"/>
      <c r="F632" s="479"/>
    </row>
    <row r="633" spans="1:7">
      <c r="A633" s="179"/>
      <c r="B633" s="468" t="s">
        <v>308</v>
      </c>
      <c r="C633" s="179"/>
      <c r="D633" s="1298" t="s">
        <v>1195</v>
      </c>
      <c r="E633" s="1298"/>
      <c r="F633" s="1298"/>
    </row>
    <row r="634" spans="1:7">
      <c r="A634" s="179"/>
      <c r="B634" s="179"/>
      <c r="C634" s="179"/>
      <c r="D634" s="480"/>
      <c r="E634" s="480"/>
      <c r="F634" s="480"/>
    </row>
    <row r="635" spans="1:7">
      <c r="A635" s="1285" t="s">
        <v>1086</v>
      </c>
      <c r="B635" s="1285"/>
      <c r="C635" s="1285"/>
      <c r="D635" s="1285"/>
      <c r="E635" s="1285"/>
      <c r="F635" s="1285"/>
      <c r="G635" s="1285"/>
    </row>
    <row r="636" spans="1:7">
      <c r="A636" s="35"/>
      <c r="B636" s="35"/>
      <c r="C636" s="179"/>
      <c r="D636" s="35"/>
      <c r="E636" s="35"/>
      <c r="F636" s="35"/>
    </row>
    <row r="637" spans="1:7">
      <c r="C637" s="172"/>
      <c r="D637" s="1286" t="s">
        <v>1245</v>
      </c>
      <c r="E637" s="1286"/>
      <c r="F637" s="1286"/>
    </row>
    <row r="638" spans="1:7">
      <c r="A638" s="175"/>
      <c r="B638" s="175"/>
      <c r="C638" s="175"/>
      <c r="D638" s="1281" t="s">
        <v>1246</v>
      </c>
      <c r="E638" s="1281"/>
      <c r="F638" s="1281"/>
    </row>
    <row r="639" spans="1:7">
      <c r="A639" s="175"/>
      <c r="B639" s="175"/>
      <c r="C639" s="175"/>
      <c r="D639" s="118"/>
      <c r="E639" s="118"/>
      <c r="F639" s="118"/>
    </row>
    <row r="640" spans="1:7" ht="14.45" customHeight="1">
      <c r="A640" s="176"/>
      <c r="B640" s="468" t="s">
        <v>308</v>
      </c>
      <c r="C640" s="179"/>
      <c r="D640" s="1270" t="s">
        <v>1247</v>
      </c>
      <c r="E640" s="1270"/>
      <c r="F640" s="1270"/>
    </row>
    <row r="641" spans="1:11" ht="14.25">
      <c r="A641" s="176"/>
      <c r="B641" s="176"/>
      <c r="C641" s="179"/>
      <c r="D641" s="1270"/>
      <c r="E641" s="1270"/>
      <c r="F641" s="1270"/>
    </row>
    <row r="642" spans="1:11" ht="14.25">
      <c r="A642" s="176"/>
      <c r="B642" s="176"/>
      <c r="C642" s="179"/>
      <c r="D642" s="1270"/>
      <c r="E642" s="1270"/>
      <c r="F642" s="1270"/>
    </row>
    <row r="643" spans="1:11" ht="14.25">
      <c r="A643" s="176"/>
      <c r="B643" s="176"/>
      <c r="C643" s="179"/>
      <c r="D643" s="1270"/>
      <c r="E643" s="1270"/>
      <c r="F643" s="1270"/>
    </row>
    <row r="644" spans="1:11" ht="14.25">
      <c r="A644" s="176"/>
      <c r="B644" s="176"/>
      <c r="C644" s="179"/>
      <c r="D644" s="1270"/>
      <c r="E644" s="1270"/>
      <c r="F644" s="1270"/>
    </row>
    <row r="645" spans="1:11" ht="14.25">
      <c r="A645" s="176"/>
      <c r="B645" s="176"/>
      <c r="C645" s="179"/>
      <c r="D645" s="474"/>
      <c r="E645" s="474"/>
      <c r="F645" s="474"/>
    </row>
    <row r="646" spans="1:11" ht="14.25">
      <c r="A646" s="176"/>
      <c r="B646" s="468" t="s">
        <v>308</v>
      </c>
      <c r="C646" s="179"/>
      <c r="D646" s="1309" t="s">
        <v>1097</v>
      </c>
      <c r="E646" s="1309"/>
      <c r="F646" s="1309"/>
    </row>
    <row r="647" spans="1:11" ht="14.25">
      <c r="A647" s="176"/>
      <c r="B647" s="176"/>
      <c r="C647" s="179"/>
      <c r="D647" s="1310" t="s">
        <v>1248</v>
      </c>
      <c r="E647" s="1310"/>
      <c r="F647" s="1310"/>
    </row>
    <row r="648" spans="1:11" ht="14.25">
      <c r="A648" s="176"/>
      <c r="B648" s="176"/>
      <c r="C648" s="179"/>
      <c r="D648" s="1310"/>
      <c r="E648" s="1310"/>
      <c r="F648" s="1310"/>
    </row>
    <row r="649" spans="1:11" ht="14.25">
      <c r="A649" s="176"/>
      <c r="B649" s="176"/>
      <c r="C649" s="179"/>
      <c r="D649" s="1310"/>
      <c r="E649" s="1310"/>
      <c r="F649" s="1310"/>
    </row>
    <row r="650" spans="1:11" ht="14.25">
      <c r="A650" s="176"/>
      <c r="B650" s="176"/>
      <c r="C650" s="179"/>
      <c r="D650" s="1310"/>
      <c r="E650" s="1310"/>
      <c r="F650" s="1310"/>
    </row>
    <row r="651" spans="1:11" ht="14.25">
      <c r="A651" s="176"/>
      <c r="B651" s="176"/>
      <c r="C651" s="179"/>
      <c r="D651" s="1310"/>
      <c r="E651" s="1310"/>
      <c r="F651" s="1310"/>
    </row>
    <row r="652" spans="1:11" ht="14.25">
      <c r="A652" s="176"/>
      <c r="B652" s="176"/>
      <c r="C652" s="179"/>
      <c r="D652" s="1311" t="s">
        <v>1249</v>
      </c>
      <c r="E652" s="1311"/>
      <c r="F652" s="1311"/>
    </row>
    <row r="653" spans="1:11">
      <c r="A653" s="179"/>
      <c r="B653" s="179"/>
      <c r="C653" s="179"/>
      <c r="D653" s="35"/>
      <c r="E653" s="35"/>
      <c r="F653" s="35"/>
    </row>
    <row r="654" spans="1:11">
      <c r="A654" s="1285" t="s">
        <v>1087</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6" t="s">
        <v>99</v>
      </c>
      <c r="E656" s="1286"/>
      <c r="F656" s="1286"/>
      <c r="H656" s="181"/>
      <c r="I656" s="181"/>
      <c r="J656" s="181"/>
      <c r="K656" s="181"/>
    </row>
    <row r="657" spans="1:11">
      <c r="A657" s="172"/>
      <c r="B657" s="172"/>
      <c r="C657" s="172"/>
      <c r="D657" s="1286" t="s">
        <v>123</v>
      </c>
      <c r="E657" s="1286"/>
      <c r="F657" s="1286"/>
      <c r="H657" s="181"/>
      <c r="I657" s="181"/>
      <c r="J657" s="181"/>
      <c r="K657" s="181"/>
    </row>
    <row r="658" spans="1:11">
      <c r="A658" s="175"/>
      <c r="B658" s="175"/>
      <c r="C658" s="175"/>
      <c r="D658" s="1281" t="s">
        <v>1123</v>
      </c>
      <c r="E658" s="1281"/>
      <c r="F658" s="1281"/>
      <c r="H658" s="181"/>
      <c r="I658" s="181"/>
      <c r="J658" s="181"/>
      <c r="K658" s="181"/>
    </row>
    <row r="659" spans="1:11">
      <c r="A659" s="175"/>
      <c r="B659" s="175"/>
      <c r="C659" s="175"/>
      <c r="H659" s="181"/>
      <c r="I659" s="181"/>
      <c r="J659" s="181"/>
      <c r="K659" s="181"/>
    </row>
    <row r="660" spans="1:11" ht="14.25">
      <c r="A660" s="176"/>
      <c r="B660" s="468" t="s">
        <v>308</v>
      </c>
      <c r="C660" s="175"/>
      <c r="D660" s="1281" t="s">
        <v>898</v>
      </c>
      <c r="E660" s="1281"/>
      <c r="F660" s="1281"/>
      <c r="H660" s="181"/>
      <c r="I660" s="181"/>
      <c r="J660" s="181"/>
      <c r="K660" s="181"/>
    </row>
    <row r="661" spans="1:11">
      <c r="A661" s="175"/>
      <c r="B661" s="175"/>
      <c r="C661" s="175"/>
      <c r="D661" s="1281" t="s">
        <v>908</v>
      </c>
      <c r="E661" s="1281"/>
      <c r="F661" s="1281"/>
      <c r="H661" s="181"/>
      <c r="I661" s="181"/>
      <c r="J661" s="181"/>
      <c r="K661" s="181"/>
    </row>
    <row r="662" spans="1:11">
      <c r="A662" s="175"/>
      <c r="B662" s="175"/>
      <c r="C662" s="175"/>
      <c r="D662" s="3"/>
      <c r="E662" s="1280" t="s">
        <v>1124</v>
      </c>
      <c r="F662" s="1280"/>
      <c r="H662" s="181"/>
      <c r="I662" s="181"/>
      <c r="J662" s="181"/>
      <c r="K662" s="181"/>
    </row>
    <row r="663" spans="1:11">
      <c r="A663" s="175"/>
      <c r="B663" s="175"/>
      <c r="C663" s="175"/>
      <c r="D663" s="3"/>
      <c r="E663" s="1280"/>
      <c r="F663" s="1280"/>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70" t="s">
        <v>1125</v>
      </c>
      <c r="E665" s="1270"/>
      <c r="F665" s="1270"/>
      <c r="H665" s="181"/>
      <c r="I665" s="181"/>
      <c r="J665" s="181"/>
      <c r="K665" s="181"/>
    </row>
    <row r="666" spans="1:11">
      <c r="A666" s="13"/>
      <c r="B666" s="13"/>
      <c r="C666" s="175"/>
      <c r="D666" s="1270"/>
      <c r="E666" s="1270"/>
      <c r="F666" s="1270"/>
      <c r="H666" s="181"/>
      <c r="I666" s="181"/>
      <c r="J666" s="181"/>
      <c r="K666" s="181"/>
    </row>
    <row r="667" spans="1:11">
      <c r="A667" s="175"/>
      <c r="B667" s="175"/>
      <c r="C667" s="175"/>
      <c r="D667" s="1270"/>
      <c r="E667" s="1270"/>
      <c r="F667" s="1270"/>
      <c r="H667" s="181"/>
      <c r="I667" s="181"/>
      <c r="J667" s="181"/>
      <c r="K667" s="181"/>
    </row>
    <row r="668" spans="1:11">
      <c r="A668" s="175"/>
      <c r="B668" s="175"/>
      <c r="C668" s="175"/>
      <c r="H668" s="181"/>
      <c r="I668" s="181"/>
      <c r="J668" s="181"/>
      <c r="K668" s="181"/>
    </row>
    <row r="669" spans="1:11" ht="14.25">
      <c r="A669" s="176"/>
      <c r="B669" s="468" t="s">
        <v>308</v>
      </c>
      <c r="C669" s="175"/>
      <c r="D669" s="1281" t="s">
        <v>936</v>
      </c>
      <c r="E669" s="1281"/>
      <c r="F669" s="1281"/>
      <c r="H669" s="181"/>
      <c r="I669" s="181"/>
      <c r="J669" s="181"/>
      <c r="K669" s="181"/>
    </row>
    <row r="670" spans="1:11" ht="14.25">
      <c r="A670" s="176"/>
      <c r="B670" s="176"/>
      <c r="C670" s="175"/>
      <c r="D670" s="1281" t="s">
        <v>908</v>
      </c>
      <c r="E670" s="1281"/>
      <c r="F670" s="1281"/>
      <c r="H670" s="181"/>
      <c r="I670" s="181"/>
      <c r="J670" s="181"/>
      <c r="K670" s="181"/>
    </row>
    <row r="671" spans="1:11">
      <c r="A671" s="175"/>
      <c r="B671" s="175"/>
      <c r="C671" s="175"/>
      <c r="D671" s="3"/>
      <c r="E671" s="1292" t="s">
        <v>1126</v>
      </c>
      <c r="F671" s="1292"/>
      <c r="H671" s="181"/>
      <c r="I671" s="181"/>
      <c r="J671" s="181"/>
      <c r="K671" s="181"/>
    </row>
    <row r="672" spans="1:11">
      <c r="A672" s="175"/>
      <c r="B672" s="175"/>
      <c r="C672" s="175"/>
      <c r="D672" s="2"/>
      <c r="H672" s="181"/>
      <c r="I672" s="181"/>
      <c r="J672" s="181"/>
      <c r="K672" s="181"/>
    </row>
    <row r="673" spans="1:11" ht="14.25">
      <c r="A673" s="176"/>
      <c r="B673" s="468" t="s">
        <v>308</v>
      </c>
      <c r="C673" s="175"/>
      <c r="D673" s="1270" t="s">
        <v>1136</v>
      </c>
      <c r="E673" s="1270"/>
      <c r="F673" s="1270"/>
      <c r="H673" s="181"/>
      <c r="I673" s="181"/>
      <c r="J673" s="181"/>
      <c r="K673" s="181"/>
    </row>
    <row r="674" spans="1:11">
      <c r="A674" s="175"/>
      <c r="B674" s="175"/>
      <c r="C674" s="175"/>
      <c r="D674" s="1270"/>
      <c r="E674" s="1270"/>
      <c r="F674" s="1270"/>
      <c r="H674" s="181"/>
      <c r="I674" s="181"/>
      <c r="J674" s="181"/>
      <c r="K674" s="181"/>
    </row>
    <row r="675" spans="1:11">
      <c r="A675" s="175"/>
      <c r="B675" s="175"/>
      <c r="C675" s="175"/>
      <c r="D675" s="1270"/>
      <c r="E675" s="1270"/>
      <c r="F675" s="1270"/>
      <c r="H675" s="181"/>
      <c r="I675" s="181"/>
      <c r="J675" s="181"/>
      <c r="K675" s="181"/>
    </row>
    <row r="676" spans="1:11">
      <c r="A676" s="175"/>
      <c r="B676" s="175"/>
      <c r="C676" s="175"/>
      <c r="D676" s="1270"/>
      <c r="E676" s="1270"/>
      <c r="F676" s="1270"/>
      <c r="H676" s="181"/>
      <c r="I676" s="181"/>
      <c r="J676" s="181"/>
      <c r="K676" s="181"/>
    </row>
    <row r="677" spans="1:11">
      <c r="A677" s="175"/>
      <c r="B677" s="175"/>
      <c r="C677" s="175"/>
      <c r="D677" s="1270"/>
      <c r="E677" s="1270"/>
      <c r="F677" s="1270"/>
      <c r="H677" s="181"/>
      <c r="I677" s="181"/>
      <c r="J677" s="181"/>
      <c r="K677" s="181"/>
    </row>
    <row r="678" spans="1:11">
      <c r="A678" s="175"/>
      <c r="B678" s="175"/>
      <c r="C678" s="175"/>
      <c r="D678" s="1270"/>
      <c r="E678" s="1270"/>
      <c r="F678" s="1270"/>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70" t="s">
        <v>1127</v>
      </c>
      <c r="E680" s="1270"/>
      <c r="F680" s="1270"/>
      <c r="H680" s="181"/>
      <c r="I680" s="181"/>
      <c r="J680" s="181"/>
      <c r="K680" s="181"/>
    </row>
    <row r="681" spans="1:11">
      <c r="A681" s="175"/>
      <c r="B681" s="175"/>
      <c r="C681" s="175"/>
      <c r="D681" s="1270"/>
      <c r="E681" s="1270"/>
      <c r="F681" s="1270"/>
      <c r="H681" s="181"/>
      <c r="I681" s="181"/>
      <c r="J681" s="181"/>
      <c r="K681" s="181"/>
    </row>
    <row r="682" spans="1:11">
      <c r="A682" s="175"/>
      <c r="B682" s="175"/>
      <c r="C682" s="175"/>
      <c r="D682" s="1270"/>
      <c r="E682" s="1270"/>
      <c r="F682" s="1270"/>
      <c r="H682" s="181"/>
      <c r="I682" s="181"/>
      <c r="J682" s="181"/>
      <c r="K682" s="181"/>
    </row>
    <row r="683" spans="1:11" ht="15" customHeight="1">
      <c r="A683" s="175"/>
      <c r="B683" s="175"/>
      <c r="C683" s="175"/>
      <c r="D683" s="1270"/>
      <c r="E683" s="1270"/>
      <c r="F683" s="1270"/>
      <c r="H683" s="181"/>
      <c r="I683" s="181"/>
      <c r="J683" s="181"/>
      <c r="K683" s="181"/>
    </row>
    <row r="684" spans="1:11" ht="15" customHeight="1">
      <c r="A684" s="175"/>
      <c r="B684" s="175"/>
      <c r="C684" s="175"/>
      <c r="D684" s="1270"/>
      <c r="E684" s="1270"/>
      <c r="F684" s="1270"/>
      <c r="H684" s="181"/>
      <c r="I684" s="181"/>
      <c r="J684" s="181"/>
      <c r="K684" s="181"/>
    </row>
    <row r="685" spans="1:11">
      <c r="A685" s="175"/>
      <c r="B685" s="175"/>
      <c r="C685" s="175"/>
      <c r="D685" s="1270"/>
      <c r="E685" s="1270"/>
      <c r="F685" s="1270"/>
      <c r="H685" s="181"/>
      <c r="I685" s="181"/>
      <c r="J685" s="181"/>
      <c r="K685" s="181"/>
    </row>
    <row r="686" spans="1:11">
      <c r="A686" s="175"/>
      <c r="B686" s="175"/>
      <c r="C686" s="175"/>
      <c r="D686" s="1270"/>
      <c r="E686" s="1270"/>
      <c r="F686" s="1270"/>
      <c r="H686" s="181"/>
      <c r="I686" s="181"/>
      <c r="J686" s="181"/>
      <c r="K686" s="181"/>
    </row>
    <row r="687" spans="1:11">
      <c r="A687" s="175"/>
      <c r="B687" s="175"/>
      <c r="C687" s="175"/>
      <c r="D687" s="1270"/>
      <c r="E687" s="1270"/>
      <c r="F687" s="1270"/>
      <c r="H687" s="181"/>
      <c r="I687" s="181"/>
      <c r="J687" s="181"/>
      <c r="K687" s="181"/>
    </row>
    <row r="688" spans="1:11" ht="15" customHeight="1">
      <c r="A688" s="175"/>
      <c r="B688" s="175"/>
      <c r="C688" s="175"/>
      <c r="D688" s="1270"/>
      <c r="E688" s="1270"/>
      <c r="F688" s="1270"/>
      <c r="H688" s="181"/>
      <c r="I688" s="181"/>
      <c r="J688" s="181"/>
      <c r="K688" s="181"/>
    </row>
    <row r="689" spans="1:11">
      <c r="A689" s="175"/>
      <c r="B689" s="175"/>
      <c r="C689" s="175"/>
      <c r="D689" s="1270"/>
      <c r="E689" s="1270"/>
      <c r="F689" s="1270"/>
      <c r="H689" s="181"/>
      <c r="I689" s="181"/>
      <c r="J689" s="181"/>
      <c r="K689" s="181"/>
    </row>
    <row r="690" spans="1:11">
      <c r="A690" s="175"/>
      <c r="B690" s="175"/>
      <c r="C690" s="175"/>
      <c r="D690" s="1270"/>
      <c r="E690" s="1270"/>
      <c r="F690" s="1270"/>
      <c r="H690" s="181"/>
      <c r="I690" s="181"/>
      <c r="J690" s="181"/>
      <c r="K690" s="181"/>
    </row>
    <row r="691" spans="1:11">
      <c r="A691" s="175"/>
      <c r="B691" s="175"/>
      <c r="C691" s="175"/>
      <c r="D691" s="1270"/>
      <c r="E691" s="1270"/>
      <c r="F691" s="1270"/>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70" t="s">
        <v>1137</v>
      </c>
      <c r="E693" s="1270"/>
      <c r="F693" s="1270"/>
      <c r="H693" s="181"/>
      <c r="I693" s="181"/>
      <c r="J693" s="181"/>
      <c r="K693" s="181"/>
    </row>
    <row r="694" spans="1:11">
      <c r="A694" s="175"/>
      <c r="B694" s="175"/>
      <c r="C694" s="175"/>
      <c r="D694" s="1270"/>
      <c r="E694" s="1270"/>
      <c r="F694" s="1270"/>
      <c r="H694" s="181"/>
      <c r="I694" s="181"/>
      <c r="J694" s="181"/>
      <c r="K694" s="181"/>
    </row>
    <row r="695" spans="1:11">
      <c r="A695" s="175"/>
      <c r="B695" s="175"/>
      <c r="C695" s="175"/>
      <c r="D695" s="1270"/>
      <c r="E695" s="1270"/>
      <c r="F695" s="1270"/>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70" t="s">
        <v>1134</v>
      </c>
      <c r="E697" s="1270"/>
      <c r="F697" s="1270"/>
      <c r="H697" s="181"/>
      <c r="I697" s="181"/>
      <c r="J697" s="181"/>
      <c r="K697" s="181"/>
    </row>
    <row r="698" spans="1:11">
      <c r="A698" s="175"/>
      <c r="B698" s="175"/>
      <c r="C698" s="175"/>
      <c r="D698" s="1270"/>
      <c r="E698" s="1270"/>
      <c r="F698" s="1270"/>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70" t="s">
        <v>1135</v>
      </c>
      <c r="E700" s="1270"/>
      <c r="F700" s="1270"/>
      <c r="H700" s="181"/>
      <c r="I700" s="181"/>
      <c r="J700" s="181"/>
      <c r="K700" s="181"/>
    </row>
    <row r="701" spans="1:11">
      <c r="A701" s="175"/>
      <c r="B701" s="175"/>
      <c r="C701" s="175"/>
      <c r="D701" s="1270"/>
      <c r="E701" s="1270"/>
      <c r="F701" s="1270"/>
      <c r="H701" s="181"/>
      <c r="I701" s="181"/>
      <c r="J701" s="181"/>
      <c r="K701" s="181"/>
    </row>
    <row r="702" spans="1:11">
      <c r="A702" s="175"/>
      <c r="B702" s="175"/>
      <c r="C702" s="175"/>
      <c r="D702" s="1270"/>
      <c r="E702" s="1270"/>
      <c r="F702" s="1270"/>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70" t="s">
        <v>1128</v>
      </c>
      <c r="E704" s="1270"/>
      <c r="F704" s="1270"/>
      <c r="H704" s="181"/>
      <c r="I704" s="181"/>
      <c r="J704" s="181"/>
      <c r="K704" s="181"/>
    </row>
    <row r="705" spans="1:11">
      <c r="A705" s="175"/>
      <c r="B705" s="175"/>
      <c r="C705" s="175"/>
      <c r="D705" s="1270"/>
      <c r="E705" s="1270"/>
      <c r="F705" s="1270"/>
      <c r="H705" s="181"/>
      <c r="I705" s="181"/>
      <c r="J705" s="181"/>
      <c r="K705" s="181"/>
    </row>
    <row r="706" spans="1:11">
      <c r="A706" s="175"/>
      <c r="B706" s="175"/>
      <c r="C706" s="175"/>
      <c r="D706" s="1270"/>
      <c r="E706" s="1270"/>
      <c r="F706" s="1270"/>
      <c r="H706" s="181"/>
      <c r="I706" s="181"/>
      <c r="J706" s="181"/>
      <c r="K706" s="181"/>
    </row>
    <row r="707" spans="1:11">
      <c r="A707" s="175"/>
      <c r="B707" s="175"/>
      <c r="C707" s="175"/>
      <c r="H707" s="181"/>
      <c r="I707" s="181"/>
      <c r="J707" s="181"/>
      <c r="K707" s="181"/>
    </row>
    <row r="708" spans="1:11">
      <c r="A708" s="175"/>
      <c r="B708" s="468" t="s">
        <v>308</v>
      </c>
      <c r="C708" s="175"/>
      <c r="D708" s="1270" t="s">
        <v>1129</v>
      </c>
      <c r="E708" s="1270"/>
      <c r="F708" s="1270"/>
      <c r="H708" s="181"/>
      <c r="I708" s="181"/>
      <c r="J708" s="181"/>
      <c r="K708" s="181"/>
    </row>
    <row r="709" spans="1:11">
      <c r="A709" s="175"/>
      <c r="B709" s="175"/>
      <c r="C709" s="175"/>
      <c r="D709" s="1270"/>
      <c r="E709" s="1270"/>
      <c r="F709" s="1270"/>
      <c r="H709" s="181"/>
      <c r="I709" s="181"/>
      <c r="J709" s="181"/>
      <c r="K709" s="181"/>
    </row>
    <row r="710" spans="1:11">
      <c r="A710" s="175"/>
      <c r="B710" s="175"/>
      <c r="C710" s="175"/>
      <c r="D710" s="1270"/>
      <c r="E710" s="1270"/>
      <c r="F710" s="1270"/>
      <c r="H710" s="181"/>
      <c r="I710" s="181"/>
      <c r="J710" s="181"/>
      <c r="K710" s="181"/>
    </row>
    <row r="711" spans="1:11">
      <c r="A711" s="175"/>
      <c r="B711" s="175"/>
      <c r="C711" s="175"/>
      <c r="D711"/>
      <c r="H711" s="181"/>
      <c r="I711" s="181"/>
      <c r="J711" s="181"/>
      <c r="K711" s="181"/>
    </row>
    <row r="712" spans="1:11" ht="14.25">
      <c r="A712" s="176"/>
      <c r="B712" s="468" t="s">
        <v>308</v>
      </c>
      <c r="C712" s="175"/>
      <c r="D712" s="1270" t="s">
        <v>1130</v>
      </c>
      <c r="E712" s="1270"/>
      <c r="F712" s="1270"/>
      <c r="H712" s="181"/>
      <c r="I712" s="181"/>
      <c r="J712" s="181"/>
      <c r="K712" s="181"/>
    </row>
    <row r="713" spans="1:11">
      <c r="A713" s="175"/>
      <c r="B713" s="175"/>
      <c r="C713" s="175"/>
      <c r="D713" s="1270"/>
      <c r="E713" s="1270"/>
      <c r="F713" s="1270"/>
      <c r="H713" s="181"/>
      <c r="I713" s="181"/>
      <c r="J713" s="181"/>
      <c r="K713" s="181"/>
    </row>
    <row r="714" spans="1:11">
      <c r="A714" s="175"/>
      <c r="B714" s="175"/>
      <c r="C714" s="175"/>
      <c r="D714" s="1270"/>
      <c r="E714" s="1270"/>
      <c r="F714" s="1270"/>
      <c r="H714" s="181"/>
      <c r="I714" s="181"/>
      <c r="J714" s="181"/>
      <c r="K714" s="181"/>
    </row>
    <row r="715" spans="1:11">
      <c r="A715" s="175"/>
      <c r="B715" s="175"/>
      <c r="C715" s="175"/>
      <c r="D715" s="1270"/>
      <c r="E715" s="1270"/>
      <c r="F715" s="1270"/>
      <c r="H715" s="181"/>
      <c r="I715" s="181"/>
      <c r="J715" s="181"/>
      <c r="K715" s="181"/>
    </row>
    <row r="716" spans="1:11">
      <c r="A716" s="175"/>
      <c r="B716" s="175"/>
      <c r="C716" s="175"/>
      <c r="D716" s="178"/>
      <c r="H716" s="181"/>
      <c r="I716" s="181"/>
      <c r="J716" s="181"/>
      <c r="K716" s="181"/>
    </row>
    <row r="717" spans="1:11" ht="14.25">
      <c r="A717" s="176"/>
      <c r="B717" s="468" t="s">
        <v>308</v>
      </c>
      <c r="C717" s="175"/>
      <c r="D717" s="1270" t="s">
        <v>1263</v>
      </c>
      <c r="E717" s="1270"/>
      <c r="F717" s="1270"/>
      <c r="H717" s="181"/>
      <c r="I717" s="181"/>
      <c r="J717" s="181"/>
      <c r="K717" s="181"/>
    </row>
    <row r="718" spans="1:11">
      <c r="A718" s="175"/>
      <c r="B718" s="175"/>
      <c r="C718" s="175"/>
      <c r="D718" s="1270"/>
      <c r="E718" s="1270"/>
      <c r="F718" s="1270"/>
      <c r="H718" s="181"/>
      <c r="I718" s="181"/>
      <c r="J718" s="181"/>
      <c r="K718" s="181"/>
    </row>
    <row r="719" spans="1:11">
      <c r="A719" s="175"/>
      <c r="B719" s="175"/>
      <c r="C719" s="175"/>
      <c r="D719" s="1270"/>
      <c r="E719" s="1270"/>
      <c r="F719" s="1270"/>
      <c r="H719" s="181"/>
      <c r="I719" s="181"/>
      <c r="J719" s="181"/>
      <c r="K719" s="181"/>
    </row>
    <row r="720" spans="1:11">
      <c r="A720" s="175"/>
      <c r="B720" s="175"/>
      <c r="C720" s="175"/>
      <c r="D720" s="1270"/>
      <c r="E720" s="1270"/>
      <c r="F720" s="1270"/>
      <c r="H720" s="181"/>
      <c r="I720" s="181"/>
      <c r="J720" s="181"/>
      <c r="K720" s="181"/>
    </row>
    <row r="721" spans="1:11">
      <c r="A721" s="175"/>
      <c r="B721" s="175"/>
      <c r="C721" s="175"/>
      <c r="D721" s="1270"/>
      <c r="E721" s="1270"/>
      <c r="F721" s="1270"/>
      <c r="H721" s="181"/>
      <c r="I721" s="181"/>
      <c r="J721" s="181"/>
      <c r="K721" s="181"/>
    </row>
    <row r="722" spans="1:11">
      <c r="A722" s="175"/>
      <c r="B722" s="175"/>
      <c r="C722" s="175"/>
      <c r="D722" s="1270"/>
      <c r="E722" s="1270"/>
      <c r="F722" s="1270"/>
      <c r="H722" s="181"/>
      <c r="I722" s="181"/>
      <c r="J722" s="181"/>
      <c r="K722" s="181"/>
    </row>
    <row r="723" spans="1:11">
      <c r="A723" s="175"/>
      <c r="B723" s="175"/>
      <c r="C723" s="175"/>
      <c r="D723" s="1270"/>
      <c r="E723" s="1270"/>
      <c r="F723" s="1270"/>
      <c r="H723" s="181"/>
      <c r="I723" s="181"/>
      <c r="J723" s="181"/>
      <c r="K723" s="181"/>
    </row>
    <row r="724" spans="1:11">
      <c r="A724" s="175"/>
      <c r="B724" s="175"/>
      <c r="C724" s="175"/>
      <c r="D724" s="1314" t="s">
        <v>1131</v>
      </c>
      <c r="E724" s="1314"/>
      <c r="F724" s="1314"/>
      <c r="H724" s="181"/>
      <c r="I724" s="181"/>
      <c r="J724" s="181"/>
      <c r="K724" s="181"/>
    </row>
    <row r="725" spans="1:11">
      <c r="A725" s="175"/>
      <c r="B725" s="175"/>
      <c r="C725" s="175"/>
      <c r="D725" s="369"/>
      <c r="H725" s="181"/>
      <c r="I725" s="181"/>
      <c r="J725" s="181"/>
      <c r="K725" s="181"/>
    </row>
    <row r="726" spans="1:11">
      <c r="A726" s="1316" t="s">
        <v>1088</v>
      </c>
      <c r="B726" s="1316"/>
      <c r="C726" s="1316"/>
      <c r="D726" s="1316"/>
      <c r="E726" s="1316"/>
      <c r="F726" s="1316"/>
      <c r="G726" s="1316"/>
      <c r="H726" s="181"/>
      <c r="I726" s="181"/>
      <c r="J726" s="181"/>
      <c r="K726" s="181"/>
    </row>
    <row r="727" spans="1:11">
      <c r="A727" s="175"/>
      <c r="B727" s="175"/>
      <c r="C727" s="175"/>
      <c r="D727" s="178"/>
      <c r="G727" s="183"/>
      <c r="H727" s="181"/>
      <c r="I727" s="181"/>
      <c r="J727" s="181"/>
      <c r="K727" s="181"/>
    </row>
    <row r="728" spans="1:11" ht="13.15" customHeight="1">
      <c r="C728" s="175"/>
      <c r="D728" s="1303" t="s">
        <v>1104</v>
      </c>
      <c r="E728" s="1303"/>
      <c r="F728" s="1303"/>
      <c r="G728" s="183"/>
      <c r="H728" s="181"/>
      <c r="I728" s="181"/>
      <c r="J728" s="181"/>
      <c r="K728" s="181"/>
    </row>
    <row r="729" spans="1:11">
      <c r="A729" s="175"/>
      <c r="B729" s="175"/>
      <c r="C729" s="175"/>
      <c r="D729" s="1313" t="s">
        <v>1105</v>
      </c>
      <c r="E729" s="1313"/>
      <c r="F729" s="1313"/>
      <c r="G729" s="183"/>
      <c r="H729" s="181"/>
      <c r="I729" s="181"/>
      <c r="J729" s="181"/>
      <c r="K729" s="181"/>
    </row>
    <row r="730" spans="1:11">
      <c r="A730" s="175"/>
      <c r="B730" s="175"/>
      <c r="C730" s="175"/>
      <c r="G730" s="183"/>
      <c r="H730" s="181"/>
      <c r="I730" s="181"/>
      <c r="J730" s="181"/>
      <c r="K730" s="181"/>
    </row>
    <row r="731" spans="1:11" ht="14.25">
      <c r="A731" s="176"/>
      <c r="B731" s="468" t="s">
        <v>308</v>
      </c>
      <c r="D731" s="1270" t="s">
        <v>1106</v>
      </c>
      <c r="E731" s="1270"/>
      <c r="F731" s="1270"/>
      <c r="G731" s="183"/>
      <c r="H731" s="181"/>
      <c r="I731" s="181"/>
      <c r="J731" s="181"/>
      <c r="K731" s="181"/>
    </row>
    <row r="732" spans="1:11" ht="10.5" customHeight="1">
      <c r="D732" s="1270"/>
      <c r="E732" s="1270"/>
      <c r="F732" s="1270"/>
      <c r="G732" s="183"/>
      <c r="H732" s="181"/>
      <c r="I732" s="181"/>
      <c r="J732" s="181"/>
      <c r="K732" s="181"/>
    </row>
    <row r="733" spans="1:11">
      <c r="D733" s="1270"/>
      <c r="E733" s="1270"/>
      <c r="F733" s="1270"/>
      <c r="G733" s="183"/>
      <c r="H733" s="181"/>
      <c r="I733" s="181"/>
      <c r="J733" s="181"/>
      <c r="K733" s="181"/>
    </row>
    <row r="734" spans="1:11">
      <c r="D734" s="1270"/>
      <c r="E734" s="1270"/>
      <c r="F734" s="1270"/>
      <c r="G734" s="183"/>
      <c r="H734" s="181"/>
      <c r="I734" s="181"/>
      <c r="J734" s="181"/>
      <c r="K734" s="181"/>
    </row>
    <row r="735" spans="1:11">
      <c r="D735" s="1270"/>
      <c r="E735" s="1270"/>
      <c r="F735" s="1270"/>
      <c r="G735" s="183"/>
      <c r="H735" s="181"/>
      <c r="I735" s="181"/>
      <c r="J735" s="181"/>
      <c r="K735" s="181"/>
    </row>
    <row r="736" spans="1:11" ht="15.6" customHeight="1">
      <c r="D736" s="1270"/>
      <c r="E736" s="1270"/>
      <c r="F736" s="1270"/>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70" t="s">
        <v>1107</v>
      </c>
      <c r="E738" s="1270"/>
      <c r="F738" s="1270"/>
      <c r="G738" s="210"/>
    </row>
    <row r="739" spans="1:11" s="274" customFormat="1">
      <c r="A739" s="273"/>
      <c r="B739" s="273"/>
      <c r="C739" s="273"/>
      <c r="D739" s="1270"/>
      <c r="E739" s="1270"/>
      <c r="F739" s="1270"/>
      <c r="G739" s="210"/>
    </row>
    <row r="740" spans="1:11" s="274" customFormat="1">
      <c r="A740" s="273"/>
      <c r="B740" s="273"/>
      <c r="C740" s="273"/>
      <c r="D740" s="1270"/>
      <c r="E740" s="1270"/>
      <c r="F740" s="1270"/>
      <c r="G740" s="210"/>
    </row>
    <row r="741" spans="1:11" s="274" customFormat="1">
      <c r="A741" s="273"/>
      <c r="B741" s="273"/>
      <c r="C741" s="273"/>
      <c r="D741" s="1270"/>
      <c r="E741" s="1270"/>
      <c r="F741" s="1270"/>
      <c r="G741" s="210"/>
    </row>
    <row r="742" spans="1:11" s="274" customFormat="1">
      <c r="A742" s="273"/>
      <c r="B742" s="273"/>
      <c r="C742" s="273"/>
      <c r="D742" s="255"/>
      <c r="E742" s="210"/>
      <c r="F742" s="210"/>
      <c r="G742" s="210"/>
    </row>
    <row r="743" spans="1:11" s="274" customFormat="1" ht="14.25">
      <c r="A743" s="176"/>
      <c r="B743" s="468" t="s">
        <v>308</v>
      </c>
      <c r="C743" s="273"/>
      <c r="D743" s="1310" t="s">
        <v>1108</v>
      </c>
      <c r="E743" s="1310"/>
      <c r="F743" s="1310"/>
      <c r="G743" s="210"/>
    </row>
    <row r="744" spans="1:11" s="274" customFormat="1">
      <c r="A744" s="273"/>
      <c r="B744" s="273"/>
      <c r="C744" s="273"/>
      <c r="D744" s="1310"/>
      <c r="E744" s="1310"/>
      <c r="F744" s="1310"/>
      <c r="G744" s="210"/>
    </row>
    <row r="745" spans="1:11" s="274" customFormat="1">
      <c r="A745" s="273"/>
      <c r="B745" s="273"/>
      <c r="C745" s="273"/>
      <c r="D745" s="1310"/>
      <c r="E745" s="1310"/>
      <c r="F745" s="1310"/>
      <c r="G745" s="210"/>
    </row>
    <row r="746" spans="1:11">
      <c r="D746" s="255"/>
      <c r="E746" s="35"/>
      <c r="F746" s="35"/>
      <c r="G746" s="183"/>
      <c r="H746" s="181"/>
      <c r="I746" s="181"/>
      <c r="J746" s="181"/>
      <c r="K746" s="181"/>
    </row>
    <row r="747" spans="1:11" ht="14.25">
      <c r="A747" s="176"/>
      <c r="B747" s="468" t="s">
        <v>308</v>
      </c>
      <c r="D747" s="1270" t="s">
        <v>1109</v>
      </c>
      <c r="E747" s="1270"/>
      <c r="F747" s="1270"/>
      <c r="G747" s="183"/>
      <c r="H747" s="181"/>
      <c r="I747" s="181"/>
      <c r="J747" s="181"/>
      <c r="K747" s="181"/>
    </row>
    <row r="748" spans="1:11">
      <c r="D748" s="1270"/>
      <c r="E748" s="1270"/>
      <c r="F748" s="1270"/>
      <c r="G748" s="183"/>
      <c r="H748" s="181"/>
      <c r="I748" s="181"/>
      <c r="J748" s="181"/>
      <c r="K748" s="181"/>
    </row>
    <row r="749" spans="1:11">
      <c r="D749" s="474"/>
      <c r="E749" s="474"/>
      <c r="F749" s="474"/>
      <c r="G749" s="183"/>
      <c r="H749" s="181"/>
      <c r="I749" s="181"/>
      <c r="J749" s="181"/>
      <c r="K749" s="181"/>
    </row>
    <row r="750" spans="1:11">
      <c r="B750" s="468" t="s">
        <v>308</v>
      </c>
      <c r="D750" s="1270" t="s">
        <v>1110</v>
      </c>
      <c r="E750" s="1270"/>
      <c r="F750" s="1270"/>
      <c r="G750" s="183"/>
      <c r="H750" s="181"/>
      <c r="I750" s="181"/>
      <c r="J750" s="181"/>
      <c r="K750" s="181"/>
    </row>
    <row r="751" spans="1:11">
      <c r="D751" s="1270"/>
      <c r="E751" s="1270"/>
      <c r="F751" s="1270"/>
      <c r="G751" s="183"/>
      <c r="H751" s="181"/>
      <c r="I751" s="181"/>
      <c r="J751" s="181"/>
      <c r="K751" s="181"/>
    </row>
    <row r="752" spans="1:11">
      <c r="D752" s="1270"/>
      <c r="E752" s="1270"/>
      <c r="F752" s="1270"/>
      <c r="G752" s="183"/>
      <c r="H752" s="181"/>
      <c r="I752" s="181"/>
      <c r="J752" s="181"/>
      <c r="K752" s="181"/>
    </row>
    <row r="753" spans="1:11">
      <c r="D753" s="474"/>
      <c r="E753" s="474"/>
      <c r="F753" s="474"/>
      <c r="G753" s="183"/>
      <c r="H753" s="181"/>
      <c r="I753" s="181"/>
      <c r="J753" s="181"/>
      <c r="K753" s="181"/>
    </row>
    <row r="754" spans="1:11">
      <c r="A754" s="1285" t="s">
        <v>1111</v>
      </c>
      <c r="B754" s="1285"/>
      <c r="C754" s="1285"/>
      <c r="D754" s="1285"/>
      <c r="E754" s="1285"/>
      <c r="F754" s="1285"/>
      <c r="G754" s="1285"/>
    </row>
    <row r="755" spans="1:11">
      <c r="A755" s="175"/>
      <c r="B755" s="175"/>
      <c r="C755" s="175"/>
      <c r="D755" s="184"/>
      <c r="F755" s="35"/>
      <c r="G755" s="183"/>
    </row>
    <row r="756" spans="1:11">
      <c r="D756" s="1317" t="s">
        <v>1095</v>
      </c>
      <c r="E756" s="1317"/>
      <c r="F756" s="1317"/>
      <c r="G756" s="183"/>
    </row>
    <row r="757" spans="1:11">
      <c r="A757" s="345"/>
      <c r="B757" s="345"/>
      <c r="C757" s="345"/>
      <c r="D757" s="1300" t="s">
        <v>1112</v>
      </c>
      <c r="E757" s="1300"/>
      <c r="F757" s="1300"/>
      <c r="G757" s="183"/>
    </row>
    <row r="758" spans="1:11">
      <c r="D758" s="433"/>
      <c r="E758" s="433"/>
      <c r="F758" s="433"/>
      <c r="G758" s="183"/>
    </row>
    <row r="759" spans="1:11" ht="14.25">
      <c r="A759" s="176"/>
      <c r="B759" s="468" t="s">
        <v>308</v>
      </c>
      <c r="D759" s="1300" t="s">
        <v>1005</v>
      </c>
      <c r="E759" s="1300"/>
      <c r="F759" s="1300"/>
      <c r="G759" s="183"/>
    </row>
    <row r="760" spans="1:11">
      <c r="D760" s="433"/>
      <c r="E760" s="1312" t="s">
        <v>1096</v>
      </c>
      <c r="F760" s="1312"/>
      <c r="G760" s="183"/>
    </row>
    <row r="761" spans="1:11">
      <c r="A761" s="172"/>
      <c r="B761" s="172"/>
      <c r="C761" s="172"/>
      <c r="D761" s="35"/>
      <c r="G761" s="183"/>
    </row>
    <row r="762" spans="1:11">
      <c r="A762" s="1315" t="s">
        <v>449</v>
      </c>
      <c r="B762" s="1315"/>
      <c r="C762" s="1315"/>
      <c r="D762" s="1315"/>
      <c r="E762" s="1315"/>
      <c r="F762" s="1315"/>
      <c r="G762" s="1315"/>
    </row>
    <row r="763" spans="1:11">
      <c r="A763" s="172"/>
      <c r="B763" s="172"/>
      <c r="C763" s="179"/>
      <c r="D763" s="183"/>
      <c r="E763" s="183"/>
      <c r="F763" s="183"/>
      <c r="G763" s="183"/>
    </row>
    <row r="764" spans="1:11">
      <c r="A764" s="35"/>
      <c r="B764" s="1313" t="s">
        <v>1004</v>
      </c>
      <c r="C764" s="1313"/>
      <c r="D764" s="1313"/>
      <c r="E764" s="1313"/>
      <c r="F764" s="1313"/>
      <c r="G764" s="183"/>
    </row>
    <row r="765" spans="1:11">
      <c r="A765" s="13"/>
      <c r="B765" s="13"/>
      <c r="G765" s="183"/>
    </row>
    <row r="766" spans="1:11">
      <c r="A766" s="1315" t="s">
        <v>450</v>
      </c>
      <c r="B766" s="1315"/>
      <c r="C766" s="1315"/>
      <c r="D766" s="1315"/>
      <c r="E766" s="1315"/>
      <c r="F766" s="1315"/>
      <c r="G766" s="1315"/>
    </row>
    <row r="767" spans="1:11">
      <c r="A767" s="172"/>
      <c r="B767" s="172"/>
      <c r="C767" s="172"/>
      <c r="D767" s="178"/>
      <c r="G767" s="183"/>
    </row>
    <row r="768" spans="1:11">
      <c r="A768" s="35"/>
      <c r="B768" s="1281" t="s">
        <v>448</v>
      </c>
      <c r="C768" s="1281"/>
      <c r="D768" s="1281"/>
      <c r="E768" s="1281"/>
      <c r="F768" s="1281"/>
      <c r="G768" s="183"/>
    </row>
    <row r="769" spans="1:7" ht="14.25">
      <c r="A769" s="176"/>
      <c r="B769" s="176"/>
      <c r="D769" s="35"/>
      <c r="E769" s="35"/>
      <c r="F769" s="183"/>
      <c r="G769" s="183"/>
    </row>
    <row r="770" spans="1:7">
      <c r="A770" s="1315" t="s">
        <v>451</v>
      </c>
      <c r="B770" s="1315"/>
      <c r="C770" s="1315"/>
      <c r="D770" s="1315"/>
      <c r="E770" s="1315"/>
      <c r="F770" s="1315"/>
      <c r="G770" s="1315"/>
    </row>
    <row r="771" spans="1:7">
      <c r="C771" s="175"/>
      <c r="D771" s="173"/>
      <c r="E771" s="35"/>
      <c r="F771" s="183"/>
      <c r="G771" s="183"/>
    </row>
    <row r="772" spans="1:7">
      <c r="A772" s="35"/>
      <c r="B772" s="1281" t="s">
        <v>448</v>
      </c>
      <c r="C772" s="1281"/>
      <c r="D772" s="1281"/>
      <c r="E772" s="1281"/>
      <c r="F772" s="1281"/>
      <c r="G772" s="183"/>
    </row>
    <row r="773" spans="1:7">
      <c r="A773" s="35"/>
      <c r="B773" s="35"/>
      <c r="C773" s="179"/>
      <c r="D773" s="183"/>
      <c r="E773" s="183"/>
      <c r="F773" s="183"/>
      <c r="G773" s="183"/>
    </row>
    <row r="774" spans="1:7">
      <c r="A774" s="1315" t="s">
        <v>452</v>
      </c>
      <c r="B774" s="1315"/>
      <c r="C774" s="1315"/>
      <c r="D774" s="1315"/>
      <c r="E774" s="1315"/>
      <c r="F774" s="1315"/>
      <c r="G774" s="1315"/>
    </row>
    <row r="775" spans="1:7">
      <c r="A775" s="35"/>
      <c r="B775" s="35"/>
    </row>
    <row r="776" spans="1:7">
      <c r="A776" s="35"/>
      <c r="B776" s="1281" t="s">
        <v>448</v>
      </c>
      <c r="C776" s="1281"/>
      <c r="D776" s="1281"/>
      <c r="E776" s="1281"/>
      <c r="F776" s="1281"/>
    </row>
    <row r="777" spans="1:7">
      <c r="A777" s="179"/>
      <c r="B777" s="179"/>
      <c r="C777" s="179"/>
      <c r="D777" s="174"/>
      <c r="F777" s="183"/>
    </row>
    <row r="778" spans="1:7">
      <c r="A778" s="1315" t="s">
        <v>453</v>
      </c>
      <c r="B778" s="1315"/>
      <c r="C778" s="1315"/>
      <c r="D778" s="1315"/>
      <c r="E778" s="1315"/>
      <c r="F778" s="1315"/>
      <c r="G778" s="1315"/>
    </row>
    <row r="779" spans="1:7">
      <c r="A779" s="35"/>
      <c r="B779" s="35"/>
    </row>
    <row r="780" spans="1:7">
      <c r="A780" s="35"/>
      <c r="B780" s="1281" t="s">
        <v>448</v>
      </c>
      <c r="C780" s="1281"/>
      <c r="D780" s="1281"/>
      <c r="E780" s="1281"/>
      <c r="F780" s="1281"/>
    </row>
    <row r="781" spans="1:7">
      <c r="A781" s="179"/>
      <c r="B781" s="179"/>
      <c r="C781" s="179"/>
      <c r="D781" s="174"/>
      <c r="F781" s="183"/>
    </row>
    <row r="782" spans="1:7">
      <c r="A782" s="1315" t="s">
        <v>454</v>
      </c>
      <c r="B782" s="1315"/>
      <c r="C782" s="1315"/>
      <c r="D782" s="1315"/>
      <c r="E782" s="1315"/>
      <c r="F782" s="1315"/>
      <c r="G782" s="1315"/>
    </row>
    <row r="783" spans="1:7">
      <c r="A783" s="35"/>
      <c r="B783" s="35"/>
    </row>
    <row r="784" spans="1:7">
      <c r="A784" s="35"/>
      <c r="B784" s="1281" t="s">
        <v>448</v>
      </c>
      <c r="C784" s="1281"/>
      <c r="D784" s="1281"/>
      <c r="E784" s="1281"/>
      <c r="F784" s="1281"/>
    </row>
    <row r="785" spans="1:7">
      <c r="D785" s="174"/>
    </row>
    <row r="786" spans="1:7">
      <c r="A786" s="1315" t="s">
        <v>187</v>
      </c>
      <c r="B786" s="1315"/>
      <c r="C786" s="1315"/>
      <c r="D786" s="1315"/>
      <c r="E786" s="1315"/>
      <c r="F786" s="1315"/>
      <c r="G786" s="1315"/>
    </row>
    <row r="787" spans="1:7">
      <c r="A787" s="35"/>
      <c r="B787" s="35"/>
    </row>
    <row r="788" spans="1:7">
      <c r="A788" s="35"/>
      <c r="B788" s="1281" t="s">
        <v>448</v>
      </c>
      <c r="C788" s="1281"/>
      <c r="D788" s="1281"/>
      <c r="E788" s="1281"/>
      <c r="F788" s="1281"/>
    </row>
    <row r="789" spans="1:7">
      <c r="A789" s="35"/>
      <c r="B789" s="35"/>
      <c r="D789" s="174"/>
    </row>
    <row r="790" spans="1:7">
      <c r="A790" s="1315" t="s">
        <v>885</v>
      </c>
      <c r="B790" s="1315"/>
      <c r="C790" s="1315"/>
      <c r="D790" s="1315"/>
      <c r="E790" s="1315"/>
      <c r="F790" s="1315"/>
      <c r="G790" s="1315"/>
    </row>
    <row r="791" spans="1:7">
      <c r="A791" s="35"/>
      <c r="B791" s="35"/>
    </row>
    <row r="792" spans="1:7">
      <c r="A792" s="35"/>
      <c r="B792" s="1281" t="s">
        <v>448</v>
      </c>
      <c r="C792" s="1281"/>
      <c r="D792" s="1281"/>
      <c r="E792" s="1281"/>
      <c r="F792" s="1281"/>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3"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41"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21" t="s">
        <v>2058</v>
      </c>
      <c r="B2" s="1322"/>
      <c r="C2" s="1322"/>
      <c r="D2" s="1322"/>
      <c r="E2" s="1322"/>
      <c r="F2" s="1322"/>
      <c r="G2" s="1322"/>
      <c r="H2" s="1322"/>
      <c r="I2" s="1322"/>
      <c r="J2" s="1322"/>
    </row>
    <row r="3" spans="1:10" ht="15">
      <c r="A3" s="1325" t="s">
        <v>1376</v>
      </c>
      <c r="B3" s="1326"/>
      <c r="C3" s="1326"/>
      <c r="D3" s="1326"/>
      <c r="E3" s="1326"/>
      <c r="F3" s="1326"/>
      <c r="G3" s="1326"/>
      <c r="H3" s="1326"/>
      <c r="I3" s="1326"/>
      <c r="J3" s="1326"/>
    </row>
    <row r="4" spans="1:10" ht="12.75"/>
    <row r="5" spans="1:10" ht="12.75" customHeight="1">
      <c r="A5" s="1323" t="s">
        <v>2359</v>
      </c>
      <c r="B5" s="1323"/>
      <c r="C5" s="1323"/>
      <c r="D5" s="1323"/>
      <c r="E5" s="1323"/>
      <c r="F5" s="1323"/>
      <c r="G5" s="1323"/>
      <c r="H5" s="1323"/>
      <c r="I5" s="1323"/>
      <c r="J5" s="1323"/>
    </row>
    <row r="6" spans="1:10" ht="12.75">
      <c r="A6" s="1323"/>
      <c r="B6" s="1323"/>
      <c r="C6" s="1323"/>
      <c r="D6" s="1323"/>
      <c r="E6" s="1323"/>
      <c r="F6" s="1323"/>
      <c r="G6" s="1323"/>
      <c r="H6" s="1323"/>
      <c r="I6" s="1323"/>
      <c r="J6" s="1323"/>
    </row>
    <row r="7" spans="1:10" ht="30" customHeight="1">
      <c r="A7" s="1323"/>
      <c r="B7" s="1323"/>
      <c r="C7" s="1323"/>
      <c r="D7" s="1323"/>
      <c r="E7" s="1323"/>
      <c r="F7" s="1323"/>
      <c r="G7" s="1323"/>
      <c r="H7" s="1323"/>
      <c r="I7" s="1323"/>
      <c r="J7" s="1323"/>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7" t="s">
        <v>2063</v>
      </c>
      <c r="B11" s="1327"/>
      <c r="C11" s="1327"/>
      <c r="D11" s="1327"/>
      <c r="E11" s="1327"/>
      <c r="F11" s="1327"/>
      <c r="G11" s="1327"/>
      <c r="H11" s="1327"/>
      <c r="I11" s="1327"/>
      <c r="J11" s="1327"/>
    </row>
    <row r="12" spans="1:10" ht="12.75">
      <c r="A12" s="1327"/>
      <c r="B12" s="1327"/>
      <c r="C12" s="1327"/>
      <c r="D12" s="1327"/>
      <c r="E12" s="1327"/>
      <c r="F12" s="1327"/>
      <c r="G12" s="1327"/>
      <c r="H12" s="1327"/>
      <c r="I12" s="1327"/>
      <c r="J12" s="1327"/>
    </row>
    <row r="13" spans="1:10" ht="12.75">
      <c r="A13" s="1327"/>
      <c r="B13" s="1327"/>
      <c r="C13" s="1327"/>
      <c r="D13" s="1327"/>
      <c r="E13" s="1327"/>
      <c r="F13" s="1327"/>
      <c r="G13" s="1327"/>
      <c r="H13" s="1327"/>
      <c r="I13" s="1327"/>
      <c r="J13" s="1327"/>
    </row>
    <row r="14" spans="1:10" ht="12.75">
      <c r="A14" s="1327"/>
      <c r="B14" s="1327"/>
      <c r="C14" s="1327"/>
      <c r="D14" s="1327"/>
      <c r="E14" s="1327"/>
      <c r="F14" s="1327"/>
      <c r="G14" s="1327"/>
      <c r="H14" s="1327"/>
      <c r="I14" s="1327"/>
      <c r="J14" s="1327"/>
    </row>
    <row r="15" spans="1:10" ht="12.75">
      <c r="A15" s="1327"/>
      <c r="B15" s="1327"/>
      <c r="C15" s="1327"/>
      <c r="D15" s="1327"/>
      <c r="E15" s="1327"/>
      <c r="F15" s="1327"/>
      <c r="G15" s="1327"/>
      <c r="H15" s="1327"/>
      <c r="I15" s="1327"/>
      <c r="J15" s="1327"/>
    </row>
    <row r="16" spans="1:10" ht="12.75">
      <c r="A16" s="1327"/>
      <c r="B16" s="1327"/>
      <c r="C16" s="1327"/>
      <c r="D16" s="1327"/>
      <c r="E16" s="1327"/>
      <c r="F16" s="1327"/>
      <c r="G16" s="1327"/>
      <c r="H16" s="1327"/>
      <c r="I16" s="1327"/>
      <c r="J16" s="1327"/>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6" t="s">
        <v>1295</v>
      </c>
      <c r="B20" s="1326"/>
      <c r="C20" s="1326"/>
      <c r="D20" s="1326"/>
      <c r="E20" s="1326"/>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3" t="s">
        <v>1296</v>
      </c>
      <c r="B57" s="1323"/>
      <c r="C57" s="1323"/>
      <c r="D57" s="1323"/>
      <c r="E57" s="1323"/>
      <c r="F57" s="1323"/>
      <c r="G57" s="1323"/>
      <c r="H57" s="1323"/>
      <c r="I57" s="1323"/>
      <c r="J57" s="1323"/>
    </row>
    <row r="58" spans="1:10" ht="12.75">
      <c r="A58" s="1323"/>
      <c r="B58" s="1323"/>
      <c r="C58" s="1323"/>
      <c r="D58" s="1323"/>
      <c r="E58" s="1323"/>
      <c r="F58" s="1323"/>
      <c r="G58" s="1323"/>
      <c r="H58" s="1323"/>
      <c r="I58" s="1323"/>
      <c r="J58" s="1323"/>
    </row>
    <row r="59" spans="1:10" ht="12.75">
      <c r="A59" s="1323"/>
      <c r="B59" s="1323"/>
      <c r="C59" s="1323"/>
      <c r="D59" s="1323"/>
      <c r="E59" s="1323"/>
      <c r="F59" s="1323"/>
      <c r="G59" s="1323"/>
      <c r="H59" s="1323"/>
      <c r="I59" s="1323"/>
      <c r="J59" s="1323"/>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4" t="s">
        <v>2059</v>
      </c>
      <c r="B72" s="1324"/>
      <c r="C72" s="1324"/>
      <c r="D72" s="1324"/>
      <c r="E72" s="1324"/>
      <c r="F72" s="1324"/>
      <c r="G72" s="1324"/>
      <c r="H72" s="1324"/>
      <c r="I72" s="1324"/>
    </row>
    <row r="73" spans="1:9" ht="12.75">
      <c r="A73" s="1276" t="s">
        <v>2357</v>
      </c>
      <c r="B73" s="1276"/>
      <c r="C73" s="1276"/>
      <c r="D73" s="1276"/>
      <c r="E73" s="1276"/>
    </row>
    <row r="74" spans="1:9" ht="12.75">
      <c r="A74" s="1276" t="s">
        <v>2358</v>
      </c>
      <c r="B74" s="1276"/>
      <c r="C74" s="1276"/>
      <c r="D74" s="1276"/>
      <c r="E74" s="1276"/>
    </row>
    <row r="75" spans="1:9" ht="12.75">
      <c r="A75" s="1276" t="s">
        <v>2060</v>
      </c>
      <c r="B75" s="1276"/>
      <c r="C75" s="1276"/>
      <c r="D75" s="1276"/>
      <c r="E75" s="1276"/>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546" workbookViewId="0">
      <selection activeCell="D551" sqref="D551:F55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53" t="s">
        <v>2579</v>
      </c>
      <c r="B2" s="1353"/>
      <c r="C2" s="1353"/>
      <c r="D2" s="1353"/>
      <c r="E2" s="1353"/>
      <c r="F2" s="1353"/>
      <c r="G2" s="1353"/>
      <c r="H2" s="1353"/>
      <c r="I2" s="1353"/>
    </row>
    <row r="3" spans="1:13">
      <c r="A3" s="1341" t="s">
        <v>2625</v>
      </c>
      <c r="B3" s="1341"/>
      <c r="C3" s="1341"/>
      <c r="D3" s="1341"/>
      <c r="E3" s="1341"/>
      <c r="F3" s="1341"/>
      <c r="G3" s="1341"/>
      <c r="H3" s="1341"/>
      <c r="I3" s="1341"/>
    </row>
    <row r="4" spans="1:13">
      <c r="A4" s="1341"/>
      <c r="B4" s="1341"/>
      <c r="C4" s="1326"/>
      <c r="D4" s="1326"/>
      <c r="E4" s="1326"/>
      <c r="F4" s="1326"/>
      <c r="G4" s="1326"/>
    </row>
    <row r="5" spans="1:13">
      <c r="A5" s="1341"/>
      <c r="B5" s="1341"/>
      <c r="C5" s="1326"/>
      <c r="D5" s="1326"/>
      <c r="E5" s="1326"/>
      <c r="F5" s="1326"/>
      <c r="G5" s="1326"/>
    </row>
    <row r="6" spans="1:13" ht="12.75" customHeight="1">
      <c r="A6" s="1344" t="s">
        <v>2624</v>
      </c>
      <c r="B6" s="1344"/>
      <c r="C6" s="1344"/>
      <c r="D6" s="1344"/>
      <c r="E6" s="1344"/>
      <c r="F6" s="1344"/>
      <c r="G6" s="1344"/>
      <c r="I6" s="524" t="s">
        <v>2069</v>
      </c>
    </row>
    <row r="7" spans="1:13">
      <c r="A7" s="1344"/>
      <c r="B7" s="1344"/>
      <c r="C7" s="1344"/>
      <c r="D7" s="1344"/>
      <c r="E7" s="1344"/>
      <c r="F7" s="1344"/>
      <c r="G7" s="1344"/>
      <c r="I7" s="524" t="s">
        <v>2070</v>
      </c>
    </row>
    <row r="8" spans="1:13">
      <c r="A8" s="515"/>
      <c r="B8" s="515"/>
      <c r="C8" s="516"/>
      <c r="D8" s="516"/>
      <c r="E8" s="516"/>
      <c r="F8" s="516"/>
    </row>
    <row r="9" spans="1:13">
      <c r="A9" s="1285" t="s">
        <v>1168</v>
      </c>
      <c r="B9" s="1285"/>
      <c r="C9" s="1285"/>
      <c r="D9" s="1285"/>
      <c r="E9" s="1285"/>
      <c r="F9" s="1285"/>
      <c r="G9" s="1285"/>
      <c r="H9" s="1063"/>
      <c r="I9" s="1064"/>
    </row>
    <row r="10" spans="1:13">
      <c r="A10" s="516"/>
      <c r="B10" s="516"/>
      <c r="E10" s="435"/>
    </row>
    <row r="11" spans="1:13" ht="13.7" customHeight="1">
      <c r="C11" s="516"/>
      <c r="D11" s="1343" t="s">
        <v>1167</v>
      </c>
      <c r="E11" s="1343"/>
      <c r="F11" s="1343"/>
    </row>
    <row r="12" spans="1:13">
      <c r="C12" s="516"/>
      <c r="D12" s="1343"/>
      <c r="E12" s="1343"/>
      <c r="F12" s="1343"/>
    </row>
    <row r="13" spans="1:13">
      <c r="A13" s="517"/>
      <c r="B13" s="517"/>
      <c r="C13" s="517"/>
      <c r="D13" s="1298" t="s">
        <v>1150</v>
      </c>
      <c r="E13" s="1298"/>
      <c r="F13" s="1298"/>
      <c r="M13" s="96"/>
    </row>
    <row r="14" spans="1:13">
      <c r="A14" s="517"/>
      <c r="B14" s="517"/>
      <c r="C14" s="517"/>
      <c r="D14" s="510"/>
      <c r="L14" s="336"/>
    </row>
    <row r="15" spans="1:13" ht="14.25">
      <c r="A15" s="518"/>
      <c r="B15" s="519" t="s">
        <v>2641</v>
      </c>
      <c r="C15" s="517"/>
      <c r="D15" s="1297" t="s">
        <v>2220</v>
      </c>
      <c r="E15" s="1297"/>
      <c r="F15" s="1297"/>
      <c r="I15" s="524" t="s">
        <v>2071</v>
      </c>
    </row>
    <row r="16" spans="1:13">
      <c r="A16" s="517"/>
      <c r="B16" s="517"/>
      <c r="C16" s="517"/>
      <c r="D16" s="1297"/>
      <c r="E16" s="1297"/>
      <c r="F16" s="1297"/>
      <c r="I16" s="524"/>
    </row>
    <row r="17" spans="1:9">
      <c r="A17" s="517"/>
      <c r="B17" s="517"/>
      <c r="C17" s="517"/>
      <c r="D17" s="1297"/>
      <c r="E17" s="1297"/>
      <c r="F17" s="1297"/>
      <c r="I17" s="524"/>
    </row>
    <row r="18" spans="1:9">
      <c r="A18" s="517"/>
      <c r="B18" s="517"/>
      <c r="C18" s="517"/>
      <c r="D18" s="479"/>
      <c r="E18" s="336" t="s">
        <v>2218</v>
      </c>
      <c r="F18" s="479"/>
      <c r="I18" s="524"/>
    </row>
    <row r="19" spans="1:9">
      <c r="A19" s="517"/>
      <c r="B19" s="517"/>
      <c r="C19" s="517"/>
      <c r="I19" s="524"/>
    </row>
    <row r="20" spans="1:9" ht="14.25">
      <c r="A20" s="518"/>
      <c r="B20" s="519" t="s">
        <v>2642</v>
      </c>
      <c r="D20" s="1297" t="s">
        <v>2221</v>
      </c>
      <c r="E20" s="1297"/>
      <c r="F20" s="1297"/>
      <c r="I20" s="524" t="s">
        <v>2072</v>
      </c>
    </row>
    <row r="21" spans="1:9" ht="14.25">
      <c r="A21" s="518"/>
      <c r="D21" s="1297"/>
      <c r="E21" s="1297"/>
      <c r="F21" s="1297"/>
      <c r="I21" s="524"/>
    </row>
    <row r="22" spans="1:9" ht="14.25">
      <c r="A22" s="518"/>
      <c r="D22" s="423"/>
      <c r="E22" s="96" t="s">
        <v>2217</v>
      </c>
      <c r="F22" s="423"/>
      <c r="I22" s="524"/>
    </row>
    <row r="23" spans="1:9" ht="14.25">
      <c r="A23" s="518"/>
      <c r="B23" s="518"/>
      <c r="D23" s="480"/>
      <c r="I23" s="524"/>
    </row>
    <row r="24" spans="1:9" ht="14.25">
      <c r="A24" s="518"/>
      <c r="B24" s="519" t="s">
        <v>2641</v>
      </c>
      <c r="D24" s="1297" t="s">
        <v>1153</v>
      </c>
      <c r="E24" s="1297"/>
      <c r="F24" s="1297"/>
      <c r="I24" s="524" t="s">
        <v>2072</v>
      </c>
    </row>
    <row r="25" spans="1:9" ht="14.25">
      <c r="A25" s="518"/>
      <c r="B25" s="518"/>
      <c r="D25" s="1297"/>
      <c r="E25" s="1297"/>
      <c r="F25" s="1297"/>
      <c r="I25" s="524"/>
    </row>
    <row r="26" spans="1:9">
      <c r="I26" s="524"/>
    </row>
    <row r="27" spans="1:9" ht="14.25">
      <c r="A27" s="518"/>
      <c r="B27" s="519" t="s">
        <v>2642</v>
      </c>
      <c r="D27" s="1297" t="s">
        <v>2360</v>
      </c>
      <c r="E27" s="1297"/>
      <c r="F27" s="1297"/>
      <c r="I27" s="524" t="s">
        <v>2075</v>
      </c>
    </row>
    <row r="28" spans="1:9">
      <c r="D28" s="1297"/>
      <c r="E28" s="1297"/>
      <c r="F28" s="1297"/>
      <c r="I28" s="524"/>
    </row>
    <row r="29" spans="1:9">
      <c r="D29" s="1297"/>
      <c r="E29" s="1297"/>
      <c r="F29" s="1297"/>
      <c r="I29" s="524"/>
    </row>
    <row r="30" spans="1:9">
      <c r="D30" s="1297"/>
      <c r="E30" s="1297"/>
      <c r="F30" s="1297"/>
      <c r="I30" s="524"/>
    </row>
    <row r="31" spans="1:9">
      <c r="D31" s="1297"/>
      <c r="E31" s="1297"/>
      <c r="F31" s="1297"/>
      <c r="I31" s="524"/>
    </row>
    <row r="32" spans="1:9">
      <c r="D32" s="481"/>
      <c r="I32" s="524"/>
    </row>
    <row r="33" spans="1:9">
      <c r="B33" s="519" t="s">
        <v>2641</v>
      </c>
      <c r="D33" s="1297" t="s">
        <v>2361</v>
      </c>
      <c r="E33" s="1297"/>
      <c r="F33" s="1297"/>
      <c r="I33" s="524" t="s">
        <v>2071</v>
      </c>
    </row>
    <row r="34" spans="1:9">
      <c r="D34" s="1297"/>
      <c r="E34" s="1297"/>
      <c r="F34" s="1297"/>
      <c r="I34" s="524"/>
    </row>
    <row r="35" spans="1:9" ht="14.25">
      <c r="A35" s="518"/>
      <c r="B35" s="518"/>
      <c r="D35" s="481"/>
      <c r="I35" s="524"/>
    </row>
    <row r="36" spans="1:9" ht="14.45" customHeight="1">
      <c r="A36" s="518"/>
      <c r="B36" s="519" t="s">
        <v>2642</v>
      </c>
      <c r="D36" s="1297" t="s">
        <v>1320</v>
      </c>
      <c r="E36" s="1297"/>
      <c r="F36" s="1297"/>
      <c r="I36" s="524" t="s">
        <v>2142</v>
      </c>
    </row>
    <row r="37" spans="1:9" ht="14.25">
      <c r="A37" s="518"/>
      <c r="B37" s="518"/>
      <c r="D37" s="1297"/>
      <c r="E37" s="1297"/>
      <c r="F37" s="1297"/>
      <c r="I37" s="524"/>
    </row>
    <row r="38" spans="1:9" ht="14.25">
      <c r="A38" s="518"/>
      <c r="B38" s="518"/>
      <c r="D38" s="1297"/>
      <c r="E38" s="1297"/>
      <c r="F38" s="1297"/>
      <c r="I38" s="524"/>
    </row>
    <row r="39" spans="1:9" ht="14.25">
      <c r="A39" s="518"/>
      <c r="B39" s="518"/>
      <c r="D39" s="1297"/>
      <c r="E39" s="1297"/>
      <c r="F39" s="1297"/>
      <c r="I39" s="524"/>
    </row>
    <row r="40" spans="1:9" ht="14.25">
      <c r="A40" s="518"/>
      <c r="B40" s="518"/>
      <c r="I40" s="524"/>
    </row>
    <row r="41" spans="1:9" ht="14.25">
      <c r="A41" s="518"/>
      <c r="B41" s="519" t="s">
        <v>2641</v>
      </c>
      <c r="D41" s="1297" t="s">
        <v>1157</v>
      </c>
      <c r="E41" s="1297"/>
      <c r="F41" s="1297"/>
      <c r="I41" s="524"/>
    </row>
    <row r="42" spans="1:9" ht="14.25">
      <c r="A42" s="518"/>
      <c r="B42" s="518"/>
      <c r="D42" s="1297"/>
      <c r="E42" s="1297"/>
      <c r="F42" s="1297"/>
      <c r="I42" s="524"/>
    </row>
    <row r="43" spans="1:9" ht="14.25">
      <c r="A43" s="518"/>
      <c r="B43" s="518"/>
      <c r="D43" s="1297"/>
      <c r="E43" s="1297"/>
      <c r="F43" s="1297"/>
      <c r="I43" s="524"/>
    </row>
    <row r="44" spans="1:9" ht="14.25">
      <c r="A44" s="518"/>
      <c r="B44" s="518"/>
      <c r="D44" s="1297"/>
      <c r="E44" s="1297"/>
      <c r="F44" s="1297"/>
      <c r="I44" s="524"/>
    </row>
    <row r="45" spans="1:9" ht="14.25">
      <c r="A45" s="518"/>
      <c r="B45" s="518"/>
      <c r="D45" s="1297"/>
      <c r="E45" s="1297"/>
      <c r="F45" s="1297"/>
      <c r="I45" s="524"/>
    </row>
    <row r="46" spans="1:9" ht="14.25">
      <c r="A46" s="518"/>
      <c r="B46" s="518"/>
      <c r="D46" s="479"/>
      <c r="E46" s="479"/>
      <c r="F46" s="479"/>
      <c r="I46" s="524"/>
    </row>
    <row r="47" spans="1:9" ht="14.25">
      <c r="A47" s="518"/>
      <c r="B47" s="519" t="s">
        <v>2641</v>
      </c>
      <c r="D47" s="1297" t="s">
        <v>1158</v>
      </c>
      <c r="E47" s="1297"/>
      <c r="F47" s="1297"/>
      <c r="I47" s="524" t="s">
        <v>2142</v>
      </c>
    </row>
    <row r="48" spans="1:9" ht="14.25">
      <c r="A48" s="518"/>
      <c r="B48" s="518"/>
      <c r="D48" s="1297"/>
      <c r="E48" s="1297"/>
      <c r="F48" s="1297"/>
      <c r="I48" s="524"/>
    </row>
    <row r="49" spans="1:9" ht="14.25">
      <c r="A49" s="518"/>
      <c r="B49" s="518"/>
      <c r="D49" s="1297"/>
      <c r="E49" s="1297"/>
      <c r="F49" s="1297"/>
      <c r="I49" s="524"/>
    </row>
    <row r="50" spans="1:9" ht="23.25" customHeight="1">
      <c r="A50" s="518"/>
      <c r="B50" s="518"/>
      <c r="D50" s="1297"/>
      <c r="E50" s="1297"/>
      <c r="F50" s="1297"/>
      <c r="I50" s="524"/>
    </row>
    <row r="51" spans="1:9" ht="14.25">
      <c r="A51" s="518"/>
      <c r="B51" s="518"/>
      <c r="D51" s="480"/>
      <c r="I51" s="524"/>
    </row>
    <row r="52" spans="1:9" ht="14.45" customHeight="1">
      <c r="A52" s="518"/>
      <c r="B52" s="519" t="s">
        <v>2642</v>
      </c>
      <c r="D52" s="1297" t="s">
        <v>1159</v>
      </c>
      <c r="E52" s="1297"/>
      <c r="F52" s="1297"/>
      <c r="I52" s="524" t="s">
        <v>2142</v>
      </c>
    </row>
    <row r="53" spans="1:9" ht="14.25">
      <c r="A53" s="518"/>
      <c r="B53" s="518"/>
      <c r="D53" s="1297"/>
      <c r="E53" s="1297"/>
      <c r="F53" s="1297"/>
      <c r="I53" s="524"/>
    </row>
    <row r="54" spans="1:9" ht="14.25">
      <c r="A54" s="518"/>
      <c r="B54" s="518"/>
      <c r="D54" s="1297"/>
      <c r="E54" s="1297"/>
      <c r="F54" s="1297"/>
      <c r="I54" s="524"/>
    </row>
    <row r="55" spans="1:9" ht="14.25">
      <c r="A55" s="518"/>
      <c r="B55" s="518"/>
      <c r="I55" s="524"/>
    </row>
    <row r="56" spans="1:9" ht="14.25">
      <c r="A56" s="518"/>
      <c r="B56" s="519" t="s">
        <v>2642</v>
      </c>
      <c r="D56" s="1346" t="s">
        <v>1160</v>
      </c>
      <c r="E56" s="1346"/>
      <c r="F56" s="1346"/>
      <c r="I56" s="524"/>
    </row>
    <row r="57" spans="1:9" ht="14.25">
      <c r="A57" s="518"/>
      <c r="B57" s="518"/>
      <c r="D57" s="1346"/>
      <c r="E57" s="1346"/>
      <c r="F57" s="1346"/>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2641</v>
      </c>
      <c r="D61" s="1297" t="s">
        <v>1161</v>
      </c>
      <c r="E61" s="1297"/>
      <c r="F61" s="1297"/>
      <c r="I61" s="524" t="s">
        <v>2073</v>
      </c>
    </row>
    <row r="62" spans="1:9">
      <c r="D62" s="1297"/>
      <c r="E62" s="1297"/>
      <c r="F62" s="1297"/>
      <c r="I62" s="524"/>
    </row>
    <row r="63" spans="1:9">
      <c r="D63" s="1297"/>
      <c r="E63" s="1297"/>
      <c r="F63" s="1297"/>
      <c r="I63" s="524"/>
    </row>
    <row r="64" spans="1:9">
      <c r="I64" s="524"/>
    </row>
    <row r="65" spans="1:9" ht="14.25">
      <c r="A65" s="518"/>
      <c r="B65" s="519" t="s">
        <v>2641</v>
      </c>
      <c r="D65" s="1297" t="s">
        <v>1162</v>
      </c>
      <c r="E65" s="1297"/>
      <c r="F65" s="1297"/>
      <c r="I65" s="524" t="s">
        <v>2074</v>
      </c>
    </row>
    <row r="66" spans="1:9">
      <c r="D66" s="1297"/>
      <c r="E66" s="1297"/>
      <c r="F66" s="1297"/>
      <c r="I66" s="524"/>
    </row>
    <row r="67" spans="1:9">
      <c r="I67" s="524"/>
    </row>
    <row r="68" spans="1:9" ht="14.25">
      <c r="A68" s="518"/>
      <c r="B68" s="519" t="s">
        <v>2642</v>
      </c>
      <c r="D68" s="1297" t="s">
        <v>1163</v>
      </c>
      <c r="E68" s="1297"/>
      <c r="F68" s="1297"/>
      <c r="I68" s="524"/>
    </row>
    <row r="69" spans="1:9">
      <c r="D69" s="1297"/>
      <c r="E69" s="1297"/>
      <c r="F69" s="1297"/>
      <c r="I69" s="524" t="s">
        <v>2075</v>
      </c>
    </row>
    <row r="70" spans="1:9">
      <c r="D70" s="1297"/>
      <c r="E70" s="1297"/>
      <c r="F70" s="1297"/>
      <c r="I70" s="524"/>
    </row>
    <row r="71" spans="1:9">
      <c r="I71" s="524"/>
    </row>
    <row r="72" spans="1:9" ht="14.25">
      <c r="A72" s="518"/>
      <c r="B72" s="519" t="s">
        <v>2642</v>
      </c>
      <c r="D72" s="1297" t="s">
        <v>1164</v>
      </c>
      <c r="E72" s="1297"/>
      <c r="F72" s="1297"/>
      <c r="I72" s="524" t="s">
        <v>2075</v>
      </c>
    </row>
    <row r="73" spans="1:9">
      <c r="D73" s="1297"/>
      <c r="E73" s="1297"/>
      <c r="F73" s="1297"/>
      <c r="I73" s="524"/>
    </row>
    <row r="74" spans="1:9" ht="14.25">
      <c r="A74" s="518"/>
      <c r="B74" s="518"/>
      <c r="D74" s="480"/>
      <c r="I74" s="524"/>
    </row>
    <row r="75" spans="1:9">
      <c r="A75" s="1285" t="s">
        <v>1071</v>
      </c>
      <c r="B75" s="1285"/>
      <c r="C75" s="1285"/>
      <c r="D75" s="1285"/>
      <c r="E75" s="1285"/>
      <c r="F75" s="1285"/>
      <c r="G75" s="1285"/>
      <c r="H75" s="1063"/>
      <c r="I75" s="1256"/>
    </row>
    <row r="76" spans="1:9">
      <c r="I76" s="524"/>
    </row>
    <row r="77" spans="1:9">
      <c r="C77" s="520"/>
      <c r="D77" s="1299" t="s">
        <v>1169</v>
      </c>
      <c r="E77" s="1299"/>
      <c r="F77" s="1299"/>
      <c r="I77" s="524"/>
    </row>
    <row r="78" spans="1:9">
      <c r="A78" s="480"/>
      <c r="B78" s="480"/>
      <c r="D78" s="1297" t="s">
        <v>1196</v>
      </c>
      <c r="E78" s="1297"/>
      <c r="F78" s="1297"/>
      <c r="I78" s="524"/>
    </row>
    <row r="79" spans="1:9">
      <c r="A79" s="480"/>
      <c r="B79" s="480"/>
      <c r="I79" s="524"/>
    </row>
    <row r="80" spans="1:9" ht="13.7" customHeight="1">
      <c r="A80" s="518"/>
      <c r="B80" s="519" t="s">
        <v>2642</v>
      </c>
      <c r="D80" s="1297" t="s">
        <v>1353</v>
      </c>
      <c r="E80" s="1297"/>
      <c r="F80" s="1297"/>
      <c r="I80" s="524" t="s">
        <v>2076</v>
      </c>
    </row>
    <row r="81" spans="1:9" ht="14.25">
      <c r="A81" s="518"/>
      <c r="B81" s="518"/>
      <c r="D81" s="1297"/>
      <c r="E81" s="1297"/>
      <c r="F81" s="1297"/>
      <c r="I81" s="524"/>
    </row>
    <row r="82" spans="1:9" ht="14.25">
      <c r="A82" s="518"/>
      <c r="B82" s="518"/>
      <c r="D82" s="1297"/>
      <c r="E82" s="1297"/>
      <c r="F82" s="1297"/>
      <c r="I82" s="524"/>
    </row>
    <row r="83" spans="1:9" ht="14.25">
      <c r="A83" s="518"/>
      <c r="B83" s="518"/>
      <c r="D83" s="1297"/>
      <c r="E83" s="1297"/>
      <c r="F83" s="1297"/>
      <c r="I83" s="524"/>
    </row>
    <row r="84" spans="1:9" ht="14.25">
      <c r="A84" s="518"/>
      <c r="B84" s="518"/>
      <c r="D84" s="1297"/>
      <c r="E84" s="1297"/>
      <c r="F84" s="1297"/>
      <c r="I84" s="524"/>
    </row>
    <row r="85" spans="1:9" ht="14.25">
      <c r="A85" s="518"/>
      <c r="B85" s="518"/>
      <c r="D85" s="1297"/>
      <c r="E85" s="1297"/>
      <c r="F85" s="1297"/>
      <c r="I85" s="524"/>
    </row>
    <row r="86" spans="1:9" ht="14.25">
      <c r="A86" s="518"/>
      <c r="B86" s="518"/>
      <c r="D86" s="1297"/>
      <c r="E86" s="1297"/>
      <c r="F86" s="1297"/>
      <c r="I86" s="524"/>
    </row>
    <row r="87" spans="1:9" ht="14.25">
      <c r="A87" s="518"/>
      <c r="B87" s="518"/>
      <c r="D87" s="1297"/>
      <c r="E87" s="1297"/>
      <c r="F87" s="1297"/>
      <c r="I87" s="524"/>
    </row>
    <row r="88" spans="1:9" ht="14.25">
      <c r="A88" s="518"/>
      <c r="B88" s="518"/>
      <c r="D88" s="416"/>
      <c r="E88" s="416"/>
      <c r="F88" s="416"/>
      <c r="I88" s="524"/>
    </row>
    <row r="89" spans="1:9" ht="15" customHeight="1">
      <c r="A89" s="518"/>
      <c r="B89" s="519" t="s">
        <v>2642</v>
      </c>
      <c r="D89" s="1297" t="s">
        <v>1930</v>
      </c>
      <c r="E89" s="1297"/>
      <c r="F89" s="1297"/>
      <c r="I89" s="524" t="s">
        <v>2077</v>
      </c>
    </row>
    <row r="90" spans="1:9" ht="14.25">
      <c r="A90" s="518"/>
      <c r="B90" s="518"/>
      <c r="D90" s="1297"/>
      <c r="E90" s="1297"/>
      <c r="F90" s="1297"/>
      <c r="I90" s="524"/>
    </row>
    <row r="91" spans="1:9" ht="14.25">
      <c r="A91" s="518"/>
      <c r="B91" s="518"/>
      <c r="D91" s="479"/>
      <c r="E91" s="479"/>
      <c r="F91" s="479"/>
      <c r="I91" s="524"/>
    </row>
    <row r="92" spans="1:9" ht="14.25">
      <c r="A92" s="518"/>
      <c r="B92" s="519" t="s">
        <v>2642</v>
      </c>
      <c r="D92" s="1297" t="s">
        <v>1933</v>
      </c>
      <c r="E92" s="1297"/>
      <c r="F92" s="1297"/>
      <c r="I92" s="524" t="s">
        <v>2078</v>
      </c>
    </row>
    <row r="93" spans="1:9" ht="14.25">
      <c r="A93" s="518"/>
      <c r="B93" s="518"/>
      <c r="D93" s="1297"/>
      <c r="E93" s="1297"/>
      <c r="F93" s="1297"/>
      <c r="I93" s="524"/>
    </row>
    <row r="94" spans="1:9" ht="14.25">
      <c r="A94" s="518"/>
      <c r="B94" s="518"/>
      <c r="D94" s="1297"/>
      <c r="E94" s="1297"/>
      <c r="F94" s="1297"/>
      <c r="I94" s="524"/>
    </row>
    <row r="95" spans="1:9" ht="14.25">
      <c r="A95" s="518"/>
      <c r="B95" s="518"/>
      <c r="D95" s="479"/>
      <c r="E95" s="479"/>
      <c r="F95" s="479"/>
      <c r="I95" s="524"/>
    </row>
    <row r="96" spans="1:9" ht="14.25">
      <c r="A96" s="518"/>
      <c r="B96" s="519" t="s">
        <v>2641</v>
      </c>
      <c r="D96" s="1297" t="s">
        <v>1932</v>
      </c>
      <c r="E96" s="1297"/>
      <c r="F96" s="1297"/>
      <c r="I96" s="524" t="s">
        <v>2123</v>
      </c>
    </row>
    <row r="97" spans="1:9" s="1022" customFormat="1" ht="14.25">
      <c r="A97" s="1020"/>
      <c r="B97" s="1020"/>
      <c r="C97" s="1021"/>
      <c r="D97" s="1297"/>
      <c r="E97" s="1297"/>
      <c r="F97" s="1297"/>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2641</v>
      </c>
      <c r="D100" s="1297" t="s">
        <v>1931</v>
      </c>
      <c r="E100" s="1297"/>
      <c r="F100" s="1297"/>
      <c r="I100" s="524" t="s">
        <v>2079</v>
      </c>
    </row>
    <row r="101" spans="1:9" ht="14.25">
      <c r="A101" s="518"/>
      <c r="B101" s="518"/>
      <c r="D101" s="1297"/>
      <c r="E101" s="1297"/>
      <c r="F101" s="1297"/>
      <c r="I101" s="524"/>
    </row>
    <row r="102" spans="1:9" ht="14.25">
      <c r="A102" s="518"/>
      <c r="B102" s="518"/>
      <c r="D102" s="479"/>
      <c r="E102" s="479"/>
      <c r="F102" s="479"/>
      <c r="I102" s="524"/>
    </row>
    <row r="103" spans="1:9" ht="14.45" customHeight="1">
      <c r="A103" s="518"/>
      <c r="B103" s="519" t="s">
        <v>2641</v>
      </c>
      <c r="D103" s="1297" t="s">
        <v>1300</v>
      </c>
      <c r="E103" s="1297"/>
      <c r="F103" s="1297"/>
      <c r="I103" s="524" t="s">
        <v>2080</v>
      </c>
    </row>
    <row r="104" spans="1:9" ht="14.25">
      <c r="A104" s="518"/>
      <c r="B104" s="518"/>
      <c r="D104" s="1297"/>
      <c r="E104" s="1297"/>
      <c r="F104" s="1297"/>
      <c r="I104" s="524"/>
    </row>
    <row r="105" spans="1:9" ht="14.25">
      <c r="A105" s="518"/>
      <c r="B105" s="518"/>
      <c r="D105" s="1297"/>
      <c r="E105" s="1297"/>
      <c r="F105" s="1297"/>
      <c r="I105" s="524"/>
    </row>
    <row r="106" spans="1:9" ht="14.25">
      <c r="A106" s="518"/>
      <c r="B106" s="518"/>
      <c r="D106" s="1297"/>
      <c r="E106" s="1297"/>
      <c r="F106" s="1297"/>
      <c r="I106" s="524"/>
    </row>
    <row r="107" spans="1:9" ht="14.25">
      <c r="A107" s="518"/>
      <c r="B107" s="518"/>
      <c r="D107" s="1297"/>
      <c r="E107" s="1297"/>
      <c r="F107" s="1297"/>
      <c r="I107" s="524"/>
    </row>
    <row r="108" spans="1:9" ht="14.25">
      <c r="A108" s="518"/>
      <c r="B108" s="518"/>
      <c r="D108" s="1297"/>
      <c r="E108" s="1297"/>
      <c r="F108" s="1297"/>
      <c r="I108" s="524"/>
    </row>
    <row r="109" spans="1:9" ht="14.25">
      <c r="A109" s="518"/>
      <c r="B109" s="518"/>
      <c r="D109" s="1297"/>
      <c r="E109" s="1297"/>
      <c r="F109" s="1297"/>
      <c r="I109" s="524"/>
    </row>
    <row r="110" spans="1:9" ht="14.25">
      <c r="A110" s="518"/>
      <c r="B110" s="518"/>
      <c r="D110" s="1297"/>
      <c r="E110" s="1297"/>
      <c r="F110" s="1297"/>
      <c r="I110" s="524"/>
    </row>
    <row r="111" spans="1:9" ht="14.25">
      <c r="A111" s="518"/>
      <c r="B111" s="518"/>
      <c r="D111" s="1297"/>
      <c r="E111" s="1297"/>
      <c r="F111" s="1297"/>
      <c r="I111" s="524"/>
    </row>
    <row r="112" spans="1:9" ht="14.25">
      <c r="A112" s="518"/>
      <c r="B112" s="518"/>
      <c r="D112" s="1297"/>
      <c r="E112" s="1297"/>
      <c r="F112" s="1297"/>
      <c r="I112" s="524"/>
    </row>
    <row r="113" spans="1:9" ht="14.25">
      <c r="A113" s="518"/>
      <c r="B113" s="518"/>
      <c r="D113" s="1297"/>
      <c r="E113" s="1297"/>
      <c r="F113" s="1297"/>
      <c r="I113" s="524"/>
    </row>
    <row r="114" spans="1:9" ht="14.25">
      <c r="A114" s="518"/>
      <c r="B114" s="518"/>
      <c r="D114" s="1297"/>
      <c r="E114" s="1297"/>
      <c r="F114" s="1297"/>
      <c r="I114" s="524"/>
    </row>
    <row r="115" spans="1:9" ht="14.25">
      <c r="A115" s="518"/>
      <c r="B115" s="518"/>
      <c r="D115" s="1297"/>
      <c r="E115" s="1297"/>
      <c r="F115" s="1297"/>
      <c r="I115" s="524"/>
    </row>
    <row r="116" spans="1:9" ht="14.25">
      <c r="A116" s="518"/>
      <c r="B116" s="518"/>
      <c r="D116" s="1297"/>
      <c r="E116" s="1297"/>
      <c r="F116" s="1297"/>
      <c r="I116" s="524"/>
    </row>
    <row r="117" spans="1:9" ht="14.25">
      <c r="A117" s="518"/>
      <c r="B117" s="518"/>
      <c r="D117" s="1297"/>
      <c r="E117" s="1297"/>
      <c r="F117" s="1297"/>
      <c r="I117" s="524"/>
    </row>
    <row r="118" spans="1:9" ht="14.25">
      <c r="A118" s="518"/>
      <c r="B118" s="518"/>
      <c r="D118" s="558"/>
      <c r="E118" s="558"/>
      <c r="F118" s="558"/>
      <c r="I118" s="524"/>
    </row>
    <row r="119" spans="1:9" ht="14.25" customHeight="1">
      <c r="A119" s="518"/>
      <c r="B119" s="519" t="s">
        <v>2641</v>
      </c>
      <c r="D119" s="1308" t="s">
        <v>1171</v>
      </c>
      <c r="E119" s="1308"/>
      <c r="F119" s="1308"/>
      <c r="I119" s="524"/>
    </row>
    <row r="120" spans="1:9" ht="14.25">
      <c r="A120" s="518"/>
      <c r="B120" s="518"/>
      <c r="D120" s="1308"/>
      <c r="E120" s="1308"/>
      <c r="F120" s="1308"/>
      <c r="I120" s="524"/>
    </row>
    <row r="121" spans="1:9" ht="14.25">
      <c r="A121" s="518"/>
      <c r="B121" s="518"/>
      <c r="D121" s="1308"/>
      <c r="E121" s="1308"/>
      <c r="F121" s="1308"/>
      <c r="I121" s="524"/>
    </row>
    <row r="122" spans="1:9" ht="14.25">
      <c r="A122" s="518"/>
      <c r="B122" s="518"/>
      <c r="D122" s="1308"/>
      <c r="E122" s="1308"/>
      <c r="F122" s="1308"/>
      <c r="I122" s="524"/>
    </row>
    <row r="123" spans="1:9" ht="14.25">
      <c r="A123" s="518"/>
      <c r="B123" s="518"/>
      <c r="D123" s="1308"/>
      <c r="E123" s="1308"/>
      <c r="F123" s="1308"/>
      <c r="I123" s="524"/>
    </row>
    <row r="124" spans="1:9" ht="14.25">
      <c r="A124" s="518"/>
      <c r="B124" s="518"/>
      <c r="D124" s="1308"/>
      <c r="E124" s="1308"/>
      <c r="F124" s="1308"/>
      <c r="I124" s="524"/>
    </row>
    <row r="125" spans="1:9" ht="14.25">
      <c r="A125" s="518"/>
      <c r="B125" s="518"/>
      <c r="D125" s="1308"/>
      <c r="E125" s="1308"/>
      <c r="F125" s="1308"/>
      <c r="I125" s="524"/>
    </row>
    <row r="126" spans="1:9" ht="14.25">
      <c r="A126" s="518"/>
      <c r="B126" s="518"/>
      <c r="D126" s="1308"/>
      <c r="E126" s="1308"/>
      <c r="F126" s="1308"/>
      <c r="I126" s="524"/>
    </row>
    <row r="127" spans="1:9">
      <c r="C127" s="433"/>
      <c r="D127" s="559"/>
      <c r="E127" s="559"/>
      <c r="F127" s="559"/>
      <c r="I127" s="524"/>
    </row>
    <row r="128" spans="1:9" ht="14.25">
      <c r="A128" s="518"/>
      <c r="B128" s="519" t="s">
        <v>2642</v>
      </c>
      <c r="C128" s="433"/>
      <c r="D128" s="1308" t="s">
        <v>2362</v>
      </c>
      <c r="E128" s="1308"/>
      <c r="F128" s="1308"/>
      <c r="I128" s="524" t="s">
        <v>2081</v>
      </c>
    </row>
    <row r="129" spans="1:9" ht="14.25">
      <c r="A129" s="518"/>
      <c r="B129" s="518"/>
      <c r="C129" s="433"/>
      <c r="D129" s="1308"/>
      <c r="E129" s="1308"/>
      <c r="F129" s="1308"/>
      <c r="I129" s="524"/>
    </row>
    <row r="130" spans="1:9">
      <c r="I130" s="524"/>
    </row>
    <row r="131" spans="1:9" ht="14.25">
      <c r="A131" s="518"/>
      <c r="B131" s="519" t="s">
        <v>2642</v>
      </c>
      <c r="D131" s="1297" t="s">
        <v>1174</v>
      </c>
      <c r="E131" s="1297"/>
      <c r="F131" s="1297"/>
      <c r="I131" s="524" t="s">
        <v>2081</v>
      </c>
    </row>
    <row r="132" spans="1:9">
      <c r="D132" s="1297"/>
      <c r="E132" s="1297"/>
      <c r="F132" s="1297"/>
      <c r="I132" s="524"/>
    </row>
    <row r="133" spans="1:9">
      <c r="D133" s="1297"/>
      <c r="E133" s="1297"/>
      <c r="F133" s="1297"/>
      <c r="I133" s="524"/>
    </row>
    <row r="134" spans="1:9">
      <c r="D134" s="1297"/>
      <c r="E134" s="1297"/>
      <c r="F134" s="1297"/>
      <c r="I134" s="524"/>
    </row>
    <row r="135" spans="1:9">
      <c r="D135" s="1297"/>
      <c r="E135" s="1297"/>
      <c r="F135" s="1297"/>
      <c r="I135" s="524"/>
    </row>
    <row r="136" spans="1:9">
      <c r="I136" s="524"/>
    </row>
    <row r="137" spans="1:9" ht="14.25">
      <c r="A137" s="518"/>
      <c r="B137" s="519" t="s">
        <v>2642</v>
      </c>
      <c r="D137" s="1297" t="s">
        <v>1175</v>
      </c>
      <c r="E137" s="1297"/>
      <c r="F137" s="1297"/>
      <c r="I137" s="524" t="s">
        <v>2082</v>
      </c>
    </row>
    <row r="138" spans="1:9" s="448" customFormat="1" ht="13.7" customHeight="1">
      <c r="A138" s="522"/>
      <c r="B138" s="522"/>
      <c r="C138" s="522"/>
      <c r="D138" s="1297"/>
      <c r="E138" s="1297"/>
      <c r="F138" s="1297"/>
      <c r="I138" s="1258"/>
    </row>
    <row r="139" spans="1:9" ht="13.7" customHeight="1">
      <c r="D139" s="1297"/>
      <c r="E139" s="1297"/>
      <c r="F139" s="1297"/>
      <c r="I139" s="524"/>
    </row>
    <row r="140" spans="1:9" ht="13.7" customHeight="1">
      <c r="D140" s="1297"/>
      <c r="E140" s="1297"/>
      <c r="F140" s="1297"/>
      <c r="I140" s="524"/>
    </row>
    <row r="141" spans="1:9" ht="13.7" customHeight="1">
      <c r="D141" s="1297"/>
      <c r="E141" s="1297"/>
      <c r="F141" s="1297"/>
      <c r="I141" s="524"/>
    </row>
    <row r="142" spans="1:9" ht="13.7" customHeight="1">
      <c r="A142" s="523"/>
      <c r="B142" s="523"/>
      <c r="D142" s="1297"/>
      <c r="E142" s="1297"/>
      <c r="F142" s="1297"/>
      <c r="I142" s="524"/>
    </row>
    <row r="143" spans="1:9" ht="13.7" customHeight="1">
      <c r="D143" s="1297"/>
      <c r="E143" s="1297"/>
      <c r="F143" s="1297"/>
      <c r="I143" s="524"/>
    </row>
    <row r="144" spans="1:9" ht="13.7" customHeight="1">
      <c r="D144" s="1297"/>
      <c r="E144" s="1297"/>
      <c r="F144" s="1297"/>
      <c r="I144" s="524"/>
    </row>
    <row r="145" spans="2:9" ht="13.7" customHeight="1">
      <c r="D145" s="1297"/>
      <c r="E145" s="1297"/>
      <c r="F145" s="1297"/>
      <c r="I145" s="524"/>
    </row>
    <row r="146" spans="2:9" ht="13.7" customHeight="1">
      <c r="D146" s="1297"/>
      <c r="E146" s="1297"/>
      <c r="F146" s="1297"/>
      <c r="I146" s="524"/>
    </row>
    <row r="147" spans="2:9" ht="13.7" customHeight="1">
      <c r="D147" s="1297"/>
      <c r="E147" s="1297"/>
      <c r="F147" s="1297"/>
      <c r="I147" s="524"/>
    </row>
    <row r="148" spans="2:9" ht="13.7" customHeight="1">
      <c r="D148" s="1297"/>
      <c r="E148" s="1297"/>
      <c r="F148" s="1297"/>
      <c r="I148" s="524"/>
    </row>
    <row r="149" spans="2:9" ht="13.7" customHeight="1">
      <c r="D149" s="1297"/>
      <c r="E149" s="1297"/>
      <c r="F149" s="1297"/>
      <c r="I149" s="524"/>
    </row>
    <row r="150" spans="2:9" ht="13.7" customHeight="1">
      <c r="D150" s="510"/>
      <c r="E150" s="480"/>
      <c r="F150" s="480"/>
      <c r="I150" s="524"/>
    </row>
    <row r="151" spans="2:9" ht="13.7" customHeight="1">
      <c r="B151" s="519" t="s">
        <v>2641</v>
      </c>
      <c r="D151" s="1297" t="s">
        <v>1283</v>
      </c>
      <c r="E151" s="1297"/>
      <c r="F151" s="1297"/>
      <c r="I151" s="524" t="s">
        <v>2083</v>
      </c>
    </row>
    <row r="152" spans="2:9" ht="13.7" customHeight="1">
      <c r="D152" s="1297"/>
      <c r="E152" s="1297"/>
      <c r="F152" s="1297"/>
      <c r="I152" s="524"/>
    </row>
    <row r="153" spans="2:9" ht="13.7" customHeight="1">
      <c r="D153" s="1297"/>
      <c r="E153" s="1297"/>
      <c r="F153" s="1297"/>
      <c r="I153" s="524"/>
    </row>
    <row r="154" spans="2:9" ht="13.7" customHeight="1">
      <c r="D154" s="1297"/>
      <c r="E154" s="1297"/>
      <c r="F154" s="1297"/>
      <c r="I154" s="524"/>
    </row>
    <row r="155" spans="2:9" ht="13.7" customHeight="1">
      <c r="D155" s="1297"/>
      <c r="E155" s="1297"/>
      <c r="F155" s="1297"/>
      <c r="I155" s="524"/>
    </row>
    <row r="156" spans="2:9" ht="13.7" customHeight="1">
      <c r="D156" s="1297"/>
      <c r="E156" s="1297"/>
      <c r="F156" s="1297"/>
      <c r="I156" s="524"/>
    </row>
    <row r="157" spans="2:9" ht="13.7" customHeight="1">
      <c r="D157" s="1297"/>
      <c r="E157" s="1297"/>
      <c r="F157" s="1297"/>
      <c r="I157" s="524"/>
    </row>
    <row r="158" spans="2:9" ht="13.7" customHeight="1">
      <c r="D158" s="1297"/>
      <c r="E158" s="1297"/>
      <c r="F158" s="1297"/>
      <c r="I158" s="524"/>
    </row>
    <row r="159" spans="2:9" ht="13.7" customHeight="1">
      <c r="D159" s="1297"/>
      <c r="E159" s="1297"/>
      <c r="F159" s="1297"/>
      <c r="I159" s="524"/>
    </row>
    <row r="160" spans="2:9" ht="13.7" customHeight="1">
      <c r="D160" s="1297"/>
      <c r="E160" s="1297"/>
      <c r="F160" s="1297"/>
      <c r="I160" s="524"/>
    </row>
    <row r="161" spans="1:9" ht="13.7" customHeight="1">
      <c r="D161" s="1297"/>
      <c r="E161" s="1297"/>
      <c r="F161" s="1297"/>
      <c r="I161" s="524"/>
    </row>
    <row r="162" spans="1:9" ht="13.7" customHeight="1">
      <c r="D162" s="1297"/>
      <c r="E162" s="1297"/>
      <c r="F162" s="1297"/>
      <c r="I162" s="524"/>
    </row>
    <row r="163" spans="1:9" ht="13.7" customHeight="1">
      <c r="D163" s="1297"/>
      <c r="E163" s="1297"/>
      <c r="F163" s="1297"/>
      <c r="I163" s="524"/>
    </row>
    <row r="164" spans="1:9" ht="13.7" customHeight="1">
      <c r="D164" s="1297"/>
      <c r="E164" s="1297"/>
      <c r="F164" s="1297"/>
      <c r="I164" s="524"/>
    </row>
    <row r="165" spans="1:9" ht="13.7" customHeight="1">
      <c r="D165" s="1297"/>
      <c r="E165" s="1297"/>
      <c r="F165" s="1297"/>
      <c r="I165" s="524"/>
    </row>
    <row r="166" spans="1:9" ht="13.7" customHeight="1">
      <c r="D166" s="1297"/>
      <c r="E166" s="1297"/>
      <c r="F166" s="1297"/>
      <c r="I166" s="524"/>
    </row>
    <row r="167" spans="1:9" ht="13.7" customHeight="1">
      <c r="D167" s="1297"/>
      <c r="E167" s="1297"/>
      <c r="F167" s="1297"/>
      <c r="I167" s="524"/>
    </row>
    <row r="168" spans="1:9" ht="13.7" customHeight="1">
      <c r="D168" s="1297"/>
      <c r="E168" s="1297"/>
      <c r="F168" s="1297"/>
      <c r="I168" s="524"/>
    </row>
    <row r="169" spans="1:9" ht="13.7" customHeight="1">
      <c r="D169" s="1342" t="s">
        <v>2386</v>
      </c>
      <c r="E169" s="1342"/>
      <c r="F169" s="1342"/>
      <c r="G169" s="541"/>
      <c r="I169" s="524"/>
    </row>
    <row r="170" spans="1:9" ht="13.7" customHeight="1">
      <c r="D170" s="1283"/>
      <c r="E170" s="1283"/>
      <c r="F170" s="1283"/>
      <c r="G170" s="1283"/>
      <c r="I170" s="524"/>
    </row>
    <row r="171" spans="1:9" ht="14.45" customHeight="1">
      <c r="A171" s="523"/>
      <c r="B171" s="519" t="s">
        <v>2642</v>
      </c>
      <c r="C171" s="510"/>
      <c r="D171" s="1279" t="s">
        <v>2574</v>
      </c>
      <c r="E171" s="1279"/>
      <c r="F171" s="1279"/>
      <c r="G171" s="510"/>
      <c r="I171" s="524" t="s">
        <v>2078</v>
      </c>
    </row>
    <row r="172" spans="1:9" ht="14.45" customHeight="1">
      <c r="A172" s="523"/>
      <c r="B172" s="523"/>
      <c r="C172" s="510"/>
      <c r="D172" s="1279"/>
      <c r="E172" s="1279"/>
      <c r="F172" s="1279"/>
      <c r="G172" s="510"/>
      <c r="I172" s="524"/>
    </row>
    <row r="173" spans="1:9" ht="14.45" customHeight="1">
      <c r="A173" s="523"/>
      <c r="B173" s="523"/>
      <c r="C173" s="510"/>
      <c r="D173" s="1279"/>
      <c r="E173" s="1279"/>
      <c r="F173" s="1279"/>
      <c r="G173" s="510"/>
      <c r="I173" s="524"/>
    </row>
    <row r="174" spans="1:9" ht="14.45" customHeight="1">
      <c r="A174" s="523"/>
      <c r="B174" s="523"/>
      <c r="C174" s="510"/>
      <c r="D174" s="1279"/>
      <c r="E174" s="1279"/>
      <c r="F174" s="1279"/>
      <c r="G174" s="510"/>
      <c r="I174" s="524"/>
    </row>
    <row r="175" spans="1:9" ht="13.7" customHeight="1">
      <c r="A175" s="523"/>
      <c r="B175" s="523"/>
      <c r="C175" s="510"/>
      <c r="D175" s="1279"/>
      <c r="E175" s="1279"/>
      <c r="F175" s="1279"/>
      <c r="G175" s="510"/>
      <c r="I175" s="524"/>
    </row>
    <row r="176" spans="1:9" ht="13.7" customHeight="1">
      <c r="A176" s="523"/>
      <c r="B176" s="523"/>
      <c r="C176" s="510"/>
      <c r="D176" s="510"/>
      <c r="E176" s="510"/>
      <c r="F176" s="510"/>
      <c r="G176" s="510"/>
      <c r="I176" s="524"/>
    </row>
    <row r="177" spans="1:9" ht="13.7" customHeight="1">
      <c r="A177" s="523"/>
      <c r="B177" s="519" t="s">
        <v>2642</v>
      </c>
      <c r="C177" s="510"/>
      <c r="D177" s="1279" t="s">
        <v>1177</v>
      </c>
      <c r="E177" s="1279"/>
      <c r="F177" s="1279"/>
      <c r="G177" s="510"/>
      <c r="I177" s="524" t="s">
        <v>2084</v>
      </c>
    </row>
    <row r="178" spans="1:9" ht="13.7" customHeight="1">
      <c r="A178" s="523"/>
      <c r="B178" s="523"/>
      <c r="C178" s="510"/>
      <c r="D178" s="1279"/>
      <c r="E178" s="1279"/>
      <c r="F178" s="1279"/>
      <c r="G178" s="510"/>
      <c r="I178" s="524"/>
    </row>
    <row r="179" spans="1:9" ht="13.7" customHeight="1">
      <c r="A179" s="523"/>
      <c r="B179" s="523"/>
      <c r="C179" s="510"/>
      <c r="D179" s="1279"/>
      <c r="E179" s="1279"/>
      <c r="F179" s="1279"/>
      <c r="G179" s="510"/>
      <c r="I179" s="524"/>
    </row>
    <row r="180" spans="1:9" ht="13.7" customHeight="1">
      <c r="A180" s="523"/>
      <c r="B180" s="523"/>
      <c r="C180" s="510"/>
      <c r="D180" s="1279"/>
      <c r="E180" s="1279"/>
      <c r="F180" s="1279"/>
      <c r="G180" s="510"/>
      <c r="I180" s="524"/>
    </row>
    <row r="181" spans="1:9" ht="13.7" customHeight="1">
      <c r="D181" s="480"/>
      <c r="E181" s="480"/>
      <c r="F181" s="480"/>
      <c r="I181" s="524"/>
    </row>
    <row r="182" spans="1:9" ht="13.7" customHeight="1">
      <c r="B182" s="519" t="s">
        <v>2641</v>
      </c>
      <c r="D182" s="1284" t="s">
        <v>2363</v>
      </c>
      <c r="E182" s="1284"/>
      <c r="F182" s="1284"/>
      <c r="I182" s="524" t="s">
        <v>2085</v>
      </c>
    </row>
    <row r="183" spans="1:9" ht="13.7" customHeight="1">
      <c r="D183" s="1284"/>
      <c r="E183" s="1284"/>
      <c r="F183" s="1284"/>
      <c r="I183" s="524"/>
    </row>
    <row r="184" spans="1:9" ht="13.7" customHeight="1">
      <c r="D184" s="1284"/>
      <c r="E184" s="1284"/>
      <c r="F184" s="1284"/>
      <c r="I184" s="524"/>
    </row>
    <row r="185" spans="1:9" ht="13.7" customHeight="1">
      <c r="A185" s="524"/>
      <c r="B185" s="524"/>
      <c r="E185" s="480"/>
      <c r="F185" s="480"/>
      <c r="I185" s="524"/>
    </row>
    <row r="186" spans="1:9">
      <c r="A186" s="1285" t="s">
        <v>2364</v>
      </c>
      <c r="B186" s="1285"/>
      <c r="C186" s="1285"/>
      <c r="D186" s="1285"/>
      <c r="E186" s="1285"/>
      <c r="F186" s="1285"/>
      <c r="G186" s="1285"/>
      <c r="H186" s="1063"/>
      <c r="I186" s="1256"/>
    </row>
    <row r="187" spans="1:9" ht="12" customHeight="1">
      <c r="D187" s="480"/>
      <c r="E187" s="480"/>
      <c r="F187" s="480"/>
      <c r="I187" s="524"/>
    </row>
    <row r="188" spans="1:9">
      <c r="B188" s="1300" t="s">
        <v>448</v>
      </c>
      <c r="C188" s="1300"/>
      <c r="D188" s="1300"/>
      <c r="E188" s="1300"/>
      <c r="F188" s="1300"/>
      <c r="I188" s="524"/>
    </row>
    <row r="189" spans="1:9">
      <c r="B189" s="423" t="s">
        <v>2064</v>
      </c>
      <c r="C189" s="423"/>
      <c r="D189" s="423"/>
      <c r="E189" s="423"/>
      <c r="F189" s="423"/>
      <c r="I189" s="524"/>
    </row>
    <row r="190" spans="1:9" ht="12" customHeight="1">
      <c r="A190" s="516"/>
      <c r="B190" s="516"/>
      <c r="C190" s="516"/>
      <c r="I190" s="524"/>
    </row>
    <row r="191" spans="1:9">
      <c r="A191" s="1285" t="s">
        <v>1073</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299" t="s">
        <v>1934</v>
      </c>
      <c r="E193" s="1299"/>
      <c r="F193" s="1299"/>
      <c r="I193" s="524"/>
    </row>
    <row r="194" spans="1:9">
      <c r="A194" s="435"/>
      <c r="B194" s="435"/>
      <c r="D194" s="1299"/>
      <c r="E194" s="1299"/>
      <c r="F194" s="1299"/>
      <c r="I194" s="524"/>
    </row>
    <row r="195" spans="1:9">
      <c r="A195" s="435"/>
      <c r="B195" s="435"/>
      <c r="D195" s="1300" t="s">
        <v>1301</v>
      </c>
      <c r="E195" s="1300"/>
      <c r="F195" s="1300"/>
      <c r="I195" s="524"/>
    </row>
    <row r="196" spans="1:9">
      <c r="A196" s="435"/>
      <c r="B196" s="435"/>
      <c r="D196" s="423"/>
      <c r="E196" s="423"/>
      <c r="F196" s="423"/>
      <c r="I196" s="524"/>
    </row>
    <row r="197" spans="1:9">
      <c r="A197" s="435"/>
      <c r="B197" s="519" t="s">
        <v>2641</v>
      </c>
      <c r="D197" s="1281" t="s">
        <v>1935</v>
      </c>
      <c r="E197" s="1281"/>
      <c r="F197" s="1281"/>
      <c r="I197" s="524" t="s">
        <v>2134</v>
      </c>
    </row>
    <row r="198" spans="1:9">
      <c r="A198" s="435"/>
      <c r="B198" s="435"/>
      <c r="D198" s="1313" t="s">
        <v>2200</v>
      </c>
      <c r="E198" s="1313"/>
      <c r="F198" s="1313"/>
      <c r="I198" s="524"/>
    </row>
    <row r="199" spans="1:9">
      <c r="A199" s="435"/>
      <c r="B199" s="435"/>
      <c r="D199" s="96" t="s">
        <v>1936</v>
      </c>
      <c r="E199" s="1345" t="s">
        <v>2223</v>
      </c>
      <c r="F199" s="1345"/>
      <c r="I199" s="524"/>
    </row>
    <row r="200" spans="1:9">
      <c r="A200" s="435"/>
      <c r="B200" s="435"/>
      <c r="D200" s="3"/>
      <c r="E200" s="3"/>
      <c r="F200" s="3"/>
      <c r="I200" s="524"/>
    </row>
    <row r="201" spans="1:9">
      <c r="A201" s="435"/>
      <c r="B201" s="519" t="s">
        <v>2641</v>
      </c>
      <c r="D201" s="1313" t="s">
        <v>1937</v>
      </c>
      <c r="E201" s="1313"/>
      <c r="F201" s="1313"/>
      <c r="I201" s="524" t="s">
        <v>2135</v>
      </c>
    </row>
    <row r="202" spans="1:9">
      <c r="A202" s="435"/>
      <c r="B202" s="435"/>
      <c r="D202" s="1281" t="s">
        <v>2200</v>
      </c>
      <c r="E202" s="1281"/>
      <c r="F202" s="1281"/>
      <c r="I202" s="524"/>
    </row>
    <row r="203" spans="1:9">
      <c r="A203" s="435"/>
      <c r="B203" s="435"/>
      <c r="D203" s="57" t="s">
        <v>1938</v>
      </c>
      <c r="E203" s="1345" t="s">
        <v>2224</v>
      </c>
      <c r="F203" s="1345"/>
      <c r="I203" s="524"/>
    </row>
    <row r="204" spans="1:9">
      <c r="A204" s="435"/>
      <c r="B204" s="435"/>
      <c r="D204" s="3"/>
      <c r="E204" s="3"/>
      <c r="F204" s="3"/>
      <c r="I204" s="524"/>
    </row>
    <row r="205" spans="1:9">
      <c r="A205" s="435"/>
      <c r="B205" s="519" t="s">
        <v>2641</v>
      </c>
      <c r="D205" s="1313" t="s">
        <v>1939</v>
      </c>
      <c r="E205" s="1313"/>
      <c r="F205" s="1313"/>
      <c r="I205" s="524" t="s">
        <v>2136</v>
      </c>
    </row>
    <row r="206" spans="1:9">
      <c r="A206" s="435"/>
      <c r="B206" s="435"/>
      <c r="D206" s="1281" t="s">
        <v>2200</v>
      </c>
      <c r="E206" s="1281"/>
      <c r="F206" s="1281"/>
      <c r="I206" s="524"/>
    </row>
    <row r="207" spans="1:9">
      <c r="A207" s="435"/>
      <c r="B207" s="435"/>
      <c r="D207" s="57" t="s">
        <v>1936</v>
      </c>
      <c r="E207" s="1345" t="s">
        <v>2225</v>
      </c>
      <c r="F207" s="1345"/>
      <c r="I207" s="524"/>
    </row>
    <row r="208" spans="1:9">
      <c r="A208" s="435"/>
      <c r="B208" s="435"/>
      <c r="D208" s="423"/>
      <c r="E208" s="423"/>
      <c r="F208" s="423"/>
      <c r="I208" s="524"/>
    </row>
    <row r="209" spans="1:9" ht="14.25" customHeight="1">
      <c r="A209" s="518"/>
      <c r="B209" s="519" t="s">
        <v>2642</v>
      </c>
      <c r="D209" s="417" t="s">
        <v>2193</v>
      </c>
      <c r="E209" s="416"/>
      <c r="F209" s="416"/>
      <c r="I209" s="524" t="s">
        <v>2137</v>
      </c>
    </row>
    <row r="210" spans="1:9" ht="14.25">
      <c r="A210" s="518"/>
      <c r="B210" s="518"/>
      <c r="D210" s="1281" t="s">
        <v>2200</v>
      </c>
      <c r="E210" s="1281"/>
      <c r="F210" s="1281"/>
      <c r="I210" s="524"/>
    </row>
    <row r="211" spans="1:9">
      <c r="D211" s="416"/>
      <c r="E211" s="1345" t="s">
        <v>2226</v>
      </c>
      <c r="F211" s="1345"/>
      <c r="I211" s="524"/>
    </row>
    <row r="212" spans="1:9">
      <c r="D212" s="481"/>
      <c r="I212" s="524"/>
    </row>
    <row r="213" spans="1:9">
      <c r="B213" s="519" t="s">
        <v>2641</v>
      </c>
      <c r="D213" s="1313" t="s">
        <v>1940</v>
      </c>
      <c r="E213" s="1313"/>
      <c r="F213" s="1313"/>
      <c r="I213" s="524" t="s">
        <v>2138</v>
      </c>
    </row>
    <row r="214" spans="1:9">
      <c r="D214" s="1281" t="s">
        <v>2200</v>
      </c>
      <c r="E214" s="1281"/>
      <c r="F214" s="1281"/>
      <c r="I214" s="524"/>
    </row>
    <row r="215" spans="1:9">
      <c r="D215" s="57" t="s">
        <v>1936</v>
      </c>
      <c r="E215" s="1345" t="s">
        <v>2227</v>
      </c>
      <c r="F215" s="1345"/>
      <c r="I215" s="524"/>
    </row>
    <row r="216" spans="1:9">
      <c r="D216" s="485"/>
      <c r="E216" s="485"/>
      <c r="F216" s="485"/>
      <c r="I216" s="524"/>
    </row>
    <row r="217" spans="1:9" ht="14.25">
      <c r="A217" s="518"/>
      <c r="B217" s="519" t="s">
        <v>2641</v>
      </c>
      <c r="D217" s="1297" t="s">
        <v>1322</v>
      </c>
      <c r="E217" s="1297"/>
      <c r="F217" s="1297"/>
      <c r="I217" s="524"/>
    </row>
    <row r="218" spans="1:9" ht="14.45" customHeight="1">
      <c r="A218" s="518"/>
      <c r="B218" s="433"/>
      <c r="D218" s="1297"/>
      <c r="E218" s="1297"/>
      <c r="F218" s="1297"/>
      <c r="I218" s="524"/>
    </row>
    <row r="219" spans="1:9" ht="14.25">
      <c r="A219" s="518"/>
      <c r="D219" s="1297"/>
      <c r="E219" s="1297"/>
      <c r="F219" s="1297"/>
      <c r="I219" s="524"/>
    </row>
    <row r="220" spans="1:9" ht="14.25">
      <c r="A220" s="518"/>
      <c r="D220" s="1297"/>
      <c r="E220" s="1297"/>
      <c r="F220" s="1297"/>
      <c r="I220" s="524"/>
    </row>
    <row r="221" spans="1:9">
      <c r="D221" s="485"/>
      <c r="E221" s="485"/>
      <c r="F221" s="485"/>
      <c r="I221" s="524"/>
    </row>
    <row r="222" spans="1:9">
      <c r="A222" s="1285" t="s">
        <v>1074</v>
      </c>
      <c r="B222" s="1285"/>
      <c r="C222" s="1285"/>
      <c r="D222" s="1285"/>
      <c r="E222" s="1285"/>
      <c r="F222" s="1285"/>
      <c r="G222" s="1285"/>
      <c r="H222" s="1063"/>
      <c r="I222" s="1256"/>
    </row>
    <row r="223" spans="1:9" ht="12" customHeight="1">
      <c r="D223" s="480"/>
      <c r="E223" s="480"/>
      <c r="F223" s="480"/>
      <c r="I223" s="524"/>
    </row>
    <row r="224" spans="1:9">
      <c r="C224" s="520"/>
      <c r="D224" s="1296" t="s">
        <v>209</v>
      </c>
      <c r="E224" s="1296"/>
      <c r="F224" s="1296"/>
      <c r="I224" s="524"/>
    </row>
    <row r="225" spans="1:9">
      <c r="A225" s="516"/>
      <c r="B225" s="516"/>
      <c r="C225" s="516"/>
      <c r="D225" s="1298" t="s">
        <v>1203</v>
      </c>
      <c r="E225" s="1298"/>
      <c r="F225" s="1298"/>
      <c r="I225" s="524"/>
    </row>
    <row r="226" spans="1:9" ht="12" customHeight="1">
      <c r="A226" s="524"/>
      <c r="B226" s="524"/>
      <c r="C226" s="524"/>
      <c r="I226" s="524"/>
    </row>
    <row r="227" spans="1:9" ht="13.7" customHeight="1">
      <c r="A227" s="524"/>
      <c r="C227" s="524"/>
      <c r="D227" s="1296" t="s">
        <v>554</v>
      </c>
      <c r="E227" s="1296"/>
      <c r="F227" s="1296"/>
      <c r="I227" s="524" t="s">
        <v>2086</v>
      </c>
    </row>
    <row r="228" spans="1:9" ht="14.25">
      <c r="A228" s="518"/>
      <c r="B228" s="519" t="s">
        <v>2642</v>
      </c>
      <c r="D228" s="1297" t="s">
        <v>1941</v>
      </c>
      <c r="E228" s="1297"/>
      <c r="F228" s="1297"/>
      <c r="I228" s="524"/>
    </row>
    <row r="229" spans="1:9" ht="14.25" customHeight="1">
      <c r="A229" s="518"/>
      <c r="B229" s="518"/>
      <c r="D229" s="1297"/>
      <c r="E229" s="1297"/>
      <c r="F229" s="1297"/>
      <c r="I229" s="524"/>
    </row>
    <row r="230" spans="1:9" ht="14.25" customHeight="1">
      <c r="A230" s="518"/>
      <c r="B230" s="518"/>
      <c r="D230" s="1297"/>
      <c r="E230" s="1297"/>
      <c r="F230" s="1297"/>
      <c r="I230" s="524"/>
    </row>
    <row r="231" spans="1:9" ht="14.25">
      <c r="A231" s="518"/>
      <c r="B231" s="518"/>
      <c r="D231" s="1297"/>
      <c r="E231" s="1297"/>
      <c r="F231" s="1297"/>
      <c r="I231" s="524"/>
    </row>
    <row r="232" spans="1:9" ht="14.25">
      <c r="A232" s="518"/>
      <c r="B232" s="518"/>
      <c r="D232" s="479"/>
      <c r="E232" s="479"/>
      <c r="F232" s="479"/>
      <c r="I232" s="524"/>
    </row>
    <row r="233" spans="1:9" ht="14.25">
      <c r="A233" s="518"/>
      <c r="B233" s="519" t="s">
        <v>2642</v>
      </c>
      <c r="D233" s="1297" t="s">
        <v>1942</v>
      </c>
      <c r="E233" s="1297"/>
      <c r="F233" s="1297"/>
      <c r="I233" s="524" t="s">
        <v>2087</v>
      </c>
    </row>
    <row r="234" spans="1:9" ht="14.25">
      <c r="A234" s="518"/>
      <c r="B234" s="518"/>
      <c r="D234" s="1297"/>
      <c r="E234" s="1297"/>
      <c r="F234" s="1297"/>
      <c r="I234" s="524"/>
    </row>
    <row r="235" spans="1:9" ht="14.25">
      <c r="A235" s="518"/>
      <c r="B235" s="518"/>
      <c r="D235" s="1297"/>
      <c r="E235" s="1297"/>
      <c r="F235" s="1297"/>
      <c r="I235" s="524"/>
    </row>
    <row r="236" spans="1:9" ht="14.25">
      <c r="A236" s="518"/>
      <c r="B236" s="518"/>
      <c r="D236" s="1297"/>
      <c r="E236" s="1297"/>
      <c r="F236" s="1297"/>
      <c r="I236" s="524"/>
    </row>
    <row r="237" spans="1:9" ht="14.25" customHeight="1">
      <c r="A237" s="518"/>
      <c r="B237" s="518"/>
      <c r="D237" s="1297"/>
      <c r="E237" s="1297"/>
      <c r="F237" s="1297"/>
      <c r="I237" s="524"/>
    </row>
    <row r="238" spans="1:9" ht="14.25" customHeight="1">
      <c r="A238" s="518"/>
      <c r="B238" s="518"/>
      <c r="D238" s="479"/>
      <c r="E238" s="479"/>
      <c r="F238" s="479"/>
      <c r="I238" s="524"/>
    </row>
    <row r="239" spans="1:9" ht="14.25">
      <c r="A239" s="518"/>
      <c r="B239" s="518"/>
      <c r="D239" s="1297" t="s">
        <v>1199</v>
      </c>
      <c r="E239" s="1297"/>
      <c r="F239" s="1297"/>
      <c r="I239" s="524" t="s">
        <v>2086</v>
      </c>
    </row>
    <row r="240" spans="1:9" ht="14.25">
      <c r="A240" s="518"/>
      <c r="B240" s="518"/>
      <c r="D240" s="1297"/>
      <c r="E240" s="1297"/>
      <c r="F240" s="1297"/>
      <c r="I240" s="524"/>
    </row>
    <row r="241" spans="1:9" ht="14.25">
      <c r="A241" s="518"/>
      <c r="B241" s="518"/>
      <c r="D241" s="1297"/>
      <c r="E241" s="1297"/>
      <c r="F241" s="1297"/>
      <c r="I241" s="524"/>
    </row>
    <row r="242" spans="1:9" ht="14.25">
      <c r="A242" s="518"/>
      <c r="B242" s="518"/>
      <c r="D242" s="1297"/>
      <c r="E242" s="1297"/>
      <c r="F242" s="1297"/>
      <c r="I242" s="524"/>
    </row>
    <row r="243" spans="1:9" ht="14.25">
      <c r="A243" s="518"/>
      <c r="B243" s="518"/>
      <c r="D243" s="1297"/>
      <c r="E243" s="1297"/>
      <c r="F243" s="1297"/>
      <c r="I243" s="524"/>
    </row>
    <row r="244" spans="1:9" ht="14.25">
      <c r="A244" s="518"/>
      <c r="B244" s="518"/>
      <c r="D244" s="480"/>
      <c r="E244" s="480"/>
      <c r="F244" s="480"/>
      <c r="I244" s="524"/>
    </row>
    <row r="245" spans="1:9" ht="14.25">
      <c r="A245" s="518"/>
      <c r="B245" s="519" t="s">
        <v>2641</v>
      </c>
      <c r="D245" s="1297" t="s">
        <v>2365</v>
      </c>
      <c r="E245" s="1297"/>
      <c r="F245" s="1297"/>
      <c r="I245" s="524" t="s">
        <v>2125</v>
      </c>
    </row>
    <row r="246" spans="1:9" ht="14.25">
      <c r="A246" s="518"/>
      <c r="B246" s="518"/>
      <c r="D246" s="1297"/>
      <c r="E246" s="1297"/>
      <c r="F246" s="1297"/>
      <c r="I246" s="524"/>
    </row>
    <row r="247" spans="1:9" ht="14.25">
      <c r="A247" s="518"/>
      <c r="B247" s="518"/>
      <c r="D247" s="1297"/>
      <c r="E247" s="1297"/>
      <c r="F247" s="1297"/>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2641</v>
      </c>
      <c r="D250" s="1297" t="s">
        <v>2366</v>
      </c>
      <c r="E250" s="1297"/>
      <c r="F250" s="1297"/>
      <c r="I250" s="524" t="s">
        <v>2143</v>
      </c>
    </row>
    <row r="251" spans="1:9" ht="14.25">
      <c r="A251" s="518"/>
      <c r="B251" s="518"/>
      <c r="D251" s="1297"/>
      <c r="E251" s="1297"/>
      <c r="F251" s="1297"/>
      <c r="I251" s="524"/>
    </row>
    <row r="252" spans="1:9" ht="14.25">
      <c r="A252" s="518"/>
      <c r="B252" s="518"/>
      <c r="D252" s="1297"/>
      <c r="E252" s="1297"/>
      <c r="F252" s="1297"/>
      <c r="I252" s="524"/>
    </row>
    <row r="253" spans="1:9" ht="14.25">
      <c r="A253" s="518"/>
      <c r="B253" s="518"/>
      <c r="D253" s="1297"/>
      <c r="E253" s="1297"/>
      <c r="F253" s="1297"/>
      <c r="I253" s="524"/>
    </row>
    <row r="254" spans="1:9" ht="14.25">
      <c r="A254" s="518"/>
      <c r="B254" s="518"/>
      <c r="D254" s="1297"/>
      <c r="E254" s="1297"/>
      <c r="F254" s="1297"/>
      <c r="I254" s="524"/>
    </row>
    <row r="255" spans="1:9" ht="14.25">
      <c r="A255" s="518"/>
      <c r="B255" s="518"/>
      <c r="D255" s="479"/>
      <c r="E255" s="479"/>
      <c r="F255" s="479"/>
      <c r="I255" s="524"/>
    </row>
    <row r="256" spans="1:9" ht="14.25">
      <c r="A256" s="518"/>
      <c r="B256" s="519" t="s">
        <v>2642</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2642</v>
      </c>
      <c r="D259" s="1297" t="s">
        <v>1201</v>
      </c>
      <c r="E259" s="1297"/>
      <c r="F259" s="1297"/>
      <c r="I259" s="524"/>
    </row>
    <row r="260" spans="1:9" ht="14.25">
      <c r="A260" s="518"/>
      <c r="B260" s="518"/>
      <c r="D260" s="1297"/>
      <c r="E260" s="1297"/>
      <c r="F260" s="1297"/>
      <c r="I260" s="524"/>
    </row>
    <row r="261" spans="1:9">
      <c r="D261" s="525"/>
      <c r="I261" s="524"/>
    </row>
    <row r="262" spans="1:9">
      <c r="A262" s="1285" t="s">
        <v>1075</v>
      </c>
      <c r="B262" s="1285"/>
      <c r="C262" s="1285"/>
      <c r="D262" s="1285"/>
      <c r="E262" s="1285"/>
      <c r="F262" s="1285"/>
      <c r="G262" s="1285"/>
      <c r="H262" s="1063"/>
      <c r="I262" s="1256"/>
    </row>
    <row r="263" spans="1:9">
      <c r="D263" s="525"/>
      <c r="I263" s="524"/>
    </row>
    <row r="264" spans="1:9">
      <c r="C264" s="520"/>
      <c r="D264" s="1296" t="s">
        <v>1204</v>
      </c>
      <c r="E264" s="1296"/>
      <c r="F264" s="1296"/>
      <c r="I264" s="524"/>
    </row>
    <row r="265" spans="1:9">
      <c r="A265" s="516"/>
      <c r="B265" s="516"/>
      <c r="C265" s="516"/>
      <c r="D265" s="480"/>
      <c r="E265" s="480"/>
      <c r="F265" s="480"/>
      <c r="I265" s="524"/>
    </row>
    <row r="266" spans="1:9">
      <c r="A266" s="517"/>
      <c r="B266" s="517"/>
      <c r="C266" s="517"/>
      <c r="D266" s="1296" t="s">
        <v>270</v>
      </c>
      <c r="E266" s="1296"/>
      <c r="F266" s="1296"/>
      <c r="I266" s="524" t="s">
        <v>2126</v>
      </c>
    </row>
    <row r="267" spans="1:9" ht="14.45" customHeight="1">
      <c r="A267" s="518"/>
      <c r="B267" s="519" t="s">
        <v>2642</v>
      </c>
      <c r="D267" s="1297" t="s">
        <v>1302</v>
      </c>
      <c r="E267" s="1297"/>
      <c r="F267" s="1297"/>
      <c r="I267" s="524"/>
    </row>
    <row r="268" spans="1:9">
      <c r="D268" s="1297"/>
      <c r="E268" s="1297"/>
      <c r="F268" s="1297"/>
      <c r="I268" s="524"/>
    </row>
    <row r="269" spans="1:9">
      <c r="E269" s="1071" t="s">
        <v>2196</v>
      </c>
      <c r="I269" s="524"/>
    </row>
    <row r="270" spans="1:9">
      <c r="D270" s="480"/>
      <c r="E270" s="480"/>
      <c r="F270" s="480"/>
      <c r="I270" s="524"/>
    </row>
    <row r="271" spans="1:9" ht="14.45" customHeight="1">
      <c r="A271" s="518"/>
      <c r="B271" s="519" t="s">
        <v>2641</v>
      </c>
      <c r="D271" s="1297" t="s">
        <v>2368</v>
      </c>
      <c r="E271" s="1297"/>
      <c r="F271" s="1297"/>
      <c r="I271" s="524" t="s">
        <v>2144</v>
      </c>
    </row>
    <row r="272" spans="1:9">
      <c r="D272" s="1297"/>
      <c r="E272" s="1297"/>
      <c r="F272" s="1297"/>
      <c r="I272" s="524"/>
    </row>
    <row r="273" spans="1:9">
      <c r="D273" s="1297"/>
      <c r="E273" s="1297"/>
      <c r="F273" s="1297"/>
      <c r="I273" s="524"/>
    </row>
    <row r="274" spans="1:9">
      <c r="D274" s="1297"/>
      <c r="E274" s="1297"/>
      <c r="F274" s="1297"/>
      <c r="I274" s="524"/>
    </row>
    <row r="275" spans="1:9">
      <c r="D275" s="1297"/>
      <c r="E275" s="1297"/>
      <c r="F275" s="1297"/>
      <c r="I275" s="524"/>
    </row>
    <row r="276" spans="1:9">
      <c r="D276" s="1297"/>
      <c r="E276" s="1297"/>
      <c r="F276" s="1297"/>
      <c r="I276" s="524"/>
    </row>
    <row r="277" spans="1:9">
      <c r="D277" s="480"/>
      <c r="E277" s="480"/>
      <c r="F277" s="480"/>
      <c r="I277" s="524"/>
    </row>
    <row r="278" spans="1:9" ht="14.25">
      <c r="A278" s="518"/>
      <c r="B278" s="519" t="s">
        <v>2641</v>
      </c>
      <c r="D278" s="1297" t="s">
        <v>1207</v>
      </c>
      <c r="E278" s="1297"/>
      <c r="F278" s="1297"/>
      <c r="I278" s="524"/>
    </row>
    <row r="279" spans="1:9">
      <c r="D279" s="1297"/>
      <c r="E279" s="1297"/>
      <c r="F279" s="1297"/>
      <c r="I279" s="524"/>
    </row>
    <row r="280" spans="1:9">
      <c r="D280" s="1297"/>
      <c r="E280" s="1297"/>
      <c r="F280" s="1297"/>
      <c r="I280" s="524"/>
    </row>
    <row r="281" spans="1:9">
      <c r="D281" s="526"/>
      <c r="E281" s="480"/>
      <c r="F281" s="480"/>
      <c r="I281" s="524"/>
    </row>
    <row r="282" spans="1:9">
      <c r="A282" s="1285" t="s">
        <v>1076</v>
      </c>
      <c r="B282" s="1285"/>
      <c r="C282" s="1285"/>
      <c r="D282" s="1285"/>
      <c r="E282" s="1285"/>
      <c r="F282" s="1285"/>
      <c r="G282" s="1285"/>
      <c r="H282" s="1063"/>
      <c r="I282" s="1256"/>
    </row>
    <row r="283" spans="1:9">
      <c r="D283" s="526"/>
      <c r="E283" s="480"/>
      <c r="F283" s="480"/>
      <c r="I283" s="524"/>
    </row>
    <row r="284" spans="1:9">
      <c r="C284" s="516"/>
      <c r="D284" s="1299" t="s">
        <v>1209</v>
      </c>
      <c r="E284" s="1299"/>
      <c r="F284" s="1299"/>
      <c r="I284" s="524"/>
    </row>
    <row r="285" spans="1:9">
      <c r="C285" s="516"/>
      <c r="D285" s="1299"/>
      <c r="E285" s="1299"/>
      <c r="F285" s="1299"/>
      <c r="I285" s="524"/>
    </row>
    <row r="286" spans="1:9">
      <c r="A286" s="517"/>
      <c r="B286" s="517"/>
      <c r="C286" s="517"/>
      <c r="D286" s="435"/>
      <c r="I286" s="524"/>
    </row>
    <row r="287" spans="1:9">
      <c r="C287" s="517"/>
      <c r="D287" s="1296" t="s">
        <v>210</v>
      </c>
      <c r="E287" s="1296"/>
      <c r="F287" s="1296"/>
      <c r="I287" s="524"/>
    </row>
    <row r="288" spans="1:9" ht="15.75" customHeight="1">
      <c r="A288" s="518"/>
      <c r="B288" s="518"/>
      <c r="D288" s="1348" t="s">
        <v>1210</v>
      </c>
      <c r="E288" s="1348"/>
      <c r="F288" s="1348"/>
      <c r="I288" s="524"/>
    </row>
    <row r="289" spans="1:9">
      <c r="E289" s="480"/>
      <c r="F289" s="480"/>
      <c r="I289" s="524"/>
    </row>
    <row r="290" spans="1:9" ht="14.25">
      <c r="A290" s="518"/>
      <c r="B290" s="519" t="s">
        <v>2642</v>
      </c>
      <c r="D290" s="1297" t="s">
        <v>1211</v>
      </c>
      <c r="E290" s="1297"/>
      <c r="F290" s="1297"/>
      <c r="I290" s="524" t="s">
        <v>2088</v>
      </c>
    </row>
    <row r="291" spans="1:9" ht="14.25">
      <c r="A291" s="518"/>
      <c r="B291" s="518"/>
      <c r="D291" s="1297"/>
      <c r="E291" s="1297"/>
      <c r="F291" s="1297"/>
      <c r="I291" s="524"/>
    </row>
    <row r="292" spans="1:9">
      <c r="D292" s="480"/>
      <c r="E292" s="480"/>
      <c r="F292" s="480"/>
      <c r="I292" s="524"/>
    </row>
    <row r="293" spans="1:9" ht="14.25">
      <c r="A293" s="518"/>
      <c r="B293" s="519" t="s">
        <v>2642</v>
      </c>
      <c r="D293" s="1297" t="s">
        <v>1212</v>
      </c>
      <c r="E293" s="1297"/>
      <c r="F293" s="1297"/>
      <c r="I293" s="524" t="s">
        <v>2088</v>
      </c>
    </row>
    <row r="294" spans="1:9" ht="14.25">
      <c r="A294" s="518"/>
      <c r="B294" s="518"/>
      <c r="D294" s="1297"/>
      <c r="E294" s="1297"/>
      <c r="F294" s="1297"/>
      <c r="I294" s="524"/>
    </row>
    <row r="295" spans="1:9" ht="14.25">
      <c r="A295" s="518"/>
      <c r="B295" s="518"/>
      <c r="D295" s="1297"/>
      <c r="E295" s="1297"/>
      <c r="F295" s="1297"/>
      <c r="I295" s="524"/>
    </row>
    <row r="296" spans="1:9">
      <c r="D296" s="480"/>
      <c r="E296" s="480"/>
      <c r="F296" s="480"/>
      <c r="I296" s="524"/>
    </row>
    <row r="297" spans="1:9" ht="14.25">
      <c r="A297" s="518"/>
      <c r="B297" s="519" t="s">
        <v>2641</v>
      </c>
      <c r="D297" s="1297" t="s">
        <v>1213</v>
      </c>
      <c r="E297" s="1297"/>
      <c r="F297" s="1297"/>
      <c r="I297" s="524" t="s">
        <v>2088</v>
      </c>
    </row>
    <row r="298" spans="1:9" ht="14.25">
      <c r="A298" s="518"/>
      <c r="B298" s="518"/>
      <c r="D298" s="1297"/>
      <c r="E298" s="1297"/>
      <c r="F298" s="1297"/>
      <c r="I298" s="524"/>
    </row>
    <row r="299" spans="1:9">
      <c r="A299" s="524"/>
      <c r="B299" s="524"/>
      <c r="E299" s="480"/>
      <c r="F299" s="480"/>
      <c r="I299" s="524"/>
    </row>
    <row r="300" spans="1:9">
      <c r="A300" s="1285" t="s">
        <v>1077</v>
      </c>
      <c r="B300" s="1285"/>
      <c r="C300" s="1285"/>
      <c r="D300" s="1285"/>
      <c r="E300" s="1285"/>
      <c r="F300" s="1285"/>
      <c r="G300" s="1285"/>
      <c r="H300" s="1063"/>
      <c r="I300" s="1256"/>
    </row>
    <row r="301" spans="1:9">
      <c r="A301" s="524"/>
      <c r="B301" s="524"/>
      <c r="D301" s="480"/>
      <c r="E301" s="480"/>
      <c r="F301" s="480"/>
      <c r="I301" s="524"/>
    </row>
    <row r="302" spans="1:9">
      <c r="C302" s="524"/>
      <c r="D302" s="1296" t="s">
        <v>690</v>
      </c>
      <c r="E302" s="1296"/>
      <c r="F302" s="1296"/>
      <c r="I302" s="524"/>
    </row>
    <row r="303" spans="1:9">
      <c r="C303" s="524"/>
      <c r="D303" s="1298" t="s">
        <v>1214</v>
      </c>
      <c r="E303" s="1298"/>
      <c r="F303" s="1298"/>
      <c r="I303" s="524"/>
    </row>
    <row r="304" spans="1:9">
      <c r="C304" s="524"/>
      <c r="D304" s="527"/>
      <c r="I304" s="524"/>
    </row>
    <row r="305" spans="1:9">
      <c r="B305" s="519" t="s">
        <v>2642</v>
      </c>
      <c r="D305" s="1298" t="s">
        <v>1215</v>
      </c>
      <c r="E305" s="1298"/>
      <c r="F305" s="1298"/>
      <c r="I305" s="524" t="s">
        <v>2089</v>
      </c>
    </row>
    <row r="306" spans="1:9" ht="14.25">
      <c r="A306" s="518"/>
      <c r="B306" s="518"/>
      <c r="D306" s="528"/>
      <c r="E306" s="529"/>
      <c r="F306" s="529"/>
      <c r="I306" s="524"/>
    </row>
    <row r="307" spans="1:9" ht="13.7" customHeight="1">
      <c r="B307" s="519" t="s">
        <v>2641</v>
      </c>
      <c r="D307" s="1351" t="s">
        <v>1325</v>
      </c>
      <c r="E307" s="1351"/>
      <c r="F307" s="1351"/>
      <c r="I307" s="524" t="s">
        <v>2089</v>
      </c>
    </row>
    <row r="308" spans="1:9" ht="14.25">
      <c r="A308" s="518"/>
      <c r="B308" s="518"/>
      <c r="D308" s="1351"/>
      <c r="E308" s="1351"/>
      <c r="F308" s="1351"/>
      <c r="I308" s="524"/>
    </row>
    <row r="309" spans="1:9" ht="14.25">
      <c r="A309" s="518"/>
      <c r="B309" s="518"/>
      <c r="D309" s="1351"/>
      <c r="E309" s="1351"/>
      <c r="F309" s="1351"/>
      <c r="I309" s="524"/>
    </row>
    <row r="310" spans="1:9" ht="14.25">
      <c r="A310" s="518"/>
      <c r="B310" s="518"/>
      <c r="D310" s="1351"/>
      <c r="E310" s="1351"/>
      <c r="F310" s="1351"/>
      <c r="I310" s="524"/>
    </row>
    <row r="311" spans="1:9" ht="14.25">
      <c r="A311" s="518"/>
      <c r="B311" s="518"/>
      <c r="D311" s="1351"/>
      <c r="E311" s="1351"/>
      <c r="F311" s="1351"/>
      <c r="I311" s="524"/>
    </row>
    <row r="312" spans="1:9" ht="14.25">
      <c r="A312" s="518"/>
      <c r="B312" s="518"/>
      <c r="D312" s="528"/>
      <c r="E312" s="529"/>
      <c r="F312" s="529"/>
      <c r="I312" s="524"/>
    </row>
    <row r="313" spans="1:9" ht="13.7" customHeight="1">
      <c r="B313" s="519" t="s">
        <v>2641</v>
      </c>
      <c r="D313" s="1351" t="s">
        <v>1217</v>
      </c>
      <c r="E313" s="1351"/>
      <c r="F313" s="1351"/>
      <c r="I313" s="524" t="s">
        <v>2089</v>
      </c>
    </row>
    <row r="314" spans="1:9">
      <c r="D314" s="1351"/>
      <c r="E314" s="1351"/>
      <c r="F314" s="1351"/>
      <c r="I314" s="524"/>
    </row>
    <row r="315" spans="1:9" ht="14.25">
      <c r="A315" s="518"/>
      <c r="B315" s="518"/>
      <c r="D315" s="528"/>
      <c r="E315" s="529"/>
      <c r="F315" s="529"/>
      <c r="I315" s="524"/>
    </row>
    <row r="316" spans="1:9">
      <c r="B316" s="519" t="s">
        <v>2642</v>
      </c>
      <c r="D316" s="1298" t="s">
        <v>1218</v>
      </c>
      <c r="E316" s="1298"/>
      <c r="F316" s="1298"/>
      <c r="I316" s="524" t="s">
        <v>2075</v>
      </c>
    </row>
    <row r="317" spans="1:9">
      <c r="E317" s="480"/>
      <c r="F317" s="480"/>
      <c r="I317" s="524"/>
    </row>
    <row r="318" spans="1:9" ht="14.25">
      <c r="A318" s="518"/>
      <c r="B318" s="519" t="s">
        <v>2642</v>
      </c>
      <c r="D318" s="1297" t="s">
        <v>2387</v>
      </c>
      <c r="E318" s="1297"/>
      <c r="F318" s="1297"/>
      <c r="I318" s="524" t="s">
        <v>2090</v>
      </c>
    </row>
    <row r="319" spans="1:9" ht="14.25">
      <c r="A319" s="518"/>
      <c r="B319" s="518"/>
      <c r="D319" s="1297"/>
      <c r="E319" s="1297"/>
      <c r="F319" s="1297"/>
      <c r="I319" s="524"/>
    </row>
    <row r="320" spans="1:9" ht="14.25">
      <c r="A320" s="518"/>
      <c r="B320" s="518"/>
      <c r="D320" s="1297"/>
      <c r="E320" s="1297"/>
      <c r="F320" s="1297"/>
      <c r="I320" s="524"/>
    </row>
    <row r="321" spans="1:9" ht="14.25">
      <c r="A321" s="518"/>
      <c r="B321" s="518"/>
      <c r="D321" s="1297"/>
      <c r="E321" s="1297"/>
      <c r="F321" s="1297"/>
      <c r="I321" s="524"/>
    </row>
    <row r="322" spans="1:9" ht="14.25">
      <c r="A322" s="518"/>
      <c r="B322" s="518"/>
      <c r="D322" s="1297"/>
      <c r="E322" s="1297"/>
      <c r="F322" s="1297"/>
      <c r="I322" s="524"/>
    </row>
    <row r="323" spans="1:9" ht="14.25">
      <c r="A323" s="518"/>
      <c r="B323" s="518"/>
      <c r="D323" s="1297"/>
      <c r="E323" s="1297"/>
      <c r="F323" s="1297"/>
      <c r="I323" s="524"/>
    </row>
    <row r="324" spans="1:9" ht="14.25">
      <c r="A324" s="518"/>
      <c r="B324" s="518"/>
      <c r="D324" s="1297"/>
      <c r="E324" s="1297"/>
      <c r="F324" s="1297"/>
      <c r="I324" s="524"/>
    </row>
    <row r="325" spans="1:9" ht="14.25">
      <c r="A325" s="518"/>
      <c r="B325" s="518"/>
      <c r="D325" s="1297"/>
      <c r="E325" s="1297"/>
      <c r="F325" s="1297"/>
      <c r="I325" s="524"/>
    </row>
    <row r="326" spans="1:9" ht="14.25">
      <c r="A326" s="518"/>
      <c r="B326" s="518"/>
      <c r="D326" s="1297"/>
      <c r="E326" s="1297"/>
      <c r="F326" s="1297"/>
      <c r="I326" s="524"/>
    </row>
    <row r="327" spans="1:9" ht="14.25">
      <c r="A327" s="518"/>
      <c r="B327" s="518"/>
      <c r="D327" s="1297"/>
      <c r="E327" s="1297"/>
      <c r="F327" s="1297"/>
      <c r="I327" s="524"/>
    </row>
    <row r="328" spans="1:9" ht="14.25">
      <c r="A328" s="518"/>
      <c r="B328" s="518"/>
      <c r="D328" s="1297"/>
      <c r="E328" s="1297"/>
      <c r="F328" s="1297"/>
      <c r="I328" s="524"/>
    </row>
    <row r="329" spans="1:9" ht="14.25">
      <c r="A329" s="518"/>
      <c r="B329" s="518"/>
      <c r="D329" s="1297"/>
      <c r="E329" s="1297"/>
      <c r="F329" s="1297"/>
      <c r="I329" s="524"/>
    </row>
    <row r="330" spans="1:9" ht="14.25">
      <c r="A330" s="518"/>
      <c r="B330" s="518"/>
      <c r="D330" s="1297"/>
      <c r="E330" s="1297"/>
      <c r="F330" s="1297"/>
      <c r="I330" s="524"/>
    </row>
    <row r="331" spans="1:9" ht="14.25">
      <c r="A331" s="518"/>
      <c r="B331" s="518"/>
      <c r="D331" s="1297"/>
      <c r="E331" s="1297"/>
      <c r="F331" s="1297"/>
      <c r="I331" s="524"/>
    </row>
    <row r="332" spans="1:9" ht="14.25">
      <c r="A332" s="518"/>
      <c r="B332" s="518"/>
      <c r="D332" s="1297"/>
      <c r="E332" s="1297"/>
      <c r="F332" s="1297"/>
      <c r="I332" s="524"/>
    </row>
    <row r="333" spans="1:9">
      <c r="D333" s="480"/>
      <c r="E333" s="480"/>
      <c r="F333" s="480"/>
      <c r="I333" s="524"/>
    </row>
    <row r="334" spans="1:9" ht="14.25">
      <c r="A334" s="518"/>
      <c r="B334" s="519" t="s">
        <v>2641</v>
      </c>
      <c r="D334" s="1297" t="s">
        <v>1220</v>
      </c>
      <c r="E334" s="1297"/>
      <c r="F334" s="1297"/>
      <c r="I334" s="524" t="s">
        <v>2090</v>
      </c>
    </row>
    <row r="335" spans="1:9">
      <c r="D335" s="1297"/>
      <c r="E335" s="1297"/>
      <c r="F335" s="1297"/>
      <c r="I335" s="524"/>
    </row>
    <row r="336" spans="1:9">
      <c r="D336" s="1297"/>
      <c r="E336" s="1297"/>
      <c r="F336" s="1297"/>
      <c r="I336" s="524"/>
    </row>
    <row r="337" spans="1:9">
      <c r="D337" s="1297"/>
      <c r="E337" s="1297"/>
      <c r="F337" s="1297"/>
      <c r="I337" s="524"/>
    </row>
    <row r="338" spans="1:9">
      <c r="D338" s="1297"/>
      <c r="E338" s="1297"/>
      <c r="F338" s="1297"/>
      <c r="I338" s="524"/>
    </row>
    <row r="339" spans="1:9">
      <c r="D339" s="1297"/>
      <c r="E339" s="1297"/>
      <c r="F339" s="1297"/>
      <c r="I339" s="524"/>
    </row>
    <row r="340" spans="1:9">
      <c r="D340" s="1297"/>
      <c r="E340" s="1297"/>
      <c r="F340" s="1297"/>
      <c r="I340" s="524"/>
    </row>
    <row r="341" spans="1:9">
      <c r="D341" s="1297"/>
      <c r="E341" s="1297"/>
      <c r="F341" s="1297"/>
      <c r="I341" s="524"/>
    </row>
    <row r="342" spans="1:9">
      <c r="D342" s="1297"/>
      <c r="E342" s="1297"/>
      <c r="F342" s="1297"/>
      <c r="I342" s="524"/>
    </row>
    <row r="343" spans="1:9">
      <c r="D343" s="480"/>
      <c r="E343" s="480"/>
      <c r="F343" s="480"/>
      <c r="I343" s="524"/>
    </row>
    <row r="344" spans="1:9" ht="14.25" customHeight="1">
      <c r="A344" s="518"/>
      <c r="B344" s="519" t="s">
        <v>2642</v>
      </c>
      <c r="D344" s="1297" t="s">
        <v>2201</v>
      </c>
      <c r="E344" s="1297"/>
      <c r="F344" s="1297"/>
      <c r="I344" s="524" t="s">
        <v>2127</v>
      </c>
    </row>
    <row r="345" spans="1:9">
      <c r="D345" s="1297"/>
      <c r="E345" s="1297"/>
      <c r="F345" s="1297"/>
      <c r="I345" s="524"/>
    </row>
    <row r="346" spans="1:9">
      <c r="D346" s="1297"/>
      <c r="E346" s="1297"/>
      <c r="F346" s="1297"/>
      <c r="I346" s="524"/>
    </row>
    <row r="347" spans="1:9">
      <c r="D347" s="1297"/>
      <c r="E347" s="1297"/>
      <c r="F347" s="1297"/>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347" t="s">
        <v>998</v>
      </c>
      <c r="E351" s="1347"/>
      <c r="F351" s="1347"/>
      <c r="G351" s="1062"/>
      <c r="H351" s="1062"/>
      <c r="I351" s="1259"/>
    </row>
    <row r="352" spans="1:9" ht="13.5" thickTop="1">
      <c r="D352" s="1352" t="s">
        <v>1222</v>
      </c>
      <c r="E352" s="1352"/>
      <c r="F352" s="1352"/>
      <c r="I352" s="524"/>
    </row>
    <row r="353" spans="1:9">
      <c r="D353" s="480"/>
      <c r="E353" s="480"/>
      <c r="F353" s="480"/>
      <c r="I353" s="524"/>
    </row>
    <row r="354" spans="1:9">
      <c r="A354" s="510"/>
      <c r="B354" s="510"/>
      <c r="C354" s="510"/>
      <c r="D354" s="481"/>
      <c r="E354" s="481"/>
      <c r="F354" s="480"/>
      <c r="I354" s="524" t="s">
        <v>2091</v>
      </c>
    </row>
    <row r="355" spans="1:9" ht="14.25">
      <c r="A355" s="518"/>
      <c r="B355" s="519" t="s">
        <v>2642</v>
      </c>
      <c r="C355" s="521"/>
      <c r="D355" s="1298" t="s">
        <v>2199</v>
      </c>
      <c r="E355" s="1298"/>
      <c r="F355" s="1298"/>
      <c r="I355" s="1354" t="s">
        <v>2141</v>
      </c>
    </row>
    <row r="356" spans="1:9" ht="12.75" customHeight="1">
      <c r="D356" s="1072"/>
      <c r="E356" s="96" t="s">
        <v>2198</v>
      </c>
      <c r="F356" s="1072"/>
      <c r="I356" s="1355"/>
    </row>
    <row r="357" spans="1:9">
      <c r="D357" s="1297" t="s">
        <v>1346</v>
      </c>
      <c r="E357" s="1297"/>
      <c r="F357" s="1297"/>
      <c r="I357" s="1355"/>
    </row>
    <row r="358" spans="1:9">
      <c r="D358" s="1297"/>
      <c r="E358" s="1297"/>
      <c r="F358" s="1297"/>
      <c r="I358" s="1355"/>
    </row>
    <row r="359" spans="1:9">
      <c r="D359" s="1297"/>
      <c r="E359" s="1297"/>
      <c r="F359" s="1297"/>
      <c r="I359" s="1356"/>
    </row>
    <row r="360" spans="1:9" ht="14.25">
      <c r="A360" s="518"/>
      <c r="B360" s="519" t="s">
        <v>2642</v>
      </c>
      <c r="C360" s="510"/>
      <c r="D360" s="1283" t="s">
        <v>2369</v>
      </c>
      <c r="E360" s="1283"/>
      <c r="F360" s="1283"/>
      <c r="I360" s="514"/>
    </row>
    <row r="361" spans="1:9">
      <c r="A361" s="510"/>
      <c r="B361" s="510"/>
      <c r="C361" s="510"/>
      <c r="D361" s="481"/>
      <c r="E361" s="481"/>
      <c r="F361" s="480"/>
      <c r="I361" s="524"/>
    </row>
    <row r="362" spans="1:9">
      <c r="A362" s="510"/>
      <c r="B362" s="519" t="s">
        <v>2641</v>
      </c>
      <c r="C362" s="510"/>
      <c r="D362" s="1279" t="s">
        <v>2370</v>
      </c>
      <c r="E362" s="1279"/>
      <c r="F362" s="1279"/>
      <c r="I362" s="524"/>
    </row>
    <row r="363" spans="1:9">
      <c r="A363" s="510"/>
      <c r="B363" s="510"/>
      <c r="C363" s="510"/>
      <c r="D363" s="1279"/>
      <c r="E363" s="1279"/>
      <c r="F363" s="1279"/>
      <c r="I363" s="524"/>
    </row>
    <row r="364" spans="1:9">
      <c r="A364" s="510"/>
      <c r="B364" s="510"/>
      <c r="C364" s="510"/>
      <c r="D364" s="1279"/>
      <c r="E364" s="1279"/>
      <c r="F364" s="1279"/>
      <c r="I364" s="524"/>
    </row>
    <row r="365" spans="1:9">
      <c r="A365" s="510"/>
      <c r="B365" s="510"/>
      <c r="C365" s="510"/>
      <c r="D365" s="1279"/>
      <c r="E365" s="1279"/>
      <c r="F365" s="1279"/>
      <c r="I365" s="524"/>
    </row>
    <row r="366" spans="1:9">
      <c r="A366" s="510"/>
      <c r="B366" s="510"/>
      <c r="C366" s="510"/>
      <c r="D366" s="1279"/>
      <c r="E366" s="1279"/>
      <c r="F366" s="1279"/>
      <c r="I366" s="524"/>
    </row>
    <row r="367" spans="1:9">
      <c r="A367" s="510"/>
      <c r="B367" s="510"/>
      <c r="C367" s="510"/>
      <c r="D367" s="1279"/>
      <c r="E367" s="1279"/>
      <c r="F367" s="1279"/>
      <c r="I367" s="524"/>
    </row>
    <row r="368" spans="1:9">
      <c r="A368" s="510"/>
      <c r="B368" s="510"/>
      <c r="C368" s="510"/>
      <c r="D368" s="1279"/>
      <c r="E368" s="1279"/>
      <c r="F368" s="1279"/>
      <c r="I368" s="524"/>
    </row>
    <row r="369" spans="1:9">
      <c r="A369" s="510"/>
      <c r="B369" s="510"/>
      <c r="C369" s="510"/>
      <c r="D369" s="1279"/>
      <c r="E369" s="1279"/>
      <c r="F369" s="1279"/>
      <c r="I369" s="524"/>
    </row>
    <row r="370" spans="1:9">
      <c r="A370" s="510"/>
      <c r="B370" s="510"/>
      <c r="C370" s="510"/>
      <c r="D370" s="1279"/>
      <c r="E370" s="1279"/>
      <c r="F370" s="1279"/>
      <c r="I370" s="524"/>
    </row>
    <row r="371" spans="1:9">
      <c r="A371" s="510"/>
      <c r="B371" s="510"/>
      <c r="C371" s="510"/>
      <c r="D371" s="1279"/>
      <c r="E371" s="1279"/>
      <c r="F371" s="1279"/>
      <c r="I371" s="524"/>
    </row>
    <row r="372" spans="1:9">
      <c r="A372" s="510"/>
      <c r="B372" s="510"/>
      <c r="C372" s="510"/>
      <c r="D372" s="1279"/>
      <c r="E372" s="1279"/>
      <c r="F372" s="1279"/>
      <c r="I372" s="524"/>
    </row>
    <row r="373" spans="1:9">
      <c r="A373" s="510"/>
      <c r="B373" s="510"/>
      <c r="C373" s="510"/>
      <c r="D373" s="1279"/>
      <c r="E373" s="1279"/>
      <c r="F373" s="1279"/>
      <c r="I373" s="524"/>
    </row>
    <row r="374" spans="1:9">
      <c r="A374" s="510"/>
      <c r="B374" s="510"/>
      <c r="C374" s="510"/>
      <c r="D374" s="485"/>
      <c r="E374" s="485"/>
      <c r="F374" s="485"/>
      <c r="I374" s="524"/>
    </row>
    <row r="375" spans="1:9" ht="12.4" customHeight="1">
      <c r="A375" s="510"/>
      <c r="B375" s="519" t="s">
        <v>2641</v>
      </c>
      <c r="C375" s="510"/>
      <c r="D375" s="1327" t="s">
        <v>1327</v>
      </c>
      <c r="E375" s="1327"/>
      <c r="F375" s="1327"/>
      <c r="I375" s="524"/>
    </row>
    <row r="376" spans="1:9">
      <c r="A376" s="510"/>
      <c r="B376" s="510"/>
      <c r="C376" s="510"/>
      <c r="D376" s="1327"/>
      <c r="E376" s="1327"/>
      <c r="F376" s="1327"/>
      <c r="I376" s="524"/>
    </row>
    <row r="377" spans="1:9">
      <c r="A377" s="510"/>
      <c r="B377" s="510"/>
      <c r="C377" s="510"/>
      <c r="D377" s="1327"/>
      <c r="E377" s="1327"/>
      <c r="F377" s="1327"/>
      <c r="I377" s="524"/>
    </row>
    <row r="378" spans="1:9">
      <c r="A378" s="510"/>
      <c r="B378" s="510"/>
      <c r="C378" s="510"/>
      <c r="D378" s="1327"/>
      <c r="E378" s="1327"/>
      <c r="F378" s="1327"/>
      <c r="I378" s="524"/>
    </row>
    <row r="379" spans="1:9">
      <c r="A379" s="510"/>
      <c r="B379" s="510"/>
      <c r="C379" s="510"/>
      <c r="D379" s="558"/>
      <c r="E379" s="558"/>
      <c r="F379" s="558"/>
      <c r="I379" s="524"/>
    </row>
    <row r="380" spans="1:9">
      <c r="A380" s="510"/>
      <c r="B380" s="519" t="s">
        <v>2641</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2641</v>
      </c>
      <c r="C387" s="510"/>
      <c r="D387" s="1279" t="s">
        <v>1225</v>
      </c>
      <c r="E387" s="1279"/>
      <c r="F387" s="1279"/>
      <c r="I387" s="524"/>
    </row>
    <row r="388" spans="1:9">
      <c r="A388" s="510"/>
      <c r="B388" s="510"/>
      <c r="C388" s="510"/>
      <c r="D388" s="1279"/>
      <c r="E388" s="1279"/>
      <c r="F388" s="1279"/>
      <c r="I388" s="524"/>
    </row>
    <row r="389" spans="1:9">
      <c r="A389" s="510"/>
      <c r="B389" s="510"/>
      <c r="C389" s="510"/>
      <c r="D389" s="1279"/>
      <c r="E389" s="1279"/>
      <c r="F389" s="1279"/>
      <c r="I389" s="524"/>
    </row>
    <row r="390" spans="1:9">
      <c r="A390" s="510"/>
      <c r="B390" s="510"/>
      <c r="C390" s="510"/>
      <c r="D390" s="1279"/>
      <c r="E390" s="1279"/>
      <c r="F390" s="1279"/>
      <c r="I390" s="524"/>
    </row>
    <row r="391" spans="1:9">
      <c r="A391" s="510"/>
      <c r="B391" s="510"/>
      <c r="C391" s="510"/>
      <c r="D391" s="481"/>
      <c r="E391" s="481"/>
      <c r="F391" s="480"/>
      <c r="I391" s="524"/>
    </row>
    <row r="392" spans="1:9">
      <c r="A392" s="510"/>
      <c r="B392" s="510"/>
      <c r="C392" s="510"/>
      <c r="D392" s="1279" t="s">
        <v>1226</v>
      </c>
      <c r="E392" s="1279"/>
      <c r="F392" s="1279"/>
      <c r="I392" s="524"/>
    </row>
    <row r="393" spans="1:9">
      <c r="A393" s="510"/>
      <c r="B393" s="510"/>
      <c r="C393" s="510"/>
      <c r="D393" s="1279"/>
      <c r="E393" s="1279"/>
      <c r="F393" s="1279"/>
      <c r="I393" s="524"/>
    </row>
    <row r="394" spans="1:9">
      <c r="A394" s="510"/>
      <c r="B394" s="510"/>
      <c r="C394" s="510"/>
      <c r="D394" s="1279"/>
      <c r="E394" s="1279"/>
      <c r="F394" s="1279"/>
      <c r="I394" s="524"/>
    </row>
    <row r="395" spans="1:9">
      <c r="A395" s="510"/>
      <c r="B395" s="510"/>
      <c r="C395" s="510"/>
      <c r="D395" s="1279"/>
      <c r="E395" s="1279"/>
      <c r="F395" s="1279"/>
      <c r="I395" s="524"/>
    </row>
    <row r="396" spans="1:9" ht="18" customHeight="1">
      <c r="A396" s="510"/>
      <c r="B396" s="510"/>
      <c r="C396" s="510"/>
      <c r="D396" s="1279"/>
      <c r="E396" s="1279"/>
      <c r="F396" s="1279"/>
      <c r="I396" s="524"/>
    </row>
    <row r="397" spans="1:9">
      <c r="A397" s="510"/>
      <c r="B397" s="510"/>
      <c r="C397" s="510"/>
      <c r="D397" s="1279"/>
      <c r="E397" s="1279"/>
      <c r="F397" s="1279"/>
      <c r="I397" s="524"/>
    </row>
    <row r="398" spans="1:9">
      <c r="A398" s="510"/>
      <c r="B398" s="510"/>
      <c r="C398" s="510"/>
      <c r="D398" s="1279"/>
      <c r="E398" s="1279"/>
      <c r="F398" s="1279"/>
      <c r="I398" s="524"/>
    </row>
    <row r="399" spans="1:9">
      <c r="A399" s="510"/>
      <c r="B399" s="510"/>
      <c r="C399" s="510"/>
      <c r="D399" s="1279"/>
      <c r="E399" s="1279"/>
      <c r="F399" s="1279"/>
      <c r="I399" s="524"/>
    </row>
    <row r="400" spans="1:9" ht="8.25" customHeight="1">
      <c r="A400" s="510"/>
      <c r="B400" s="510"/>
      <c r="C400" s="510"/>
      <c r="D400" s="1279"/>
      <c r="E400" s="1279"/>
      <c r="F400" s="1279"/>
      <c r="I400" s="524"/>
    </row>
    <row r="401" spans="1:9" ht="13.7" customHeight="1">
      <c r="A401" s="510"/>
      <c r="B401" s="510"/>
      <c r="C401" s="510"/>
      <c r="D401" s="1279" t="s">
        <v>1227</v>
      </c>
      <c r="E401" s="1279"/>
      <c r="F401" s="1279"/>
      <c r="I401" s="524"/>
    </row>
    <row r="402" spans="1:9">
      <c r="A402" s="510"/>
      <c r="B402" s="510"/>
      <c r="C402" s="510"/>
      <c r="D402" s="1279"/>
      <c r="E402" s="1279"/>
      <c r="F402" s="1279"/>
      <c r="I402" s="524"/>
    </row>
    <row r="403" spans="1:9">
      <c r="A403" s="510"/>
      <c r="B403" s="510"/>
      <c r="C403" s="510"/>
      <c r="D403" s="1279"/>
      <c r="E403" s="1279"/>
      <c r="F403" s="1279"/>
      <c r="I403" s="524"/>
    </row>
    <row r="404" spans="1:9">
      <c r="A404" s="510"/>
      <c r="B404" s="510"/>
      <c r="C404" s="510"/>
      <c r="D404" s="1279"/>
      <c r="E404" s="1279"/>
      <c r="F404" s="1279"/>
      <c r="I404" s="524"/>
    </row>
    <row r="405" spans="1:9">
      <c r="A405" s="510"/>
      <c r="B405" s="510"/>
      <c r="C405" s="510"/>
      <c r="D405" s="1279"/>
      <c r="E405" s="1279"/>
      <c r="F405" s="1279"/>
      <c r="I405" s="524"/>
    </row>
    <row r="406" spans="1:9">
      <c r="A406" s="510"/>
      <c r="B406" s="510"/>
      <c r="C406" s="510"/>
      <c r="D406" s="1279"/>
      <c r="E406" s="1279"/>
      <c r="F406" s="1279"/>
      <c r="I406" s="524"/>
    </row>
    <row r="407" spans="1:9">
      <c r="A407" s="510"/>
      <c r="B407" s="510"/>
      <c r="C407" s="510"/>
      <c r="D407" s="1279"/>
      <c r="E407" s="1279"/>
      <c r="F407" s="1279"/>
      <c r="I407" s="524"/>
    </row>
    <row r="408" spans="1:9">
      <c r="A408" s="510"/>
      <c r="B408" s="510"/>
      <c r="C408" s="510"/>
      <c r="D408" s="1279"/>
      <c r="E408" s="1279"/>
      <c r="F408" s="1279"/>
      <c r="I408" s="524"/>
    </row>
    <row r="409" spans="1:9">
      <c r="A409" s="510"/>
      <c r="B409" s="510"/>
      <c r="C409" s="510"/>
      <c r="D409" s="1279"/>
      <c r="E409" s="1279"/>
      <c r="F409" s="1279"/>
      <c r="I409" s="524"/>
    </row>
    <row r="410" spans="1:9">
      <c r="A410" s="510"/>
      <c r="B410" s="510"/>
      <c r="C410" s="510"/>
      <c r="D410" s="1279"/>
      <c r="E410" s="1279"/>
      <c r="F410" s="1279"/>
      <c r="I410" s="524"/>
    </row>
    <row r="411" spans="1:9">
      <c r="A411" s="510"/>
      <c r="B411" s="510"/>
      <c r="C411" s="510"/>
      <c r="D411" s="1279"/>
      <c r="E411" s="1279"/>
      <c r="F411" s="1279"/>
      <c r="I411" s="524"/>
    </row>
    <row r="412" spans="1:9">
      <c r="A412" s="510"/>
      <c r="B412" s="510"/>
      <c r="C412" s="510"/>
      <c r="D412" s="1279"/>
      <c r="E412" s="1279"/>
      <c r="F412" s="1279"/>
      <c r="I412" s="524"/>
    </row>
    <row r="413" spans="1:9">
      <c r="A413" s="510"/>
      <c r="B413" s="510"/>
      <c r="C413" s="530"/>
      <c r="D413" s="1279"/>
      <c r="E413" s="1279"/>
      <c r="F413" s="1279"/>
      <c r="I413" s="524"/>
    </row>
    <row r="414" spans="1:9">
      <c r="A414" s="510"/>
      <c r="B414" s="510"/>
      <c r="C414" s="530"/>
      <c r="D414" s="1279"/>
      <c r="E414" s="1279"/>
      <c r="F414" s="1279"/>
      <c r="I414" s="524"/>
    </row>
    <row r="415" spans="1:9">
      <c r="A415" s="510"/>
      <c r="B415" s="510"/>
      <c r="C415" s="510"/>
      <c r="D415" s="1279"/>
      <c r="E415" s="1279"/>
      <c r="F415" s="1279"/>
      <c r="I415" s="524"/>
    </row>
    <row r="416" spans="1:9">
      <c r="A416" s="510"/>
      <c r="B416" s="510"/>
      <c r="C416" s="530"/>
      <c r="D416" s="1279"/>
      <c r="E416" s="1279"/>
      <c r="F416" s="1279"/>
      <c r="I416" s="524"/>
    </row>
    <row r="417" spans="1:9">
      <c r="A417" s="510"/>
      <c r="B417" s="510"/>
      <c r="C417" s="530"/>
      <c r="D417" s="1279"/>
      <c r="E417" s="1279"/>
      <c r="F417" s="1279"/>
      <c r="I417" s="524"/>
    </row>
    <row r="418" spans="1:9">
      <c r="A418" s="510"/>
      <c r="B418" s="510"/>
      <c r="C418" s="530"/>
      <c r="D418" s="1279"/>
      <c r="E418" s="1279"/>
      <c r="F418" s="1279"/>
      <c r="I418" s="524"/>
    </row>
    <row r="419" spans="1:9">
      <c r="A419" s="510"/>
      <c r="B419" s="510"/>
      <c r="C419" s="510"/>
      <c r="D419" s="481"/>
      <c r="E419" s="481"/>
      <c r="F419" s="480"/>
      <c r="I419" s="524"/>
    </row>
    <row r="420" spans="1:9">
      <c r="A420" s="510"/>
      <c r="B420" s="519" t="s">
        <v>2642</v>
      </c>
      <c r="C420" s="510"/>
      <c r="D420" s="1279" t="s">
        <v>1228</v>
      </c>
      <c r="E420" s="1279"/>
      <c r="F420" s="1279"/>
      <c r="I420" s="524"/>
    </row>
    <row r="421" spans="1:9">
      <c r="A421" s="510"/>
      <c r="B421" s="510"/>
      <c r="C421" s="510"/>
      <c r="D421" s="1279"/>
      <c r="E421" s="1279"/>
      <c r="F421" s="1279"/>
      <c r="I421" s="524"/>
    </row>
    <row r="422" spans="1:9">
      <c r="A422" s="510"/>
      <c r="B422" s="510"/>
      <c r="C422" s="510"/>
      <c r="D422" s="485"/>
      <c r="E422" s="485"/>
      <c r="F422" s="485"/>
      <c r="I422" s="524"/>
    </row>
    <row r="423" spans="1:9" ht="14.45" customHeight="1">
      <c r="A423" s="518"/>
      <c r="B423" s="519" t="s">
        <v>2642</v>
      </c>
      <c r="D423" s="1279" t="s">
        <v>2128</v>
      </c>
      <c r="E423" s="1279"/>
      <c r="F423" s="1279"/>
      <c r="I423" s="524"/>
    </row>
    <row r="424" spans="1:9" ht="14.45" customHeight="1">
      <c r="A424" s="518"/>
      <c r="D424" s="1279"/>
      <c r="E424" s="1279"/>
      <c r="F424" s="1279"/>
      <c r="I424" s="524"/>
    </row>
    <row r="425" spans="1:9" ht="14.45" customHeight="1">
      <c r="A425" s="518"/>
      <c r="D425" s="1279"/>
      <c r="E425" s="1279"/>
      <c r="F425" s="1279"/>
      <c r="I425" s="524"/>
    </row>
    <row r="426" spans="1:9" ht="14.45" customHeight="1">
      <c r="A426" s="518"/>
      <c r="D426" s="1279"/>
      <c r="E426" s="1279"/>
      <c r="F426" s="1279"/>
      <c r="I426" s="524"/>
    </row>
    <row r="427" spans="1:9" ht="14.45" customHeight="1">
      <c r="A427" s="518"/>
      <c r="D427" s="1279"/>
      <c r="E427" s="1279"/>
      <c r="F427" s="1279"/>
      <c r="I427" s="524"/>
    </row>
    <row r="428" spans="1:9" ht="14.45" customHeight="1">
      <c r="A428" s="518"/>
      <c r="D428" s="416"/>
      <c r="E428" s="416"/>
      <c r="F428" s="416"/>
      <c r="I428" s="524"/>
    </row>
    <row r="429" spans="1:9" ht="13.7" customHeight="1">
      <c r="A429" s="518"/>
      <c r="B429" s="519" t="s">
        <v>2642</v>
      </c>
      <c r="C429" s="510"/>
      <c r="D429" s="1279" t="s">
        <v>1347</v>
      </c>
      <c r="E429" s="1279"/>
      <c r="F429" s="1279"/>
      <c r="I429" s="524"/>
    </row>
    <row r="430" spans="1:9" ht="14.25">
      <c r="A430" s="531"/>
      <c r="B430" s="531"/>
      <c r="C430" s="510"/>
      <c r="D430" s="1279"/>
      <c r="E430" s="1279"/>
      <c r="F430" s="1279"/>
      <c r="I430" s="524"/>
    </row>
    <row r="431" spans="1:9" ht="14.25">
      <c r="A431" s="531"/>
      <c r="B431" s="531"/>
      <c r="C431" s="510"/>
      <c r="D431" s="1279"/>
      <c r="E431" s="1279"/>
      <c r="F431" s="1279"/>
      <c r="I431" s="524"/>
    </row>
    <row r="432" spans="1:9" ht="14.25">
      <c r="A432" s="531"/>
      <c r="B432" s="531"/>
      <c r="C432" s="510"/>
      <c r="D432" s="1279"/>
      <c r="E432" s="1279"/>
      <c r="F432" s="1279"/>
      <c r="I432" s="524"/>
    </row>
    <row r="433" spans="1:9" ht="15.75" customHeight="1">
      <c r="A433" s="531"/>
      <c r="B433" s="531"/>
      <c r="C433" s="510"/>
      <c r="D433" s="1350" t="s">
        <v>2388</v>
      </c>
      <c r="E433" s="1279"/>
      <c r="F433" s="1279"/>
      <c r="I433" s="524"/>
    </row>
    <row r="434" spans="1:9">
      <c r="D434" s="480"/>
      <c r="E434" s="480"/>
      <c r="F434" s="480"/>
      <c r="I434" s="524"/>
    </row>
    <row r="435" spans="1:9" ht="14.25">
      <c r="A435" s="518"/>
      <c r="B435" s="519" t="s">
        <v>2641</v>
      </c>
      <c r="C435" s="521"/>
      <c r="D435" s="1297" t="s">
        <v>2371</v>
      </c>
      <c r="E435" s="1297"/>
      <c r="F435" s="1297"/>
      <c r="I435" s="524"/>
    </row>
    <row r="436" spans="1:9" ht="14.25">
      <c r="A436" s="518"/>
      <c r="B436" s="518"/>
      <c r="D436" s="1297"/>
      <c r="E436" s="1297"/>
      <c r="F436" s="1297"/>
      <c r="I436" s="524"/>
    </row>
    <row r="437" spans="1:9">
      <c r="D437" s="1297"/>
      <c r="E437" s="1297"/>
      <c r="F437" s="1297"/>
      <c r="I437" s="524"/>
    </row>
    <row r="438" spans="1:9">
      <c r="D438" s="1297"/>
      <c r="E438" s="1297"/>
      <c r="F438" s="1297"/>
      <c r="I438" s="524"/>
    </row>
    <row r="439" spans="1:9">
      <c r="D439" s="1297"/>
      <c r="E439" s="1297"/>
      <c r="F439" s="1297"/>
      <c r="I439" s="524"/>
    </row>
    <row r="440" spans="1:9">
      <c r="D440" s="1297"/>
      <c r="E440" s="1297"/>
      <c r="F440" s="1297"/>
      <c r="I440" s="524"/>
    </row>
    <row r="441" spans="1:9">
      <c r="D441" s="1297"/>
      <c r="E441" s="1297"/>
      <c r="F441" s="1297"/>
      <c r="I441" s="524"/>
    </row>
    <row r="442" spans="1:9">
      <c r="D442" s="1297"/>
      <c r="E442" s="1297"/>
      <c r="F442" s="1297"/>
      <c r="I442" s="524"/>
    </row>
    <row r="443" spans="1:9">
      <c r="D443" s="1297"/>
      <c r="E443" s="1297"/>
      <c r="F443" s="1297"/>
      <c r="I443" s="524"/>
    </row>
    <row r="444" spans="1:9">
      <c r="D444" s="1297"/>
      <c r="E444" s="1297"/>
      <c r="F444" s="1297"/>
      <c r="I444" s="524"/>
    </row>
    <row r="445" spans="1:9">
      <c r="D445" s="1297"/>
      <c r="E445" s="1297"/>
      <c r="F445" s="1297"/>
      <c r="I445" s="524"/>
    </row>
    <row r="446" spans="1:9">
      <c r="D446" s="1297"/>
      <c r="E446" s="1297"/>
      <c r="F446" s="1297"/>
      <c r="I446" s="524"/>
    </row>
    <row r="447" spans="1:9">
      <c r="D447" s="1297"/>
      <c r="E447" s="1297"/>
      <c r="F447" s="1297"/>
      <c r="I447" s="524"/>
    </row>
    <row r="448" spans="1:9">
      <c r="A448" s="433"/>
      <c r="B448" s="433"/>
      <c r="C448" s="433"/>
      <c r="D448" s="1297"/>
      <c r="E448" s="1297"/>
      <c r="F448" s="1297"/>
      <c r="I448" s="524"/>
    </row>
    <row r="449" spans="1:9">
      <c r="A449" s="433"/>
      <c r="B449" s="433"/>
      <c r="C449" s="433"/>
      <c r="D449" s="1297"/>
      <c r="E449" s="1297"/>
      <c r="F449" s="1297"/>
      <c r="I449" s="524"/>
    </row>
    <row r="450" spans="1:9">
      <c r="A450" s="433"/>
      <c r="B450" s="433"/>
      <c r="C450" s="433"/>
      <c r="D450" s="1297"/>
      <c r="E450" s="1297"/>
      <c r="F450" s="1297"/>
      <c r="I450" s="524"/>
    </row>
    <row r="451" spans="1:9">
      <c r="A451" s="433"/>
      <c r="B451" s="433"/>
      <c r="C451" s="433"/>
      <c r="D451" s="1297"/>
      <c r="E451" s="1297"/>
      <c r="F451" s="1297"/>
      <c r="I451" s="524"/>
    </row>
    <row r="452" spans="1:9">
      <c r="A452" s="433"/>
      <c r="B452" s="433"/>
      <c r="C452" s="433"/>
      <c r="D452" s="1297"/>
      <c r="E452" s="1297"/>
      <c r="F452" s="1297"/>
      <c r="I452" s="524"/>
    </row>
    <row r="453" spans="1:9">
      <c r="A453" s="433"/>
      <c r="B453" s="433"/>
      <c r="C453" s="433"/>
      <c r="D453" s="1297"/>
      <c r="E453" s="1297"/>
      <c r="F453" s="1297"/>
      <c r="I453" s="524"/>
    </row>
    <row r="454" spans="1:9">
      <c r="A454" s="433"/>
      <c r="B454" s="433"/>
      <c r="C454" s="433"/>
      <c r="D454" s="1297"/>
      <c r="E454" s="1297"/>
      <c r="F454" s="1297"/>
      <c r="I454" s="524"/>
    </row>
    <row r="455" spans="1:9">
      <c r="A455" s="433"/>
      <c r="B455" s="433"/>
      <c r="C455" s="433"/>
      <c r="D455" s="1297"/>
      <c r="E455" s="1297"/>
      <c r="F455" s="1297"/>
      <c r="I455" s="524"/>
    </row>
    <row r="456" spans="1:9">
      <c r="A456" s="433"/>
      <c r="B456" s="433"/>
      <c r="C456" s="433"/>
      <c r="D456" s="1297"/>
      <c r="E456" s="1297"/>
      <c r="F456" s="1297"/>
      <c r="I456" s="524"/>
    </row>
    <row r="457" spans="1:9">
      <c r="A457" s="433"/>
      <c r="B457" s="433"/>
      <c r="C457" s="433"/>
      <c r="D457" s="1297"/>
      <c r="E457" s="1297"/>
      <c r="F457" s="1297"/>
      <c r="I457" s="524"/>
    </row>
    <row r="458" spans="1:9">
      <c r="A458" s="433"/>
      <c r="B458" s="433"/>
      <c r="C458" s="433"/>
      <c r="D458" s="1297"/>
      <c r="E458" s="1297"/>
      <c r="F458" s="1297"/>
      <c r="I458" s="524"/>
    </row>
    <row r="459" spans="1:9">
      <c r="A459" s="433"/>
      <c r="B459" s="433"/>
      <c r="C459" s="433"/>
      <c r="D459" s="1297"/>
      <c r="E459" s="1297"/>
      <c r="F459" s="1297"/>
      <c r="I459" s="524"/>
    </row>
    <row r="460" spans="1:9">
      <c r="A460" s="433"/>
      <c r="B460" s="433"/>
      <c r="C460" s="433"/>
      <c r="D460" s="1297"/>
      <c r="E460" s="1297"/>
      <c r="F460" s="1297"/>
      <c r="I460" s="524"/>
    </row>
    <row r="461" spans="1:9">
      <c r="A461" s="433"/>
      <c r="B461" s="433"/>
      <c r="C461" s="433"/>
      <c r="D461" s="1297"/>
      <c r="E461" s="1297"/>
      <c r="F461" s="1297"/>
      <c r="I461" s="524"/>
    </row>
    <row r="462" spans="1:9">
      <c r="A462" s="433"/>
      <c r="B462" s="433"/>
      <c r="C462" s="433"/>
      <c r="D462" s="1297"/>
      <c r="E462" s="1297"/>
      <c r="F462" s="1297"/>
      <c r="I462" s="524"/>
    </row>
    <row r="463" spans="1:9">
      <c r="A463" s="433"/>
      <c r="B463" s="433"/>
      <c r="C463" s="433"/>
      <c r="D463" s="1297"/>
      <c r="E463" s="1297"/>
      <c r="F463" s="1297"/>
      <c r="I463" s="524"/>
    </row>
    <row r="464" spans="1:9">
      <c r="D464" s="1297"/>
      <c r="E464" s="1297"/>
      <c r="F464" s="1297"/>
      <c r="I464" s="524"/>
    </row>
    <row r="465" spans="1:9" ht="40.700000000000003" customHeight="1">
      <c r="D465" s="1297"/>
      <c r="E465" s="1297"/>
      <c r="F465" s="1297"/>
      <c r="I465" s="524"/>
    </row>
    <row r="466" spans="1:9">
      <c r="D466" s="480"/>
      <c r="E466" s="480"/>
      <c r="F466" s="480"/>
      <c r="I466" s="524"/>
    </row>
    <row r="467" spans="1:9" ht="14.25">
      <c r="A467" s="518"/>
      <c r="B467" s="519" t="s">
        <v>2641</v>
      </c>
      <c r="C467" s="521"/>
      <c r="D467" s="1297" t="s">
        <v>1233</v>
      </c>
      <c r="E467" s="1297"/>
      <c r="F467" s="1297"/>
      <c r="I467" s="524"/>
    </row>
    <row r="468" spans="1:9">
      <c r="D468" s="1297"/>
      <c r="E468" s="1297"/>
      <c r="F468" s="1297"/>
      <c r="I468" s="524"/>
    </row>
    <row r="469" spans="1:9">
      <c r="D469" s="1297"/>
      <c r="E469" s="1297"/>
      <c r="F469" s="1297"/>
      <c r="I469" s="524"/>
    </row>
    <row r="470" spans="1:9">
      <c r="D470" s="479"/>
      <c r="E470" s="479"/>
      <c r="F470" s="479"/>
      <c r="I470" s="524"/>
    </row>
    <row r="471" spans="1:9" ht="14.25">
      <c r="B471" s="519" t="s">
        <v>2641</v>
      </c>
      <c r="C471" s="518"/>
      <c r="D471" s="1297" t="s">
        <v>1303</v>
      </c>
      <c r="E471" s="1297"/>
      <c r="F471" s="1297"/>
      <c r="I471" s="524"/>
    </row>
    <row r="472" spans="1:9">
      <c r="D472" s="1297"/>
      <c r="E472" s="1297"/>
      <c r="F472" s="1297"/>
      <c r="I472" s="524"/>
    </row>
    <row r="473" spans="1:9">
      <c r="D473" s="480"/>
      <c r="E473" s="480"/>
      <c r="F473" s="480"/>
      <c r="I473" s="524"/>
    </row>
    <row r="474" spans="1:9" ht="14.25">
      <c r="B474" s="519" t="s">
        <v>2641</v>
      </c>
      <c r="C474" s="518"/>
      <c r="D474" s="1297" t="s">
        <v>1235</v>
      </c>
      <c r="E474" s="1297"/>
      <c r="F474" s="1297"/>
      <c r="I474" s="524"/>
    </row>
    <row r="475" spans="1:9">
      <c r="D475" s="1297"/>
      <c r="E475" s="1297"/>
      <c r="F475" s="1297"/>
      <c r="I475" s="524"/>
    </row>
    <row r="476" spans="1:9">
      <c r="D476" s="1297"/>
      <c r="E476" s="1297"/>
      <c r="F476" s="1297"/>
      <c r="I476" s="524"/>
    </row>
    <row r="477" spans="1:9">
      <c r="D477" s="1297"/>
      <c r="E477" s="1297"/>
      <c r="F477" s="1297"/>
      <c r="I477" s="524"/>
    </row>
    <row r="478" spans="1:9">
      <c r="B478" s="519" t="s">
        <v>2641</v>
      </c>
      <c r="D478" s="1297"/>
      <c r="E478" s="1297"/>
      <c r="F478" s="1297"/>
      <c r="I478" s="524"/>
    </row>
    <row r="479" spans="1:9">
      <c r="A479" s="433"/>
      <c r="B479" s="433"/>
      <c r="C479" s="433"/>
      <c r="D479" s="1297"/>
      <c r="E479" s="1297"/>
      <c r="F479" s="1297"/>
      <c r="I479" s="524"/>
    </row>
    <row r="480" spans="1:9">
      <c r="A480" s="433"/>
      <c r="C480" s="433"/>
      <c r="D480" s="1297"/>
      <c r="E480" s="1297"/>
      <c r="F480" s="1297"/>
      <c r="I480" s="524"/>
    </row>
    <row r="481" spans="1:9">
      <c r="A481" s="433"/>
      <c r="B481" s="519" t="s">
        <v>2641</v>
      </c>
      <c r="C481" s="433"/>
      <c r="D481" s="1297"/>
      <c r="E481" s="1297"/>
      <c r="F481" s="1297"/>
      <c r="I481" s="524"/>
    </row>
    <row r="482" spans="1:9">
      <c r="A482" s="433"/>
      <c r="B482" s="433"/>
      <c r="C482" s="433"/>
      <c r="D482" s="1297"/>
      <c r="E482" s="1297"/>
      <c r="F482" s="1297"/>
      <c r="I482" s="524"/>
    </row>
    <row r="483" spans="1:9">
      <c r="A483" s="433"/>
      <c r="C483" s="433"/>
      <c r="D483" s="1297"/>
      <c r="E483" s="1297"/>
      <c r="F483" s="1297"/>
      <c r="I483" s="524"/>
    </row>
    <row r="484" spans="1:9">
      <c r="A484" s="433"/>
      <c r="C484" s="433"/>
      <c r="D484" s="1297"/>
      <c r="E484" s="1297"/>
      <c r="F484" s="1297"/>
      <c r="I484" s="524"/>
    </row>
    <row r="485" spans="1:9">
      <c r="A485" s="433"/>
      <c r="C485" s="433"/>
      <c r="D485" s="1297"/>
      <c r="E485" s="1297"/>
      <c r="F485" s="1297"/>
      <c r="I485" s="524"/>
    </row>
    <row r="486" spans="1:9">
      <c r="A486" s="433"/>
      <c r="B486" s="519" t="s">
        <v>2641</v>
      </c>
      <c r="C486" s="433"/>
      <c r="D486" s="1297"/>
      <c r="E486" s="1297"/>
      <c r="F486" s="1297"/>
      <c r="I486" s="524"/>
    </row>
    <row r="487" spans="1:9">
      <c r="A487" s="433"/>
      <c r="C487" s="433"/>
      <c r="D487" s="1297"/>
      <c r="E487" s="1297"/>
      <c r="F487" s="1297"/>
      <c r="I487" s="524"/>
    </row>
    <row r="488" spans="1:9">
      <c r="A488" s="433"/>
      <c r="B488" s="519" t="s">
        <v>2641</v>
      </c>
      <c r="C488" s="433"/>
      <c r="D488" s="1297" t="s">
        <v>1236</v>
      </c>
      <c r="E488" s="1297"/>
      <c r="F488" s="1297"/>
      <c r="I488" s="524"/>
    </row>
    <row r="489" spans="1:9">
      <c r="A489" s="433"/>
      <c r="B489" s="433"/>
      <c r="C489" s="433"/>
      <c r="D489" s="1297"/>
      <c r="E489" s="1297"/>
      <c r="F489" s="1297"/>
      <c r="I489" s="524"/>
    </row>
    <row r="490" spans="1:9">
      <c r="A490" s="433"/>
      <c r="B490" s="433"/>
      <c r="C490" s="433"/>
      <c r="D490" s="1297"/>
      <c r="E490" s="1297"/>
      <c r="F490" s="1297"/>
      <c r="I490" s="524"/>
    </row>
    <row r="491" spans="1:9">
      <c r="A491" s="433"/>
      <c r="B491" s="433"/>
      <c r="C491" s="433"/>
      <c r="D491" s="1297"/>
      <c r="E491" s="1297"/>
      <c r="F491" s="1297"/>
      <c r="I491" s="524"/>
    </row>
    <row r="492" spans="1:9">
      <c r="D492" s="1297"/>
      <c r="E492" s="1297"/>
      <c r="F492" s="1297"/>
      <c r="I492" s="524"/>
    </row>
    <row r="493" spans="1:9">
      <c r="D493" s="480"/>
      <c r="E493" s="480"/>
      <c r="F493" s="480"/>
      <c r="I493" s="524"/>
    </row>
    <row r="494" spans="1:9">
      <c r="B494" s="519" t="s">
        <v>2641</v>
      </c>
      <c r="D494" s="1298" t="s">
        <v>1237</v>
      </c>
      <c r="E494" s="1298"/>
      <c r="F494" s="1298"/>
      <c r="I494" s="524"/>
    </row>
    <row r="495" spans="1:9">
      <c r="A495" s="480"/>
      <c r="B495" s="480"/>
      <c r="I495" s="524"/>
    </row>
    <row r="496" spans="1:9">
      <c r="A496" s="1285" t="s">
        <v>1078</v>
      </c>
      <c r="B496" s="1285"/>
      <c r="C496" s="1285"/>
      <c r="D496" s="1285"/>
      <c r="E496" s="1285"/>
      <c r="F496" s="1285"/>
      <c r="G496" s="1285"/>
      <c r="H496" s="1063"/>
      <c r="I496" s="1256"/>
    </row>
    <row r="497" spans="1:9">
      <c r="A497" s="480"/>
      <c r="B497" s="480"/>
      <c r="I497" s="524"/>
    </row>
    <row r="498" spans="1:9">
      <c r="D498" s="1282" t="s">
        <v>895</v>
      </c>
      <c r="E498" s="1282"/>
      <c r="F498" s="1282"/>
      <c r="I498" s="524"/>
    </row>
    <row r="499" spans="1:9" ht="14.25">
      <c r="A499" s="518"/>
      <c r="B499" s="518"/>
      <c r="D499" s="1283" t="s">
        <v>1238</v>
      </c>
      <c r="E499" s="1283"/>
      <c r="F499" s="1283"/>
      <c r="I499" s="524"/>
    </row>
    <row r="500" spans="1:9" ht="14.25">
      <c r="A500" s="518"/>
      <c r="B500" s="518"/>
      <c r="D500" s="481"/>
      <c r="I500" s="524"/>
    </row>
    <row r="501" spans="1:9" ht="14.25">
      <c r="A501" s="518"/>
      <c r="B501" s="519" t="s">
        <v>2642</v>
      </c>
      <c r="D501" s="1279" t="s">
        <v>1239</v>
      </c>
      <c r="E501" s="1279"/>
      <c r="F501" s="1279"/>
      <c r="I501" s="524" t="s">
        <v>2092</v>
      </c>
    </row>
    <row r="502" spans="1:9" ht="14.25">
      <c r="A502" s="518"/>
      <c r="B502" s="518"/>
      <c r="D502" s="1279"/>
      <c r="E502" s="1279"/>
      <c r="F502" s="1279"/>
      <c r="I502" s="524"/>
    </row>
    <row r="503" spans="1:9" ht="14.25">
      <c r="A503" s="518"/>
      <c r="B503" s="518"/>
      <c r="D503" s="480"/>
      <c r="I503" s="524"/>
    </row>
    <row r="504" spans="1:9" ht="12.75" customHeight="1">
      <c r="B504" s="519" t="s">
        <v>2642</v>
      </c>
      <c r="D504" s="1284" t="s">
        <v>1381</v>
      </c>
      <c r="E504" s="1284"/>
      <c r="F504" s="1284"/>
      <c r="I504" s="524" t="s">
        <v>2093</v>
      </c>
    </row>
    <row r="505" spans="1:9" ht="14.25">
      <c r="A505" s="518"/>
      <c r="D505" s="1284"/>
      <c r="E505" s="1284"/>
      <c r="F505" s="1284"/>
      <c r="I505" s="524"/>
    </row>
    <row r="506" spans="1:9" ht="14.25">
      <c r="A506" s="518"/>
      <c r="B506" s="518"/>
      <c r="D506" s="1284"/>
      <c r="E506" s="1284"/>
      <c r="F506" s="1284"/>
      <c r="I506" s="524"/>
    </row>
    <row r="507" spans="1:9" ht="14.25">
      <c r="A507" s="518"/>
      <c r="B507" s="518"/>
      <c r="D507" s="1284"/>
      <c r="E507" s="1284"/>
      <c r="F507" s="1284"/>
      <c r="I507" s="524"/>
    </row>
    <row r="508" spans="1:9" ht="14.25">
      <c r="A508" s="518"/>
      <c r="D508" s="554"/>
      <c r="E508" s="554"/>
      <c r="F508" s="554"/>
      <c r="I508" s="524"/>
    </row>
    <row r="509" spans="1:9" ht="14.25">
      <c r="A509" s="518"/>
      <c r="B509" s="519" t="s">
        <v>2641</v>
      </c>
      <c r="D509" s="1298" t="s">
        <v>1242</v>
      </c>
      <c r="E509" s="1298"/>
      <c r="F509" s="1298"/>
      <c r="I509" s="524" t="s">
        <v>2094</v>
      </c>
    </row>
    <row r="510" spans="1:9" ht="14.25">
      <c r="A510" s="518"/>
      <c r="B510" s="518"/>
      <c r="D510" s="480"/>
      <c r="I510" s="524"/>
    </row>
    <row r="511" spans="1:9" ht="14.25">
      <c r="A511" s="518"/>
      <c r="B511" s="519" t="s">
        <v>2642</v>
      </c>
      <c r="D511" s="1297" t="s">
        <v>1243</v>
      </c>
      <c r="E511" s="1297"/>
      <c r="F511" s="1297"/>
      <c r="I511" s="524" t="s">
        <v>2094</v>
      </c>
    </row>
    <row r="512" spans="1:9" ht="14.25">
      <c r="A512" s="518"/>
      <c r="D512" s="1297"/>
      <c r="E512" s="1297"/>
      <c r="F512" s="1297"/>
      <c r="I512" s="524"/>
    </row>
    <row r="513" spans="1:9">
      <c r="A513" s="524"/>
      <c r="B513" s="524"/>
      <c r="D513" s="481"/>
      <c r="I513" s="524"/>
    </row>
    <row r="514" spans="1:9">
      <c r="A514" s="524"/>
      <c r="B514" s="519" t="s">
        <v>2641</v>
      </c>
      <c r="D514" s="1298" t="s">
        <v>1244</v>
      </c>
      <c r="E514" s="1298"/>
      <c r="F514" s="1298"/>
      <c r="I514" s="524" t="s">
        <v>2147</v>
      </c>
    </row>
    <row r="515" spans="1:9" ht="14.25">
      <c r="A515" s="518"/>
      <c r="B515" s="518"/>
      <c r="D515" s="480"/>
      <c r="I515" s="524"/>
    </row>
    <row r="516" spans="1:9">
      <c r="A516" s="1285" t="s">
        <v>1079</v>
      </c>
      <c r="B516" s="1285"/>
      <c r="C516" s="1285"/>
      <c r="D516" s="1285"/>
      <c r="E516" s="1285"/>
      <c r="F516" s="1285"/>
      <c r="G516" s="1285"/>
      <c r="H516" s="1063"/>
      <c r="I516" s="1256"/>
    </row>
    <row r="517" spans="1:9" ht="12" customHeight="1">
      <c r="A517" s="518"/>
      <c r="B517" s="518"/>
      <c r="D517" s="480"/>
      <c r="I517" s="524"/>
    </row>
    <row r="518" spans="1:9">
      <c r="C518" s="516"/>
      <c r="D518" s="1296" t="s">
        <v>802</v>
      </c>
      <c r="E518" s="1296"/>
      <c r="F518" s="1296"/>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2642</v>
      </c>
      <c r="C522" s="517"/>
      <c r="D522" s="1279" t="s">
        <v>2372</v>
      </c>
      <c r="E522" s="1279"/>
      <c r="F522" s="1279"/>
      <c r="I522" s="524" t="s">
        <v>2129</v>
      </c>
    </row>
    <row r="523" spans="1:9">
      <c r="A523" s="517"/>
      <c r="B523" s="517"/>
      <c r="C523" s="517"/>
      <c r="D523" s="1279"/>
      <c r="E523" s="1279"/>
      <c r="F523" s="1279"/>
      <c r="I523" s="524"/>
    </row>
    <row r="524" spans="1:9">
      <c r="A524" s="517"/>
      <c r="B524" s="517"/>
      <c r="C524" s="517"/>
      <c r="D524" s="485"/>
      <c r="E524" s="485"/>
      <c r="F524" s="485"/>
      <c r="I524" s="514"/>
    </row>
    <row r="525" spans="1:9" ht="12.75" customHeight="1">
      <c r="A525" s="517"/>
      <c r="B525" s="519" t="s">
        <v>2642</v>
      </c>
      <c r="D525" s="417" t="s">
        <v>2202</v>
      </c>
      <c r="E525" s="416"/>
      <c r="F525" s="416"/>
      <c r="I525" s="524" t="s">
        <v>2095</v>
      </c>
    </row>
    <row r="526" spans="1:9">
      <c r="A526" s="517"/>
      <c r="B526" s="517"/>
      <c r="C526" s="517"/>
      <c r="D526" s="416"/>
      <c r="E526" s="96" t="s">
        <v>2203</v>
      </c>
      <c r="I526" s="524"/>
    </row>
    <row r="527" spans="1:9">
      <c r="A527" s="517"/>
      <c r="B527" s="517"/>
      <c r="D527" s="1327" t="s">
        <v>2373</v>
      </c>
      <c r="E527" s="1327"/>
      <c r="F527" s="1327"/>
      <c r="I527" s="524"/>
    </row>
    <row r="528" spans="1:9">
      <c r="A528" s="517"/>
      <c r="B528" s="517"/>
      <c r="D528" s="1327"/>
      <c r="E528" s="1327"/>
      <c r="F528" s="1327"/>
      <c r="I528" s="524"/>
    </row>
    <row r="529" spans="1:9">
      <c r="A529" s="517"/>
      <c r="B529" s="517"/>
      <c r="C529" s="517"/>
      <c r="D529" s="1327"/>
      <c r="E529" s="1327"/>
      <c r="F529" s="1327"/>
      <c r="I529" s="524"/>
    </row>
    <row r="530" spans="1:9">
      <c r="A530" s="517"/>
      <c r="B530" s="517"/>
      <c r="C530" s="517"/>
      <c r="D530" s="532"/>
      <c r="F530" s="480"/>
      <c r="I530" s="524"/>
    </row>
    <row r="531" spans="1:9" ht="13.15" customHeight="1">
      <c r="A531" s="517"/>
      <c r="B531" s="519" t="s">
        <v>2641</v>
      </c>
      <c r="C531" s="517"/>
      <c r="D531" s="1297" t="s">
        <v>2374</v>
      </c>
      <c r="E531" s="1297"/>
      <c r="F531" s="1297"/>
      <c r="I531" s="524" t="s">
        <v>2095</v>
      </c>
    </row>
    <row r="532" spans="1:9">
      <c r="A532" s="517"/>
      <c r="B532" s="517"/>
      <c r="C532" s="517"/>
      <c r="D532" s="1297"/>
      <c r="E532" s="1297"/>
      <c r="F532" s="1297"/>
      <c r="I532" s="524"/>
    </row>
    <row r="533" spans="1:9" ht="12" customHeight="1">
      <c r="A533" s="480"/>
      <c r="B533" s="480"/>
      <c r="C533" s="521"/>
      <c r="D533" s="480"/>
      <c r="F533" s="482"/>
      <c r="I533" s="524"/>
    </row>
    <row r="534" spans="1:9">
      <c r="A534" s="1285" t="s">
        <v>1080</v>
      </c>
      <c r="B534" s="1285"/>
      <c r="C534" s="1285"/>
      <c r="D534" s="1285"/>
      <c r="E534" s="1285"/>
      <c r="F534" s="1285"/>
      <c r="G534" s="1285"/>
      <c r="H534" s="1063"/>
      <c r="I534" s="1256"/>
    </row>
    <row r="535" spans="1:9">
      <c r="A535" s="480"/>
      <c r="B535" s="480"/>
      <c r="C535" s="521"/>
      <c r="F535" s="482"/>
      <c r="I535" s="524"/>
    </row>
    <row r="536" spans="1:9">
      <c r="B536" s="1300" t="s">
        <v>448</v>
      </c>
      <c r="C536" s="1300"/>
      <c r="D536" s="1300"/>
      <c r="E536" s="1300"/>
      <c r="F536" s="1300"/>
      <c r="I536" s="524"/>
    </row>
    <row r="537" spans="1:9">
      <c r="A537" s="480"/>
      <c r="B537" s="480"/>
      <c r="C537" s="521"/>
      <c r="D537" s="480"/>
      <c r="F537" s="480"/>
      <c r="I537" s="524"/>
    </row>
    <row r="538" spans="1:9">
      <c r="A538" s="1316" t="s">
        <v>1081</v>
      </c>
      <c r="B538" s="1316"/>
      <c r="C538" s="1316"/>
      <c r="D538" s="1316"/>
      <c r="E538" s="1316"/>
      <c r="F538" s="1316"/>
      <c r="G538" s="1316"/>
      <c r="H538" s="1063"/>
      <c r="I538" s="1256"/>
    </row>
    <row r="539" spans="1:9">
      <c r="A539" s="480"/>
      <c r="B539" s="480"/>
      <c r="C539" s="521"/>
      <c r="D539" s="480"/>
      <c r="F539" s="480"/>
      <c r="I539" s="524"/>
    </row>
    <row r="540" spans="1:9">
      <c r="C540" s="521"/>
      <c r="D540" s="1296" t="s">
        <v>691</v>
      </c>
      <c r="E540" s="1296"/>
      <c r="F540" s="1296"/>
      <c r="I540" s="524"/>
    </row>
    <row r="541" spans="1:9">
      <c r="C541" s="521"/>
      <c r="D541" s="1298" t="s">
        <v>1138</v>
      </c>
      <c r="E541" s="1298"/>
      <c r="F541" s="1298"/>
      <c r="I541" s="524"/>
    </row>
    <row r="542" spans="1:9">
      <c r="C542" s="521"/>
      <c r="D542" s="480"/>
      <c r="E542" s="480"/>
      <c r="F542" s="480"/>
      <c r="I542" s="524"/>
    </row>
    <row r="543" spans="1:9" ht="13.7" customHeight="1">
      <c r="A543" s="518"/>
      <c r="B543" s="519" t="s">
        <v>2642</v>
      </c>
      <c r="C543" s="521"/>
      <c r="D543" s="1298" t="s">
        <v>896</v>
      </c>
      <c r="E543" s="1298"/>
      <c r="F543" s="1298"/>
      <c r="I543" s="524" t="s">
        <v>2145</v>
      </c>
    </row>
    <row r="544" spans="1:9" ht="13.7" customHeight="1">
      <c r="A544" s="521"/>
      <c r="B544" s="521"/>
      <c r="C544" s="521"/>
      <c r="D544" s="480"/>
      <c r="I544" s="524"/>
    </row>
    <row r="545" spans="1:9" ht="14.25">
      <c r="A545" s="518"/>
      <c r="B545" s="519" t="s">
        <v>2642</v>
      </c>
      <c r="C545" s="521"/>
      <c r="D545" s="1297" t="s">
        <v>1139</v>
      </c>
      <c r="E545" s="1297"/>
      <c r="F545" s="1297"/>
      <c r="I545" s="524" t="s">
        <v>2145</v>
      </c>
    </row>
    <row r="546" spans="1:9">
      <c r="A546" s="521"/>
      <c r="B546" s="521"/>
      <c r="C546" s="521"/>
      <c r="D546" s="1297"/>
      <c r="E546" s="1297"/>
      <c r="F546" s="1297"/>
      <c r="I546" s="524"/>
    </row>
    <row r="547" spans="1:9">
      <c r="A547" s="521"/>
      <c r="B547" s="521"/>
      <c r="C547" s="521"/>
      <c r="D547" s="480"/>
      <c r="E547" s="480"/>
      <c r="F547" s="480"/>
      <c r="I547" s="524"/>
    </row>
    <row r="548" spans="1:9" ht="14.25">
      <c r="A548" s="518"/>
      <c r="B548" s="519" t="s">
        <v>2642</v>
      </c>
      <c r="C548" s="521"/>
      <c r="D548" s="1297" t="s">
        <v>1140</v>
      </c>
      <c r="E548" s="1297"/>
      <c r="F548" s="1297"/>
      <c r="I548" s="524" t="s">
        <v>2096</v>
      </c>
    </row>
    <row r="549" spans="1:9">
      <c r="A549" s="521"/>
      <c r="B549" s="521"/>
      <c r="C549" s="521"/>
      <c r="D549" s="1297"/>
      <c r="E549" s="1297"/>
      <c r="F549" s="1297"/>
      <c r="I549" s="524"/>
    </row>
    <row r="550" spans="1:9">
      <c r="A550" s="521"/>
      <c r="B550" s="521"/>
      <c r="C550" s="521"/>
      <c r="D550" s="480"/>
      <c r="E550" s="480"/>
      <c r="F550" s="480"/>
      <c r="I550" s="524"/>
    </row>
    <row r="551" spans="1:9" ht="14.25">
      <c r="A551" s="518"/>
      <c r="B551" s="519" t="s">
        <v>2642</v>
      </c>
      <c r="C551" s="521"/>
      <c r="D551" s="1297" t="s">
        <v>1141</v>
      </c>
      <c r="E551" s="1297"/>
      <c r="F551" s="1297"/>
      <c r="I551" s="524" t="s">
        <v>2097</v>
      </c>
    </row>
    <row r="552" spans="1:9">
      <c r="A552" s="521"/>
      <c r="B552" s="521"/>
      <c r="C552" s="521"/>
      <c r="D552" s="1297"/>
      <c r="E552" s="1297"/>
      <c r="F552" s="1297"/>
      <c r="I552" s="524"/>
    </row>
    <row r="553" spans="1:9">
      <c r="A553" s="521"/>
      <c r="B553" s="521"/>
      <c r="C553" s="521"/>
      <c r="D553" s="480"/>
      <c r="E553" s="480"/>
      <c r="F553" s="480"/>
      <c r="I553" s="524"/>
    </row>
    <row r="554" spans="1:9" ht="14.25">
      <c r="A554" s="518"/>
      <c r="B554" s="519" t="s">
        <v>2642</v>
      </c>
      <c r="C554" s="521"/>
      <c r="D554" s="1297" t="s">
        <v>1142</v>
      </c>
      <c r="E554" s="1297"/>
      <c r="F554" s="1297"/>
      <c r="I554" s="524" t="s">
        <v>2146</v>
      </c>
    </row>
    <row r="555" spans="1:9">
      <c r="A555" s="521"/>
      <c r="B555" s="521"/>
      <c r="C555" s="521"/>
      <c r="D555" s="1297"/>
      <c r="E555" s="1297"/>
      <c r="F555" s="1297"/>
      <c r="I555" s="524"/>
    </row>
    <row r="556" spans="1:9">
      <c r="A556" s="521"/>
      <c r="B556" s="521"/>
      <c r="C556" s="521"/>
      <c r="D556" s="1297"/>
      <c r="E556" s="1297"/>
      <c r="F556" s="1297"/>
      <c r="I556" s="524"/>
    </row>
    <row r="557" spans="1:9">
      <c r="A557" s="521"/>
      <c r="B557" s="521"/>
      <c r="C557" s="521"/>
      <c r="D557" s="480"/>
      <c r="E557" s="480"/>
      <c r="F557" s="480"/>
      <c r="I557" s="524"/>
    </row>
    <row r="558" spans="1:9" ht="14.25">
      <c r="A558" s="518"/>
      <c r="B558" s="519" t="s">
        <v>2641</v>
      </c>
      <c r="C558" s="521"/>
      <c r="D558" s="1297" t="s">
        <v>1260</v>
      </c>
      <c r="E558" s="1297"/>
      <c r="F558" s="1297"/>
      <c r="I558" s="524" t="s">
        <v>2145</v>
      </c>
    </row>
    <row r="559" spans="1:9">
      <c r="A559" s="521"/>
      <c r="B559" s="521"/>
      <c r="C559" s="521"/>
      <c r="D559" s="1297"/>
      <c r="E559" s="1297"/>
      <c r="F559" s="1297"/>
      <c r="I559" s="524"/>
    </row>
    <row r="560" spans="1:9">
      <c r="A560" s="521"/>
      <c r="B560" s="521"/>
      <c r="C560" s="521"/>
      <c r="D560" s="480"/>
      <c r="E560" s="480"/>
      <c r="F560" s="480"/>
      <c r="I560" s="524"/>
    </row>
    <row r="561" spans="1:9" ht="14.25">
      <c r="A561" s="518"/>
      <c r="B561" s="519" t="s">
        <v>2641</v>
      </c>
      <c r="C561" s="521"/>
      <c r="D561" s="1297" t="s">
        <v>1144</v>
      </c>
      <c r="E561" s="1297"/>
      <c r="F561" s="1297"/>
      <c r="I561" s="524" t="s">
        <v>2145</v>
      </c>
    </row>
    <row r="562" spans="1:9">
      <c r="A562" s="521"/>
      <c r="B562" s="521"/>
      <c r="C562" s="521"/>
      <c r="D562" s="1297"/>
      <c r="E562" s="1297"/>
      <c r="F562" s="1297"/>
      <c r="I562" s="524"/>
    </row>
    <row r="563" spans="1:9">
      <c r="A563" s="521"/>
      <c r="B563" s="521"/>
      <c r="C563" s="521"/>
      <c r="D563" s="480"/>
      <c r="E563" s="480"/>
      <c r="F563" s="480"/>
      <c r="I563" s="524"/>
    </row>
    <row r="564" spans="1:9" ht="14.25">
      <c r="A564" s="518"/>
      <c r="B564" s="519" t="s">
        <v>2642</v>
      </c>
      <c r="C564" s="521"/>
      <c r="D564" s="1298" t="s">
        <v>1145</v>
      </c>
      <c r="E564" s="1298"/>
      <c r="F564" s="1298"/>
      <c r="I564" s="524" t="s">
        <v>2148</v>
      </c>
    </row>
    <row r="565" spans="1:9">
      <c r="A565" s="524"/>
      <c r="B565" s="524"/>
      <c r="C565" s="521"/>
      <c r="D565" s="1298" t="s">
        <v>2205</v>
      </c>
      <c r="E565" s="1298"/>
      <c r="F565" s="1298"/>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2642</v>
      </c>
      <c r="C568" s="521"/>
      <c r="D568" s="1298" t="s">
        <v>1147</v>
      </c>
      <c r="E568" s="1298"/>
      <c r="F568" s="1298"/>
      <c r="I568" s="524" t="s">
        <v>2098</v>
      </c>
    </row>
    <row r="569" spans="1:9">
      <c r="C569" s="521"/>
      <c r="D569" s="1297" t="s">
        <v>1148</v>
      </c>
      <c r="E569" s="1297"/>
      <c r="F569" s="1297"/>
      <c r="I569" s="524"/>
    </row>
    <row r="570" spans="1:9">
      <c r="A570" s="521"/>
      <c r="B570" s="521"/>
      <c r="C570" s="521"/>
      <c r="D570" s="1297"/>
      <c r="E570" s="1297"/>
      <c r="F570" s="1297"/>
      <c r="I570" s="524"/>
    </row>
    <row r="571" spans="1:9">
      <c r="A571" s="521"/>
      <c r="B571" s="521"/>
      <c r="C571" s="521"/>
      <c r="D571" s="1297"/>
      <c r="E571" s="1297"/>
      <c r="F571" s="1297"/>
      <c r="I571" s="524"/>
    </row>
    <row r="572" spans="1:9">
      <c r="A572" s="521"/>
      <c r="B572" s="521"/>
      <c r="C572" s="521"/>
      <c r="D572" s="480"/>
      <c r="E572" s="480"/>
      <c r="F572" s="480"/>
      <c r="I572" s="524"/>
    </row>
    <row r="573" spans="1:9" ht="14.25">
      <c r="A573" s="518"/>
      <c r="B573" s="519" t="s">
        <v>2642</v>
      </c>
      <c r="C573" s="521"/>
      <c r="D573" s="1297" t="s">
        <v>2375</v>
      </c>
      <c r="E573" s="1297"/>
      <c r="F573" s="1297"/>
      <c r="I573" s="524" t="s">
        <v>2099</v>
      </c>
    </row>
    <row r="574" spans="1:9" ht="14.25">
      <c r="A574" s="518"/>
      <c r="B574" s="518"/>
      <c r="C574" s="521"/>
      <c r="D574" s="1297"/>
      <c r="E574" s="1297"/>
      <c r="F574" s="1297"/>
      <c r="I574" s="524"/>
    </row>
    <row r="575" spans="1:9" ht="14.25">
      <c r="A575" s="518"/>
      <c r="B575" s="518"/>
      <c r="C575" s="521"/>
      <c r="D575" s="1297"/>
      <c r="E575" s="1297"/>
      <c r="F575" s="1297"/>
      <c r="I575" s="524"/>
    </row>
    <row r="576" spans="1:9" ht="14.25">
      <c r="A576" s="518"/>
      <c r="B576" s="518"/>
      <c r="C576" s="521"/>
      <c r="D576" s="1297"/>
      <c r="E576" s="1297"/>
      <c r="F576" s="1297"/>
      <c r="I576" s="524"/>
    </row>
    <row r="577" spans="1:9" ht="14.25">
      <c r="A577" s="518"/>
      <c r="B577" s="518"/>
      <c r="C577" s="521"/>
      <c r="D577" s="480"/>
      <c r="E577" s="480"/>
      <c r="F577" s="480"/>
      <c r="I577" s="524"/>
    </row>
    <row r="578" spans="1:9">
      <c r="A578" s="1285" t="s">
        <v>1082</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299" t="s">
        <v>211</v>
      </c>
      <c r="E580" s="1299"/>
      <c r="F580" s="1299"/>
      <c r="I580" s="524"/>
    </row>
    <row r="581" spans="1:9">
      <c r="A581" s="517"/>
      <c r="B581" s="517"/>
      <c r="C581" s="517"/>
      <c r="D581" s="1284" t="s">
        <v>1098</v>
      </c>
      <c r="E581" s="1284"/>
      <c r="F581" s="1284"/>
      <c r="I581" s="524"/>
    </row>
    <row r="582" spans="1:9">
      <c r="A582" s="433"/>
      <c r="B582" s="433"/>
      <c r="C582" s="517"/>
      <c r="D582" s="533"/>
      <c r="I582" s="524" t="s">
        <v>2100</v>
      </c>
    </row>
    <row r="583" spans="1:9">
      <c r="A583" s="517"/>
      <c r="B583" s="519" t="s">
        <v>2642</v>
      </c>
      <c r="D583" s="1284" t="s">
        <v>902</v>
      </c>
      <c r="E583" s="1284"/>
      <c r="F583" s="1284"/>
      <c r="I583" s="524"/>
    </row>
    <row r="584" spans="1:9">
      <c r="A584" s="524"/>
      <c r="B584" s="524"/>
      <c r="D584" s="510"/>
      <c r="I584" s="524"/>
    </row>
    <row r="585" spans="1:9">
      <c r="A585" s="524"/>
      <c r="B585" s="519" t="s">
        <v>2642</v>
      </c>
      <c r="D585" s="1284" t="s">
        <v>2376</v>
      </c>
      <c r="E585" s="1284"/>
      <c r="F585" s="1284"/>
      <c r="I585" s="524" t="s">
        <v>2102</v>
      </c>
    </row>
    <row r="586" spans="1:9">
      <c r="A586" s="524"/>
      <c r="B586" s="524"/>
      <c r="D586" s="1284"/>
      <c r="E586" s="1284"/>
      <c r="F586" s="1284"/>
      <c r="I586" s="524" t="s">
        <v>2101</v>
      </c>
    </row>
    <row r="587" spans="1:9">
      <c r="A587" s="524"/>
      <c r="B587" s="524"/>
      <c r="D587" s="1284"/>
      <c r="E587" s="1284"/>
      <c r="F587" s="1284"/>
      <c r="I587" s="524"/>
    </row>
    <row r="588" spans="1:9">
      <c r="A588" s="524"/>
      <c r="B588" s="524"/>
      <c r="D588" s="1284"/>
      <c r="E588" s="1284"/>
      <c r="F588" s="1284"/>
      <c r="I588" s="524"/>
    </row>
    <row r="589" spans="1:9">
      <c r="A589" s="524"/>
      <c r="B589" s="519" t="s">
        <v>2641</v>
      </c>
      <c r="D589" s="1284" t="s">
        <v>1100</v>
      </c>
      <c r="E589" s="1284"/>
      <c r="F589" s="1284"/>
      <c r="I589" s="524"/>
    </row>
    <row r="590" spans="1:9">
      <c r="A590" s="524"/>
      <c r="B590" s="524"/>
      <c r="D590" s="1284"/>
      <c r="E590" s="1284"/>
      <c r="F590" s="1284"/>
      <c r="I590" s="524"/>
    </row>
    <row r="591" spans="1:9">
      <c r="A591" s="524"/>
      <c r="B591" s="524"/>
      <c r="D591" s="1284"/>
      <c r="E591" s="1284"/>
      <c r="F591" s="1284"/>
      <c r="I591" s="524"/>
    </row>
    <row r="592" spans="1:9">
      <c r="A592" s="524"/>
      <c r="B592" s="524"/>
      <c r="D592" s="1284"/>
      <c r="E592" s="1284"/>
      <c r="F592" s="1284"/>
      <c r="I592" s="524"/>
    </row>
    <row r="593" spans="1:9">
      <c r="A593" s="524"/>
      <c r="B593" s="524"/>
      <c r="D593" s="473"/>
      <c r="E593" s="473"/>
      <c r="F593" s="473"/>
      <c r="I593" s="524"/>
    </row>
    <row r="594" spans="1:9">
      <c r="A594" s="524"/>
      <c r="B594" s="519" t="s">
        <v>2642</v>
      </c>
      <c r="D594" s="1284" t="s">
        <v>2377</v>
      </c>
      <c r="E594" s="1284"/>
      <c r="F594" s="1284"/>
      <c r="I594" s="524"/>
    </row>
    <row r="595" spans="1:9">
      <c r="A595" s="524"/>
      <c r="B595" s="524"/>
      <c r="D595" s="1284"/>
      <c r="E595" s="1284"/>
      <c r="F595" s="1284"/>
      <c r="I595" s="524"/>
    </row>
    <row r="596" spans="1:9">
      <c r="A596" s="524"/>
      <c r="B596" s="524"/>
      <c r="D596" s="533"/>
      <c r="I596" s="524"/>
    </row>
    <row r="597" spans="1:9">
      <c r="A597" s="524"/>
      <c r="B597" s="519" t="s">
        <v>2641</v>
      </c>
      <c r="D597" s="1284" t="s">
        <v>1102</v>
      </c>
      <c r="E597" s="1284"/>
      <c r="F597" s="1284"/>
      <c r="I597" s="524" t="s">
        <v>2149</v>
      </c>
    </row>
    <row r="598" spans="1:9">
      <c r="A598" s="524"/>
      <c r="B598" s="524"/>
      <c r="D598" s="1284"/>
      <c r="E598" s="1284"/>
      <c r="F598" s="1284"/>
      <c r="I598" s="524"/>
    </row>
    <row r="599" spans="1:9" ht="14.25">
      <c r="A599" s="518"/>
      <c r="B599" s="518"/>
      <c r="D599" s="533"/>
      <c r="I599" s="524"/>
    </row>
    <row r="600" spans="1:9">
      <c r="A600" s="1285" t="s">
        <v>1083</v>
      </c>
      <c r="B600" s="1285"/>
      <c r="C600" s="1285"/>
      <c r="D600" s="1285"/>
      <c r="E600" s="1285"/>
      <c r="F600" s="1285"/>
      <c r="G600" s="1285"/>
      <c r="H600" s="1063"/>
      <c r="I600" s="1256"/>
    </row>
    <row r="601" spans="1:9">
      <c r="I601" s="524"/>
    </row>
    <row r="602" spans="1:9">
      <c r="D602" s="1296" t="s">
        <v>1183</v>
      </c>
      <c r="E602" s="1296"/>
      <c r="F602" s="1296"/>
      <c r="I602" s="524"/>
    </row>
    <row r="603" spans="1:9">
      <c r="D603" s="1319" t="s">
        <v>1184</v>
      </c>
      <c r="E603" s="1319"/>
      <c r="F603" s="1319"/>
      <c r="I603" s="524"/>
    </row>
    <row r="604" spans="1:9">
      <c r="D604" s="478"/>
      <c r="I604" s="524"/>
    </row>
    <row r="605" spans="1:9" ht="14.25" customHeight="1">
      <c r="A605" s="518"/>
      <c r="B605" s="519" t="s">
        <v>2642</v>
      </c>
      <c r="D605" s="1337" t="s">
        <v>2206</v>
      </c>
      <c r="E605" s="1337"/>
      <c r="F605" s="1337"/>
      <c r="I605" s="524" t="s">
        <v>2130</v>
      </c>
    </row>
    <row r="606" spans="1:9">
      <c r="D606" s="1337"/>
      <c r="E606" s="1337"/>
      <c r="F606" s="1337"/>
      <c r="I606" s="524"/>
    </row>
    <row r="607" spans="1:9">
      <c r="D607" s="416"/>
      <c r="E607" s="1071" t="s">
        <v>2207</v>
      </c>
      <c r="F607" s="416"/>
      <c r="I607" s="524"/>
    </row>
    <row r="608" spans="1:9">
      <c r="I608" s="524"/>
    </row>
    <row r="609" spans="1:9">
      <c r="A609" s="1285" t="s">
        <v>1084</v>
      </c>
      <c r="B609" s="1285"/>
      <c r="C609" s="1285"/>
      <c r="D609" s="1285"/>
      <c r="E609" s="1285"/>
      <c r="F609" s="1285"/>
      <c r="G609" s="1285"/>
      <c r="H609" s="1063"/>
      <c r="I609" s="1256"/>
    </row>
    <row r="610" spans="1:9">
      <c r="A610" s="480"/>
      <c r="B610" s="480"/>
      <c r="I610" s="524"/>
    </row>
    <row r="611" spans="1:9">
      <c r="A611" s="516"/>
      <c r="B611" s="516"/>
      <c r="C611" s="516"/>
      <c r="D611" s="1320" t="s">
        <v>1186</v>
      </c>
      <c r="E611" s="1320"/>
      <c r="F611" s="1320"/>
      <c r="I611" s="524"/>
    </row>
    <row r="612" spans="1:9">
      <c r="A612" s="516"/>
      <c r="B612" s="516"/>
      <c r="C612" s="516"/>
      <c r="D612" s="1320"/>
      <c r="E612" s="1320"/>
      <c r="F612" s="1320"/>
      <c r="I612" s="524"/>
    </row>
    <row r="613" spans="1:9">
      <c r="C613" s="517"/>
      <c r="D613" s="1319" t="s">
        <v>1187</v>
      </c>
      <c r="E613" s="1319"/>
      <c r="F613" s="1319"/>
      <c r="I613" s="524"/>
    </row>
    <row r="614" spans="1:9">
      <c r="C614" s="517"/>
      <c r="D614" s="478"/>
      <c r="E614" s="478"/>
      <c r="F614" s="478"/>
      <c r="I614" s="524"/>
    </row>
    <row r="615" spans="1:9" ht="12.75" customHeight="1">
      <c r="A615" s="524"/>
      <c r="B615" s="519" t="s">
        <v>2642</v>
      </c>
      <c r="D615" s="1295" t="s">
        <v>1188</v>
      </c>
      <c r="E615" s="1295"/>
      <c r="F615" s="1295"/>
      <c r="I615" s="524" t="s">
        <v>2150</v>
      </c>
    </row>
    <row r="616" spans="1:9">
      <c r="D616" s="1295"/>
      <c r="E616" s="1295"/>
      <c r="F616" s="1295"/>
      <c r="I616" s="524"/>
    </row>
    <row r="617" spans="1:9">
      <c r="I617" s="524"/>
    </row>
    <row r="618" spans="1:9">
      <c r="B618" s="519" t="s">
        <v>2642</v>
      </c>
      <c r="D618" s="1295" t="s">
        <v>1189</v>
      </c>
      <c r="E618" s="1295"/>
      <c r="F618" s="1295"/>
      <c r="I618" s="524" t="s">
        <v>2103</v>
      </c>
    </row>
    <row r="619" spans="1:9">
      <c r="C619" s="534"/>
      <c r="D619" s="1295"/>
      <c r="E619" s="1295"/>
      <c r="F619" s="1295"/>
      <c r="I619" s="524"/>
    </row>
    <row r="620" spans="1:9">
      <c r="C620" s="534"/>
      <c r="I620" s="524"/>
    </row>
    <row r="621" spans="1:9">
      <c r="B621" s="519" t="s">
        <v>2641</v>
      </c>
      <c r="C621" s="534"/>
      <c r="D621" s="1295" t="s">
        <v>1190</v>
      </c>
      <c r="E621" s="1295"/>
      <c r="F621" s="1295"/>
      <c r="I621" s="524" t="s">
        <v>2151</v>
      </c>
    </row>
    <row r="622" spans="1:9">
      <c r="C622" s="534"/>
      <c r="D622" s="1295"/>
      <c r="E622" s="1295"/>
      <c r="F622" s="1295"/>
      <c r="I622" s="534" t="s">
        <v>2152</v>
      </c>
    </row>
    <row r="623" spans="1:9">
      <c r="C623" s="534"/>
      <c r="I623" s="524"/>
    </row>
    <row r="624" spans="1:9">
      <c r="A624" s="1285" t="s">
        <v>1085</v>
      </c>
      <c r="B624" s="1285"/>
      <c r="C624" s="1285"/>
      <c r="D624" s="1285"/>
      <c r="E624" s="1285"/>
      <c r="F624" s="1285"/>
      <c r="G624" s="1285"/>
      <c r="H624" s="1063"/>
      <c r="I624" s="1256"/>
    </row>
    <row r="625" spans="1:9">
      <c r="A625" s="516"/>
      <c r="B625" s="516"/>
      <c r="C625" s="516"/>
      <c r="I625" s="524"/>
    </row>
    <row r="626" spans="1:9">
      <c r="C626" s="524"/>
      <c r="D626" s="1296" t="s">
        <v>1191</v>
      </c>
      <c r="E626" s="1296"/>
      <c r="F626" s="1296"/>
      <c r="I626" s="524"/>
    </row>
    <row r="627" spans="1:9">
      <c r="A627" s="524"/>
      <c r="B627" s="524"/>
      <c r="D627" s="435"/>
      <c r="I627" s="524"/>
    </row>
    <row r="628" spans="1:9" ht="14.25" customHeight="1">
      <c r="A628" s="518"/>
      <c r="B628" s="519" t="s">
        <v>2642</v>
      </c>
      <c r="D628" s="1337" t="s">
        <v>2378</v>
      </c>
      <c r="E628" s="1337"/>
      <c r="F628" s="1337"/>
      <c r="I628" s="524" t="s">
        <v>2131</v>
      </c>
    </row>
    <row r="629" spans="1:9">
      <c r="D629" s="1337"/>
      <c r="E629" s="1337"/>
      <c r="F629" s="1337"/>
      <c r="I629" s="524"/>
    </row>
    <row r="630" spans="1:9">
      <c r="D630" s="416"/>
      <c r="E630" s="1071" t="s">
        <v>2209</v>
      </c>
      <c r="F630" s="416"/>
      <c r="I630" s="524"/>
    </row>
    <row r="631" spans="1:9">
      <c r="D631" s="1297" t="s">
        <v>2208</v>
      </c>
      <c r="E631" s="1297"/>
      <c r="F631" s="1297"/>
      <c r="I631" s="524"/>
    </row>
    <row r="632" spans="1:9">
      <c r="D632" s="1297"/>
      <c r="E632" s="1297"/>
      <c r="F632" s="1297"/>
      <c r="I632" s="524"/>
    </row>
    <row r="633" spans="1:9">
      <c r="D633" s="1297"/>
      <c r="E633" s="1297"/>
      <c r="F633" s="1297"/>
      <c r="I633" s="524"/>
    </row>
    <row r="634" spans="1:9">
      <c r="D634" s="479"/>
      <c r="E634" s="479"/>
      <c r="F634" s="479"/>
      <c r="I634" s="524"/>
    </row>
    <row r="635" spans="1:9" ht="14.25">
      <c r="A635" s="518"/>
      <c r="B635" s="519" t="s">
        <v>2641</v>
      </c>
      <c r="D635" s="1297" t="s">
        <v>1193</v>
      </c>
      <c r="E635" s="1297"/>
      <c r="F635" s="1297"/>
      <c r="I635" s="524" t="s">
        <v>2153</v>
      </c>
    </row>
    <row r="636" spans="1:9">
      <c r="A636" s="521"/>
      <c r="B636" s="521"/>
      <c r="C636" s="521"/>
      <c r="D636" s="1297"/>
      <c r="E636" s="1297"/>
      <c r="F636" s="1297"/>
      <c r="I636" s="524"/>
    </row>
    <row r="637" spans="1:9">
      <c r="A637" s="521"/>
      <c r="B637" s="521"/>
      <c r="C637" s="521"/>
      <c r="D637" s="480"/>
      <c r="E637" s="480"/>
      <c r="F637" s="480"/>
      <c r="I637" s="524"/>
    </row>
    <row r="638" spans="1:9" ht="14.25">
      <c r="A638" s="518"/>
      <c r="B638" s="519" t="s">
        <v>2641</v>
      </c>
      <c r="C638" s="521"/>
      <c r="D638" s="1297" t="s">
        <v>1332</v>
      </c>
      <c r="E638" s="1297"/>
      <c r="F638" s="1297"/>
      <c r="I638" s="524" t="s">
        <v>2104</v>
      </c>
    </row>
    <row r="639" spans="1:9" ht="14.25">
      <c r="A639" s="518"/>
      <c r="B639" s="518"/>
      <c r="C639" s="521"/>
      <c r="D639" s="1297"/>
      <c r="E639" s="1297"/>
      <c r="F639" s="1297"/>
      <c r="I639" s="524"/>
    </row>
    <row r="640" spans="1:9" ht="14.25">
      <c r="A640" s="518"/>
      <c r="B640" s="518"/>
      <c r="C640" s="521"/>
      <c r="D640" s="1297"/>
      <c r="E640" s="1297"/>
      <c r="F640" s="1297"/>
      <c r="I640" s="524"/>
    </row>
    <row r="641" spans="1:9">
      <c r="A641" s="521"/>
      <c r="B641" s="519" t="s">
        <v>2641</v>
      </c>
      <c r="C641" s="521"/>
      <c r="D641" s="1298" t="s">
        <v>1195</v>
      </c>
      <c r="E641" s="1298"/>
      <c r="F641" s="1298"/>
      <c r="I641" s="524" t="s">
        <v>2104</v>
      </c>
    </row>
    <row r="642" spans="1:9">
      <c r="A642" s="521"/>
      <c r="B642" s="521"/>
      <c r="C642" s="521"/>
      <c r="D642" s="480"/>
      <c r="E642" s="480"/>
      <c r="F642" s="480"/>
      <c r="I642" s="524"/>
    </row>
    <row r="643" spans="1:9">
      <c r="A643" s="1285" t="s">
        <v>1086</v>
      </c>
      <c r="B643" s="1285"/>
      <c r="C643" s="1285"/>
      <c r="D643" s="1285"/>
      <c r="E643" s="1285"/>
      <c r="F643" s="1285"/>
      <c r="G643" s="1285"/>
      <c r="H643" s="1063"/>
      <c r="I643" s="1256"/>
    </row>
    <row r="644" spans="1:9">
      <c r="A644" s="480"/>
      <c r="B644" s="480"/>
      <c r="C644" s="521"/>
      <c r="D644" s="480"/>
      <c r="E644" s="480"/>
      <c r="F644" s="480"/>
      <c r="I644" s="524"/>
    </row>
    <row r="645" spans="1:9">
      <c r="C645" s="516"/>
      <c r="D645" s="1296" t="s">
        <v>1245</v>
      </c>
      <c r="E645" s="1296"/>
      <c r="F645" s="1296"/>
      <c r="I645" s="524"/>
    </row>
    <row r="646" spans="1:9">
      <c r="A646" s="517"/>
      <c r="B646" s="517"/>
      <c r="C646" s="517"/>
      <c r="D646" s="1298" t="s">
        <v>1246</v>
      </c>
      <c r="E646" s="1298"/>
      <c r="F646" s="1298"/>
      <c r="I646" s="524"/>
    </row>
    <row r="647" spans="1:9">
      <c r="A647" s="517"/>
      <c r="B647" s="517"/>
      <c r="C647" s="517"/>
      <c r="D647" s="480"/>
      <c r="E647" s="480"/>
      <c r="F647" s="480"/>
      <c r="I647" s="524"/>
    </row>
    <row r="648" spans="1:9" ht="12.75" customHeight="1">
      <c r="B648" s="519" t="s">
        <v>2641</v>
      </c>
      <c r="C648" s="521"/>
      <c r="D648" s="1297" t="s">
        <v>1389</v>
      </c>
      <c r="E648" s="1297"/>
      <c r="F648" s="1297"/>
      <c r="I648" s="524" t="s">
        <v>2156</v>
      </c>
    </row>
    <row r="649" spans="1:9">
      <c r="D649" s="1297"/>
      <c r="E649" s="1297"/>
      <c r="F649" s="1297"/>
      <c r="I649" s="524"/>
    </row>
    <row r="650" spans="1:9">
      <c r="D650" s="1297"/>
      <c r="E650" s="1297"/>
      <c r="F650" s="1297"/>
      <c r="I650" s="524"/>
    </row>
    <row r="651" spans="1:9">
      <c r="D651" s="1297"/>
      <c r="E651" s="1297"/>
      <c r="F651" s="1297"/>
      <c r="I651" s="524"/>
    </row>
    <row r="652" spans="1:9" ht="14.45" customHeight="1">
      <c r="A652" s="518"/>
      <c r="B652" s="518"/>
      <c r="C652" s="521"/>
      <c r="D652" s="416"/>
      <c r="E652" s="416"/>
      <c r="F652" s="416"/>
      <c r="I652" s="524"/>
    </row>
    <row r="653" spans="1:9" ht="12.75" customHeight="1">
      <c r="A653" s="517"/>
      <c r="B653" s="519" t="s">
        <v>2641</v>
      </c>
      <c r="C653" s="521"/>
      <c r="D653" s="1297" t="s">
        <v>1391</v>
      </c>
      <c r="E653" s="1297"/>
      <c r="F653" s="1297"/>
      <c r="I653" s="524" t="s">
        <v>2156</v>
      </c>
    </row>
    <row r="654" spans="1:9" ht="14.25">
      <c r="A654" s="517"/>
      <c r="B654" s="518"/>
      <c r="C654" s="521"/>
      <c r="D654" s="1297"/>
      <c r="E654" s="1297"/>
      <c r="F654" s="1297"/>
      <c r="I654" s="524"/>
    </row>
    <row r="655" spans="1:9" ht="14.25">
      <c r="A655" s="517"/>
      <c r="B655" s="518"/>
      <c r="C655" s="521"/>
      <c r="D655" s="1297"/>
      <c r="E655" s="1297"/>
      <c r="F655" s="1297"/>
      <c r="I655" s="524"/>
    </row>
    <row r="656" spans="1:9" ht="14.25">
      <c r="A656" s="517"/>
      <c r="B656" s="518"/>
      <c r="C656" s="521"/>
      <c r="D656" s="1297"/>
      <c r="E656" s="1297"/>
      <c r="F656" s="1297"/>
      <c r="I656" s="524"/>
    </row>
    <row r="657" spans="1:9" ht="14.25">
      <c r="A657" s="517"/>
      <c r="B657" s="518"/>
      <c r="C657" s="521"/>
      <c r="D657" s="1297"/>
      <c r="E657" s="1297"/>
      <c r="F657" s="1297"/>
      <c r="I657" s="524"/>
    </row>
    <row r="658" spans="1:9" ht="14.25" customHeight="1">
      <c r="A658" s="517"/>
      <c r="B658" s="518"/>
      <c r="C658" s="521"/>
      <c r="F658" s="417"/>
      <c r="I658" s="524"/>
    </row>
    <row r="659" spans="1:9" ht="12.75" customHeight="1">
      <c r="A659" s="517"/>
      <c r="B659" s="519" t="s">
        <v>2641</v>
      </c>
      <c r="C659" s="521"/>
      <c r="D659" s="1297" t="s">
        <v>1390</v>
      </c>
      <c r="E659" s="1297"/>
      <c r="F659" s="1297"/>
      <c r="I659" s="524" t="s">
        <v>2156</v>
      </c>
    </row>
    <row r="660" spans="1:9" ht="14.25">
      <c r="A660" s="517"/>
      <c r="B660" s="518"/>
      <c r="C660" s="521"/>
      <c r="D660" s="1297"/>
      <c r="E660" s="1297"/>
      <c r="F660" s="1297"/>
      <c r="I660" s="524"/>
    </row>
    <row r="661" spans="1:9" ht="14.25">
      <c r="A661" s="518"/>
      <c r="B661" s="518"/>
      <c r="C661" s="521"/>
      <c r="D661" s="1297"/>
      <c r="E661" s="1297"/>
      <c r="F661" s="1297"/>
      <c r="I661" s="524"/>
    </row>
    <row r="662" spans="1:9" ht="14.25">
      <c r="A662" s="518"/>
      <c r="B662" s="518"/>
      <c r="C662" s="521"/>
      <c r="D662" s="1297"/>
      <c r="E662" s="1297"/>
      <c r="F662" s="1297"/>
      <c r="I662" s="524"/>
    </row>
    <row r="663" spans="1:9" ht="14.25">
      <c r="A663" s="518"/>
      <c r="B663" s="518"/>
      <c r="C663" s="521"/>
      <c r="D663" s="479"/>
      <c r="E663" s="479"/>
      <c r="F663" s="479"/>
      <c r="I663" s="524"/>
    </row>
    <row r="664" spans="1:9" ht="12.75" customHeight="1">
      <c r="A664" s="517"/>
      <c r="B664" s="519" t="s">
        <v>2641</v>
      </c>
      <c r="C664" s="521"/>
      <c r="D664" s="1297" t="s">
        <v>2379</v>
      </c>
      <c r="E664" s="1297"/>
      <c r="F664" s="1297"/>
      <c r="I664" s="524" t="s">
        <v>2156</v>
      </c>
    </row>
    <row r="665" spans="1:9" ht="12.75" customHeight="1">
      <c r="A665" s="517"/>
      <c r="B665" s="518"/>
      <c r="C665" s="521"/>
      <c r="D665" s="1297"/>
      <c r="E665" s="1297"/>
      <c r="F665" s="1297"/>
      <c r="I665" s="524"/>
    </row>
    <row r="666" spans="1:9" ht="12.75" customHeight="1">
      <c r="A666" s="517"/>
      <c r="B666" s="518"/>
      <c r="C666" s="521"/>
      <c r="D666" s="1297"/>
      <c r="E666" s="1297"/>
      <c r="F666" s="1297"/>
      <c r="I666" s="524"/>
    </row>
    <row r="667" spans="1:9" ht="12.75" customHeight="1">
      <c r="A667" s="517"/>
      <c r="B667" s="518"/>
      <c r="C667" s="521"/>
      <c r="D667" s="1297"/>
      <c r="E667" s="1297"/>
      <c r="F667" s="1297"/>
      <c r="I667" s="524"/>
    </row>
    <row r="668" spans="1:9" ht="12.75" customHeight="1">
      <c r="A668" s="517"/>
      <c r="B668" s="518"/>
      <c r="C668" s="521"/>
      <c r="D668" s="1297"/>
      <c r="E668" s="1297"/>
      <c r="F668" s="1297"/>
      <c r="I668" s="524"/>
    </row>
    <row r="669" spans="1:9" ht="12.75" customHeight="1">
      <c r="A669" s="517"/>
      <c r="B669" s="518"/>
      <c r="C669" s="521"/>
      <c r="D669" s="1297"/>
      <c r="E669" s="1297"/>
      <c r="F669" s="1297"/>
      <c r="I669" s="524"/>
    </row>
    <row r="670" spans="1:9" ht="12.75" customHeight="1">
      <c r="A670" s="517"/>
      <c r="B670" s="518"/>
      <c r="C670" s="521"/>
      <c r="D670" s="1297"/>
      <c r="E670" s="1297"/>
      <c r="F670" s="1297"/>
      <c r="I670" s="524"/>
    </row>
    <row r="671" spans="1:9" ht="12.75" customHeight="1">
      <c r="A671" s="517"/>
      <c r="B671" s="518"/>
      <c r="C671" s="521"/>
      <c r="D671" s="1297"/>
      <c r="E671" s="1297"/>
      <c r="F671" s="1297"/>
      <c r="I671" s="524"/>
    </row>
    <row r="672" spans="1:9" ht="12.75" customHeight="1">
      <c r="A672" s="517"/>
      <c r="B672" s="518"/>
      <c r="C672" s="521"/>
      <c r="D672" s="1297"/>
      <c r="E672" s="1297"/>
      <c r="F672" s="1297"/>
      <c r="I672" s="524"/>
    </row>
    <row r="673" spans="1:11">
      <c r="A673" s="521"/>
      <c r="B673" s="521"/>
      <c r="C673" s="521"/>
      <c r="D673" s="480"/>
      <c r="E673" s="480"/>
      <c r="F673" s="480"/>
      <c r="I673" s="524"/>
    </row>
    <row r="674" spans="1:11">
      <c r="A674" s="1285" t="s">
        <v>1087</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96" t="s">
        <v>99</v>
      </c>
      <c r="E676" s="1296"/>
      <c r="F676" s="1296"/>
      <c r="H676" s="535"/>
      <c r="I676" s="517"/>
      <c r="J676" s="535"/>
      <c r="K676" s="535"/>
    </row>
    <row r="677" spans="1:11">
      <c r="A677" s="516"/>
      <c r="B677" s="516"/>
      <c r="C677" s="516"/>
      <c r="D677" s="1296" t="s">
        <v>123</v>
      </c>
      <c r="E677" s="1296"/>
      <c r="F677" s="1296"/>
      <c r="H677" s="535"/>
      <c r="I677" s="517"/>
      <c r="J677" s="535"/>
      <c r="K677" s="535"/>
    </row>
    <row r="678" spans="1:11">
      <c r="A678" s="517"/>
      <c r="B678" s="517"/>
      <c r="C678" s="517"/>
      <c r="D678" s="1298" t="s">
        <v>1123</v>
      </c>
      <c r="E678" s="1298"/>
      <c r="F678" s="1298"/>
      <c r="H678" s="535"/>
      <c r="I678" s="517"/>
      <c r="J678" s="535"/>
      <c r="K678" s="535"/>
    </row>
    <row r="679" spans="1:11">
      <c r="A679" s="517"/>
      <c r="B679" s="517"/>
      <c r="C679" s="517"/>
      <c r="H679" s="535"/>
      <c r="I679" s="517"/>
      <c r="J679" s="535"/>
      <c r="K679" s="535"/>
    </row>
    <row r="680" spans="1:11" ht="14.25">
      <c r="A680" s="518"/>
      <c r="B680" s="519" t="s">
        <v>2641</v>
      </c>
      <c r="C680" s="517"/>
      <c r="D680" s="1298" t="s">
        <v>898</v>
      </c>
      <c r="E680" s="1298"/>
      <c r="F680" s="1298"/>
      <c r="H680" s="535"/>
      <c r="I680" s="517" t="s">
        <v>2132</v>
      </c>
      <c r="J680" s="535"/>
      <c r="K680" s="535"/>
    </row>
    <row r="681" spans="1:11">
      <c r="A681" s="517"/>
      <c r="B681" s="517"/>
      <c r="C681" s="517"/>
      <c r="D681" s="1298" t="s">
        <v>908</v>
      </c>
      <c r="E681" s="1298"/>
      <c r="F681" s="1298"/>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2641</v>
      </c>
      <c r="C685" s="517"/>
      <c r="D685" s="1297" t="s">
        <v>2380</v>
      </c>
      <c r="E685" s="1297"/>
      <c r="F685" s="1297"/>
      <c r="H685" s="535"/>
      <c r="I685" s="517" t="s">
        <v>2154</v>
      </c>
      <c r="J685" s="535"/>
      <c r="K685" s="535"/>
    </row>
    <row r="686" spans="1:11">
      <c r="A686" s="524"/>
      <c r="B686" s="524"/>
      <c r="C686" s="517"/>
      <c r="D686" s="1297"/>
      <c r="E686" s="1297"/>
      <c r="F686" s="1297"/>
      <c r="H686" s="535"/>
      <c r="I686" s="517"/>
      <c r="J686" s="535"/>
      <c r="K686" s="535"/>
    </row>
    <row r="687" spans="1:11">
      <c r="A687" s="517"/>
      <c r="B687" s="517"/>
      <c r="C687" s="517"/>
      <c r="D687" s="1297"/>
      <c r="E687" s="1297"/>
      <c r="F687" s="1297"/>
      <c r="H687" s="535"/>
      <c r="I687" s="517"/>
      <c r="J687" s="535"/>
      <c r="K687" s="535"/>
    </row>
    <row r="688" spans="1:11">
      <c r="A688" s="517"/>
      <c r="B688" s="517"/>
      <c r="C688" s="517"/>
      <c r="H688" s="535"/>
      <c r="I688" s="517" t="s">
        <v>2133</v>
      </c>
      <c r="J688" s="535"/>
      <c r="K688" s="535"/>
    </row>
    <row r="689" spans="1:11" ht="14.25">
      <c r="A689" s="518"/>
      <c r="B689" s="519" t="s">
        <v>2641</v>
      </c>
      <c r="C689" s="517"/>
      <c r="D689" s="1298" t="s">
        <v>936</v>
      </c>
      <c r="E689" s="1298"/>
      <c r="F689" s="1298"/>
      <c r="H689" s="535"/>
      <c r="I689" s="517"/>
      <c r="J689" s="535"/>
      <c r="K689" s="535"/>
    </row>
    <row r="690" spans="1:11" ht="14.25">
      <c r="A690" s="518"/>
      <c r="B690" s="518"/>
      <c r="C690" s="517"/>
      <c r="D690" s="1298" t="s">
        <v>908</v>
      </c>
      <c r="E690" s="1298"/>
      <c r="F690" s="1298"/>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2641</v>
      </c>
      <c r="C693" s="517"/>
      <c r="D693" s="1297" t="s">
        <v>1136</v>
      </c>
      <c r="E693" s="1297"/>
      <c r="F693" s="1297"/>
      <c r="H693" s="535"/>
      <c r="I693" s="517" t="s">
        <v>2105</v>
      </c>
      <c r="J693" s="535"/>
      <c r="K693" s="535"/>
    </row>
    <row r="694" spans="1:11">
      <c r="A694" s="517"/>
      <c r="B694" s="517"/>
      <c r="C694" s="517"/>
      <c r="D694" s="1297"/>
      <c r="E694" s="1297"/>
      <c r="F694" s="1297"/>
      <c r="H694" s="535"/>
      <c r="I694" s="517"/>
      <c r="J694" s="535"/>
      <c r="K694" s="535"/>
    </row>
    <row r="695" spans="1:11">
      <c r="A695" s="517"/>
      <c r="B695" s="517"/>
      <c r="C695" s="517"/>
      <c r="D695" s="1297"/>
      <c r="E695" s="1297"/>
      <c r="F695" s="1297"/>
      <c r="H695" s="535"/>
      <c r="I695" s="517"/>
      <c r="J695" s="535"/>
      <c r="K695" s="535"/>
    </row>
    <row r="696" spans="1:11">
      <c r="A696" s="517"/>
      <c r="B696" s="517"/>
      <c r="C696" s="517"/>
      <c r="D696" s="1297"/>
      <c r="E696" s="1297"/>
      <c r="F696" s="1297"/>
      <c r="H696" s="535"/>
      <c r="I696" s="517"/>
      <c r="J696" s="535"/>
      <c r="K696" s="535"/>
    </row>
    <row r="697" spans="1:11">
      <c r="A697" s="517"/>
      <c r="B697" s="517"/>
      <c r="C697" s="517"/>
      <c r="D697" s="1297"/>
      <c r="E697" s="1297"/>
      <c r="F697" s="1297"/>
      <c r="H697" s="535"/>
      <c r="I697" s="517"/>
      <c r="J697" s="535"/>
      <c r="K697" s="535"/>
    </row>
    <row r="698" spans="1:11">
      <c r="A698" s="517"/>
      <c r="B698" s="517"/>
      <c r="C698" s="517"/>
      <c r="D698" s="1297"/>
      <c r="E698" s="1297"/>
      <c r="F698" s="1297"/>
      <c r="H698" s="535"/>
      <c r="I698" s="517"/>
      <c r="J698" s="535"/>
      <c r="K698" s="535"/>
    </row>
    <row r="699" spans="1:11">
      <c r="A699" s="517"/>
      <c r="B699" s="517"/>
      <c r="C699" s="517"/>
      <c r="D699" s="479"/>
      <c r="E699" s="479"/>
      <c r="F699" s="479"/>
      <c r="H699" s="535"/>
      <c r="I699" s="517"/>
      <c r="J699" s="535"/>
      <c r="K699" s="535"/>
    </row>
    <row r="700" spans="1:11">
      <c r="A700" s="517"/>
      <c r="B700" s="519" t="s">
        <v>2641</v>
      </c>
      <c r="C700" s="517"/>
      <c r="D700" s="1297" t="s">
        <v>1307</v>
      </c>
      <c r="E700" s="1297"/>
      <c r="F700" s="1297"/>
      <c r="H700" s="535"/>
      <c r="I700" s="517" t="s">
        <v>2105</v>
      </c>
      <c r="J700" s="535"/>
      <c r="K700" s="535"/>
    </row>
    <row r="701" spans="1:11">
      <c r="A701" s="517"/>
      <c r="B701" s="517"/>
      <c r="C701" s="517"/>
      <c r="D701" s="1297"/>
      <c r="E701" s="1297"/>
      <c r="F701" s="1297"/>
      <c r="H701" s="535"/>
      <c r="I701" s="517"/>
      <c r="J701" s="535"/>
      <c r="K701" s="535"/>
    </row>
    <row r="702" spans="1:11">
      <c r="A702" s="517"/>
      <c r="B702" s="517"/>
      <c r="C702" s="517"/>
      <c r="D702" s="479"/>
      <c r="E702" s="479"/>
      <c r="F702" s="479"/>
      <c r="H702" s="535"/>
      <c r="I702" s="517"/>
      <c r="J702" s="535"/>
      <c r="K702" s="535"/>
    </row>
    <row r="703" spans="1:11" ht="14.25">
      <c r="A703" s="518"/>
      <c r="B703" s="519" t="s">
        <v>2641</v>
      </c>
      <c r="C703" s="517"/>
      <c r="D703" s="1297" t="s">
        <v>1127</v>
      </c>
      <c r="E703" s="1297"/>
      <c r="F703" s="1297"/>
      <c r="H703" s="535"/>
      <c r="I703" s="517" t="s">
        <v>2105</v>
      </c>
      <c r="J703" s="535"/>
      <c r="K703" s="535"/>
    </row>
    <row r="704" spans="1:11">
      <c r="A704" s="517"/>
      <c r="B704" s="517"/>
      <c r="C704" s="517"/>
      <c r="D704" s="1297"/>
      <c r="E704" s="1297"/>
      <c r="F704" s="1297"/>
      <c r="H704" s="535"/>
      <c r="I704" s="517"/>
      <c r="J704" s="535"/>
      <c r="K704" s="535"/>
    </row>
    <row r="705" spans="1:11">
      <c r="A705" s="517"/>
      <c r="B705" s="517"/>
      <c r="C705" s="517"/>
      <c r="D705" s="1297"/>
      <c r="E705" s="1297"/>
      <c r="F705" s="1297"/>
      <c r="H705" s="535"/>
      <c r="I705" s="517"/>
      <c r="J705" s="535"/>
      <c r="K705" s="535"/>
    </row>
    <row r="706" spans="1:11" ht="15" customHeight="1">
      <c r="A706" s="517"/>
      <c r="B706" s="517"/>
      <c r="C706" s="517"/>
      <c r="D706" s="1297"/>
      <c r="E706" s="1297"/>
      <c r="F706" s="1297"/>
      <c r="H706" s="535"/>
      <c r="I706" s="517"/>
      <c r="J706" s="535"/>
      <c r="K706" s="535"/>
    </row>
    <row r="707" spans="1:11" ht="15" customHeight="1">
      <c r="A707" s="517"/>
      <c r="B707" s="517"/>
      <c r="C707" s="517"/>
      <c r="D707" s="1297"/>
      <c r="E707" s="1297"/>
      <c r="F707" s="1297"/>
      <c r="H707" s="535"/>
      <c r="I707" s="517"/>
      <c r="J707" s="535"/>
      <c r="K707" s="535"/>
    </row>
    <row r="708" spans="1:11">
      <c r="A708" s="517"/>
      <c r="B708" s="517"/>
      <c r="C708" s="517"/>
      <c r="D708" s="1297"/>
      <c r="E708" s="1297"/>
      <c r="F708" s="1297"/>
      <c r="H708" s="535"/>
      <c r="I708" s="517"/>
      <c r="J708" s="535"/>
      <c r="K708" s="535"/>
    </row>
    <row r="709" spans="1:11">
      <c r="A709" s="517"/>
      <c r="B709" s="517"/>
      <c r="C709" s="517"/>
      <c r="D709" s="1297"/>
      <c r="E709" s="1297"/>
      <c r="F709" s="1297"/>
      <c r="H709" s="535"/>
      <c r="I709" s="517"/>
      <c r="J709" s="535"/>
      <c r="K709" s="535"/>
    </row>
    <row r="710" spans="1:11">
      <c r="A710" s="517"/>
      <c r="B710" s="517"/>
      <c r="C710" s="517"/>
      <c r="D710" s="1297"/>
      <c r="E710" s="1297"/>
      <c r="F710" s="1297"/>
      <c r="H710" s="535"/>
      <c r="I710" s="517"/>
      <c r="J710" s="535"/>
      <c r="K710" s="535"/>
    </row>
    <row r="711" spans="1:11" ht="15" customHeight="1">
      <c r="A711" s="517"/>
      <c r="B711" s="517"/>
      <c r="C711" s="517"/>
      <c r="D711" s="1297"/>
      <c r="E711" s="1297"/>
      <c r="F711" s="1297"/>
      <c r="H711" s="535"/>
      <c r="I711" s="517"/>
      <c r="J711" s="535"/>
      <c r="K711" s="535"/>
    </row>
    <row r="712" spans="1:11">
      <c r="A712" s="517"/>
      <c r="B712" s="517"/>
      <c r="C712" s="517"/>
      <c r="D712" s="1297"/>
      <c r="E712" s="1297"/>
      <c r="F712" s="1297"/>
      <c r="H712" s="535"/>
      <c r="I712" s="517"/>
      <c r="J712" s="535"/>
      <c r="K712" s="535"/>
    </row>
    <row r="713" spans="1:11">
      <c r="A713" s="517"/>
      <c r="B713" s="517"/>
      <c r="C713" s="517"/>
      <c r="D713" s="1297"/>
      <c r="E713" s="1297"/>
      <c r="F713" s="1297"/>
      <c r="H713" s="535"/>
      <c r="I713" s="517"/>
      <c r="J713" s="535"/>
      <c r="K713" s="535"/>
    </row>
    <row r="714" spans="1:11">
      <c r="A714" s="517"/>
      <c r="B714" s="517"/>
      <c r="C714" s="517"/>
      <c r="D714" s="1297"/>
      <c r="E714" s="1297"/>
      <c r="F714" s="1297"/>
      <c r="H714" s="535"/>
      <c r="I714" s="517"/>
      <c r="J714" s="535"/>
      <c r="K714" s="535"/>
    </row>
    <row r="715" spans="1:11">
      <c r="A715" s="517"/>
      <c r="B715" s="517"/>
      <c r="C715" s="517"/>
      <c r="D715" s="1297"/>
      <c r="E715" s="1297"/>
      <c r="F715" s="1297"/>
      <c r="H715" s="535"/>
      <c r="I715" s="517"/>
      <c r="J715" s="535"/>
      <c r="K715" s="535"/>
    </row>
    <row r="716" spans="1:11">
      <c r="A716" s="517"/>
      <c r="B716" s="519" t="s">
        <v>2641</v>
      </c>
      <c r="C716" s="517"/>
      <c r="D716" s="1297" t="s">
        <v>1134</v>
      </c>
      <c r="E716" s="1297"/>
      <c r="F716" s="1297"/>
      <c r="H716" s="535"/>
      <c r="I716" s="517" t="s">
        <v>2155</v>
      </c>
      <c r="J716" s="535"/>
      <c r="K716" s="535"/>
    </row>
    <row r="717" spans="1:11">
      <c r="A717" s="517"/>
      <c r="B717" s="517"/>
      <c r="C717" s="517"/>
      <c r="D717" s="1297"/>
      <c r="E717" s="1297"/>
      <c r="F717" s="1297"/>
      <c r="H717" s="535"/>
      <c r="I717" s="517"/>
      <c r="J717" s="535"/>
      <c r="K717" s="535"/>
    </row>
    <row r="718" spans="1:11">
      <c r="A718" s="517"/>
      <c r="B718" s="517"/>
      <c r="C718" s="517"/>
      <c r="D718" s="479"/>
      <c r="E718" s="479"/>
      <c r="F718" s="479"/>
      <c r="H718" s="535"/>
      <c r="I718" s="517"/>
      <c r="J718" s="535"/>
      <c r="K718" s="535"/>
    </row>
    <row r="719" spans="1:11">
      <c r="A719" s="517"/>
      <c r="B719" s="519" t="s">
        <v>2641</v>
      </c>
      <c r="C719" s="517"/>
      <c r="D719" s="1297" t="s">
        <v>1128</v>
      </c>
      <c r="E719" s="1297"/>
      <c r="F719" s="1297"/>
      <c r="H719" s="535"/>
      <c r="I719" s="517" t="s">
        <v>2155</v>
      </c>
      <c r="J719" s="535"/>
      <c r="K719" s="535"/>
    </row>
    <row r="720" spans="1:11">
      <c r="A720" s="517"/>
      <c r="B720" s="517"/>
      <c r="C720" s="517"/>
      <c r="D720" s="1297"/>
      <c r="E720" s="1297"/>
      <c r="F720" s="1297"/>
      <c r="H720" s="535"/>
      <c r="I720" s="517"/>
      <c r="J720" s="535"/>
      <c r="K720" s="535"/>
    </row>
    <row r="721" spans="1:11">
      <c r="A721" s="517"/>
      <c r="B721" s="517"/>
      <c r="C721" s="517"/>
      <c r="D721" s="1297"/>
      <c r="E721" s="1297"/>
      <c r="F721" s="1297"/>
      <c r="H721" s="535"/>
      <c r="I721" s="517"/>
      <c r="J721" s="535"/>
      <c r="K721" s="535"/>
    </row>
    <row r="722" spans="1:11">
      <c r="A722" s="517"/>
      <c r="B722" s="517"/>
      <c r="C722" s="517"/>
      <c r="H722" s="535"/>
      <c r="I722" s="517"/>
      <c r="J722" s="535"/>
      <c r="K722" s="535"/>
    </row>
    <row r="723" spans="1:11">
      <c r="A723" s="517"/>
      <c r="B723" s="519" t="s">
        <v>2641</v>
      </c>
      <c r="C723" s="517"/>
      <c r="D723" s="1297" t="s">
        <v>1129</v>
      </c>
      <c r="E723" s="1297"/>
      <c r="F723" s="1297"/>
      <c r="H723" s="535"/>
      <c r="I723" s="517" t="s">
        <v>2155</v>
      </c>
      <c r="J723" s="535"/>
      <c r="K723" s="535"/>
    </row>
    <row r="724" spans="1:11">
      <c r="A724" s="517"/>
      <c r="B724" s="517"/>
      <c r="C724" s="517"/>
      <c r="D724" s="1297"/>
      <c r="E724" s="1297"/>
      <c r="F724" s="1297"/>
      <c r="H724" s="535"/>
      <c r="I724" s="517"/>
      <c r="J724" s="535"/>
      <c r="K724" s="535"/>
    </row>
    <row r="725" spans="1:11">
      <c r="A725" s="517"/>
      <c r="B725" s="517"/>
      <c r="C725" s="517"/>
      <c r="D725" s="1297"/>
      <c r="E725" s="1297"/>
      <c r="F725" s="1297"/>
      <c r="H725" s="535"/>
      <c r="I725" s="517"/>
      <c r="J725" s="535"/>
      <c r="K725" s="535"/>
    </row>
    <row r="726" spans="1:11">
      <c r="A726" s="517"/>
      <c r="B726" s="517"/>
      <c r="C726" s="517"/>
      <c r="H726" s="535"/>
      <c r="I726" s="517"/>
      <c r="J726" s="535"/>
      <c r="K726" s="535"/>
    </row>
    <row r="727" spans="1:11" ht="14.25">
      <c r="A727" s="518"/>
      <c r="B727" s="519" t="s">
        <v>2641</v>
      </c>
      <c r="C727" s="517"/>
      <c r="D727" s="1297" t="s">
        <v>1130</v>
      </c>
      <c r="E727" s="1297"/>
      <c r="F727" s="1297"/>
      <c r="H727" s="535"/>
      <c r="I727" s="517" t="s">
        <v>2106</v>
      </c>
      <c r="J727" s="535"/>
      <c r="K727" s="535"/>
    </row>
    <row r="728" spans="1:11">
      <c r="A728" s="517"/>
      <c r="B728" s="517"/>
      <c r="C728" s="517"/>
      <c r="D728" s="1297"/>
      <c r="E728" s="1297"/>
      <c r="F728" s="1297"/>
      <c r="H728" s="535"/>
      <c r="I728" s="517"/>
      <c r="J728" s="535"/>
      <c r="K728" s="535"/>
    </row>
    <row r="729" spans="1:11">
      <c r="A729" s="517"/>
      <c r="B729" s="517"/>
      <c r="C729" s="517"/>
      <c r="D729" s="1297"/>
      <c r="E729" s="1297"/>
      <c r="F729" s="1297"/>
      <c r="H729" s="535"/>
      <c r="I729" s="517"/>
      <c r="J729" s="535"/>
      <c r="K729" s="535"/>
    </row>
    <row r="730" spans="1:11">
      <c r="A730" s="517"/>
      <c r="B730" s="517"/>
      <c r="C730" s="517"/>
      <c r="D730" s="1297"/>
      <c r="E730" s="1297"/>
      <c r="F730" s="1297"/>
      <c r="H730" s="535"/>
      <c r="I730" s="517"/>
      <c r="J730" s="535"/>
      <c r="K730" s="535"/>
    </row>
    <row r="731" spans="1:11">
      <c r="A731" s="517"/>
      <c r="B731" s="517"/>
      <c r="C731" s="517"/>
      <c r="D731" s="526"/>
      <c r="H731" s="535"/>
      <c r="I731" s="517"/>
      <c r="J731" s="535"/>
      <c r="K731" s="535"/>
    </row>
    <row r="732" spans="1:11" ht="14.25">
      <c r="A732" s="518"/>
      <c r="B732" s="519" t="s">
        <v>2641</v>
      </c>
      <c r="C732" s="517"/>
      <c r="D732" s="1297" t="s">
        <v>2503</v>
      </c>
      <c r="E732" s="1297"/>
      <c r="F732" s="1297"/>
      <c r="H732" s="535"/>
      <c r="I732" s="517" t="s">
        <v>2122</v>
      </c>
      <c r="J732" s="535"/>
      <c r="K732" s="535"/>
    </row>
    <row r="733" spans="1:11">
      <c r="A733" s="517"/>
      <c r="B733" s="517"/>
      <c r="C733" s="517"/>
      <c r="D733" s="1297"/>
      <c r="E733" s="1297"/>
      <c r="F733" s="1297"/>
      <c r="H733" s="535"/>
      <c r="I733" s="517"/>
      <c r="J733" s="535"/>
      <c r="K733" s="535"/>
    </row>
    <row r="734" spans="1:11">
      <c r="A734" s="517"/>
      <c r="B734" s="517"/>
      <c r="C734" s="517"/>
      <c r="D734" s="1297"/>
      <c r="E734" s="1297"/>
      <c r="F734" s="1297"/>
      <c r="H734" s="535"/>
      <c r="I734" s="517"/>
      <c r="J734" s="535"/>
      <c r="K734" s="535"/>
    </row>
    <row r="735" spans="1:11">
      <c r="A735" s="517"/>
      <c r="B735" s="517"/>
      <c r="C735" s="517"/>
      <c r="D735" s="1297"/>
      <c r="E735" s="1297"/>
      <c r="F735" s="1297"/>
      <c r="H735" s="535"/>
      <c r="I735" s="517"/>
      <c r="J735" s="535"/>
      <c r="K735" s="535"/>
    </row>
    <row r="736" spans="1:11">
      <c r="A736" s="517"/>
      <c r="B736" s="517"/>
      <c r="C736" s="517"/>
      <c r="D736" s="1297"/>
      <c r="E736" s="1297"/>
      <c r="F736" s="1297"/>
      <c r="H736" s="535"/>
      <c r="I736" s="517"/>
      <c r="J736" s="535"/>
      <c r="K736" s="535"/>
    </row>
    <row r="737" spans="1:11">
      <c r="A737" s="517"/>
      <c r="B737" s="517"/>
      <c r="C737" s="517"/>
      <c r="D737" s="1297"/>
      <c r="E737" s="1297"/>
      <c r="F737" s="1297"/>
      <c r="H737" s="535"/>
      <c r="I737" s="517"/>
      <c r="J737" s="535"/>
      <c r="K737" s="535"/>
    </row>
    <row r="738" spans="1:11">
      <c r="A738" s="517"/>
      <c r="B738" s="517"/>
      <c r="C738" s="517"/>
      <c r="D738" s="1297"/>
      <c r="E738" s="1297"/>
      <c r="F738" s="1297"/>
      <c r="H738" s="535"/>
      <c r="I738" s="517"/>
      <c r="J738" s="535"/>
      <c r="K738" s="535"/>
    </row>
    <row r="739" spans="1:11">
      <c r="A739" s="517"/>
      <c r="B739" s="517"/>
      <c r="C739" s="517"/>
      <c r="D739" s="1314" t="s">
        <v>2389</v>
      </c>
      <c r="E739" s="1314"/>
      <c r="F739" s="1314"/>
      <c r="H739" s="535"/>
      <c r="I739" s="517"/>
      <c r="J739" s="535"/>
      <c r="K739" s="535"/>
    </row>
    <row r="740" spans="1:11">
      <c r="A740" s="517"/>
      <c r="B740" s="517"/>
      <c r="C740" s="517"/>
      <c r="D740" s="369"/>
      <c r="H740" s="535"/>
      <c r="I740" s="517"/>
      <c r="J740" s="535"/>
      <c r="K740" s="535"/>
    </row>
    <row r="741" spans="1:11">
      <c r="A741" s="1316" t="s">
        <v>1088</v>
      </c>
      <c r="B741" s="1316"/>
      <c r="C741" s="1316"/>
      <c r="D741" s="1316"/>
      <c r="E741" s="1316"/>
      <c r="F741" s="1316"/>
      <c r="G741" s="1316"/>
      <c r="H741" s="1065"/>
      <c r="I741" s="1260"/>
      <c r="J741" s="535"/>
      <c r="K741" s="535"/>
    </row>
    <row r="742" spans="1:11">
      <c r="A742" s="517"/>
      <c r="B742" s="517"/>
      <c r="C742" s="517"/>
      <c r="D742" s="526"/>
      <c r="G742" s="535"/>
      <c r="H742" s="535"/>
      <c r="I742" s="517"/>
      <c r="J742" s="535"/>
      <c r="K742" s="535"/>
    </row>
    <row r="743" spans="1:11" ht="13.7" customHeight="1">
      <c r="C743" s="517"/>
      <c r="D743" s="1299" t="s">
        <v>1104</v>
      </c>
      <c r="E743" s="1299"/>
      <c r="F743" s="1299"/>
      <c r="G743" s="535"/>
      <c r="H743" s="535"/>
      <c r="I743" s="517"/>
      <c r="J743" s="535"/>
      <c r="K743" s="535"/>
    </row>
    <row r="744" spans="1:11">
      <c r="A744" s="517"/>
      <c r="B744" s="517"/>
      <c r="C744" s="517"/>
      <c r="D744" s="1300" t="s">
        <v>1105</v>
      </c>
      <c r="E744" s="1300"/>
      <c r="F744" s="1300"/>
      <c r="G744" s="535"/>
      <c r="H744" s="535"/>
      <c r="I744" s="517"/>
      <c r="J744" s="535"/>
      <c r="K744" s="535"/>
    </row>
    <row r="745" spans="1:11">
      <c r="A745" s="517"/>
      <c r="B745" s="517"/>
      <c r="C745" s="517"/>
      <c r="G745" s="535"/>
      <c r="H745" s="535"/>
      <c r="I745" s="517"/>
      <c r="J745" s="535"/>
      <c r="K745" s="535"/>
    </row>
    <row r="746" spans="1:11" ht="14.25">
      <c r="A746" s="518"/>
      <c r="B746" s="519" t="s">
        <v>2642</v>
      </c>
      <c r="D746" s="1297" t="s">
        <v>1106</v>
      </c>
      <c r="E746" s="1297"/>
      <c r="F746" s="1297"/>
      <c r="G746" s="535"/>
      <c r="H746" s="535"/>
      <c r="I746" s="517" t="s">
        <v>2107</v>
      </c>
      <c r="J746" s="535"/>
      <c r="K746" s="535"/>
    </row>
    <row r="747" spans="1:11" ht="10.5" customHeight="1">
      <c r="D747" s="1297"/>
      <c r="E747" s="1297"/>
      <c r="F747" s="1297"/>
      <c r="G747" s="535"/>
      <c r="H747" s="535"/>
      <c r="I747" s="517"/>
      <c r="J747" s="535"/>
      <c r="K747" s="535"/>
    </row>
    <row r="748" spans="1:11">
      <c r="D748" s="1297"/>
      <c r="E748" s="1297"/>
      <c r="F748" s="1297"/>
      <c r="G748" s="535"/>
      <c r="H748" s="535"/>
      <c r="I748" s="517"/>
      <c r="J748" s="535"/>
      <c r="K748" s="535"/>
    </row>
    <row r="749" spans="1:11">
      <c r="D749" s="1297"/>
      <c r="E749" s="1297"/>
      <c r="F749" s="1297"/>
      <c r="G749" s="535"/>
      <c r="H749" s="535"/>
      <c r="I749" s="517"/>
      <c r="J749" s="535"/>
      <c r="K749" s="535"/>
    </row>
    <row r="750" spans="1:11">
      <c r="D750" s="1297"/>
      <c r="E750" s="1297"/>
      <c r="F750" s="1297"/>
      <c r="G750" s="535"/>
      <c r="H750" s="535"/>
      <c r="I750" s="517"/>
      <c r="J750" s="535"/>
      <c r="K750" s="535"/>
    </row>
    <row r="751" spans="1:11" ht="15.6" customHeight="1">
      <c r="D751" s="1297"/>
      <c r="E751" s="1297"/>
      <c r="F751" s="1297"/>
      <c r="G751" s="535"/>
      <c r="H751" s="535"/>
      <c r="I751" s="517"/>
      <c r="J751" s="535"/>
      <c r="K751" s="535"/>
    </row>
    <row r="752" spans="1:11">
      <c r="D752" s="533"/>
      <c r="E752" s="480"/>
      <c r="F752" s="480"/>
      <c r="G752" s="535"/>
      <c r="H752" s="535"/>
      <c r="I752" s="517"/>
      <c r="J752" s="535"/>
      <c r="K752" s="535"/>
    </row>
    <row r="753" spans="1:11" s="539" customFormat="1" ht="14.25">
      <c r="A753" s="537"/>
      <c r="B753" s="519" t="s">
        <v>2641</v>
      </c>
      <c r="C753" s="538"/>
      <c r="D753" s="1297" t="s">
        <v>1348</v>
      </c>
      <c r="E753" s="1297"/>
      <c r="F753" s="1297"/>
      <c r="I753" s="1261" t="s">
        <v>2107</v>
      </c>
    </row>
    <row r="754" spans="1:11" s="539" customFormat="1">
      <c r="A754" s="538"/>
      <c r="B754" s="538"/>
      <c r="C754" s="538"/>
      <c r="D754" s="1297"/>
      <c r="E754" s="1297"/>
      <c r="F754" s="1297"/>
      <c r="I754" s="1261"/>
    </row>
    <row r="755" spans="1:11" s="539" customFormat="1">
      <c r="A755" s="538"/>
      <c r="B755" s="538"/>
      <c r="C755" s="538"/>
      <c r="D755" s="1297"/>
      <c r="E755" s="1297"/>
      <c r="F755" s="1297"/>
      <c r="I755" s="1261"/>
    </row>
    <row r="756" spans="1:11" s="539" customFormat="1">
      <c r="A756" s="538"/>
      <c r="B756" s="538"/>
      <c r="C756" s="538"/>
      <c r="D756" s="1297"/>
      <c r="E756" s="1297"/>
      <c r="F756" s="1297"/>
      <c r="I756" s="1261"/>
    </row>
    <row r="757" spans="1:11" s="539" customFormat="1">
      <c r="A757" s="538"/>
      <c r="B757" s="538"/>
      <c r="C757" s="538"/>
      <c r="D757" s="533"/>
      <c r="I757" s="1261"/>
    </row>
    <row r="758" spans="1:11" s="539" customFormat="1" ht="14.25">
      <c r="A758" s="518"/>
      <c r="B758" s="519" t="s">
        <v>2642</v>
      </c>
      <c r="C758" s="538"/>
      <c r="D758" s="1295" t="s">
        <v>1349</v>
      </c>
      <c r="E758" s="1295"/>
      <c r="F758" s="1295"/>
      <c r="I758" s="1261" t="s">
        <v>2108</v>
      </c>
    </row>
    <row r="759" spans="1:11" s="539" customFormat="1">
      <c r="A759" s="538"/>
      <c r="B759" s="538"/>
      <c r="C759" s="538"/>
      <c r="D759" s="1295"/>
      <c r="E759" s="1295"/>
      <c r="F759" s="1295"/>
      <c r="I759" s="1261"/>
    </row>
    <row r="760" spans="1:11" s="539" customFormat="1">
      <c r="A760" s="538"/>
      <c r="B760" s="538"/>
      <c r="C760" s="538"/>
      <c r="D760" s="1295"/>
      <c r="E760" s="1295"/>
      <c r="F760" s="1295"/>
      <c r="I760" s="1261"/>
    </row>
    <row r="761" spans="1:11">
      <c r="D761" s="533"/>
      <c r="E761" s="480"/>
      <c r="F761" s="480"/>
      <c r="G761" s="535"/>
      <c r="H761" s="535"/>
      <c r="I761" s="517"/>
      <c r="J761" s="535"/>
      <c r="K761" s="535"/>
    </row>
    <row r="762" spans="1:11" ht="14.25">
      <c r="A762" s="518"/>
      <c r="B762" s="519" t="s">
        <v>2642</v>
      </c>
      <c r="D762" s="1297" t="s">
        <v>1304</v>
      </c>
      <c r="E762" s="1297"/>
      <c r="F762" s="1297"/>
      <c r="G762" s="535"/>
      <c r="H762" s="535"/>
      <c r="I762" s="517" t="s">
        <v>2107</v>
      </c>
      <c r="J762" s="535"/>
      <c r="K762" s="535"/>
    </row>
    <row r="763" spans="1:11">
      <c r="D763" s="1297"/>
      <c r="E763" s="1297"/>
      <c r="F763" s="1297"/>
      <c r="G763" s="535"/>
      <c r="H763" s="535"/>
      <c r="I763" s="517"/>
      <c r="J763" s="535"/>
      <c r="K763" s="535"/>
    </row>
    <row r="764" spans="1:11">
      <c r="D764" s="479"/>
      <c r="E764" s="479"/>
      <c r="F764" s="479"/>
      <c r="G764" s="535"/>
      <c r="H764" s="535"/>
      <c r="I764" s="517"/>
      <c r="J764" s="535"/>
      <c r="K764" s="535"/>
    </row>
    <row r="765" spans="1:11">
      <c r="B765" s="519" t="s">
        <v>2641</v>
      </c>
      <c r="D765" s="1297" t="s">
        <v>1321</v>
      </c>
      <c r="E765" s="1297"/>
      <c r="F765" s="1297"/>
      <c r="G765" s="535"/>
      <c r="H765" s="535"/>
      <c r="I765" s="517" t="s">
        <v>2107</v>
      </c>
      <c r="J765" s="535"/>
      <c r="K765" s="535"/>
    </row>
    <row r="766" spans="1:11">
      <c r="D766" s="1297"/>
      <c r="E766" s="1297"/>
      <c r="F766" s="1297"/>
      <c r="G766" s="535"/>
      <c r="H766" s="535"/>
      <c r="I766" s="517"/>
      <c r="J766" s="535"/>
      <c r="K766" s="535"/>
    </row>
    <row r="767" spans="1:11">
      <c r="D767" s="1297"/>
      <c r="E767" s="1297"/>
      <c r="F767" s="1297"/>
      <c r="G767" s="535"/>
      <c r="H767" s="535"/>
      <c r="I767" s="517"/>
      <c r="J767" s="535"/>
      <c r="K767" s="535"/>
    </row>
    <row r="768" spans="1:11">
      <c r="D768" s="479"/>
      <c r="E768" s="479"/>
      <c r="F768" s="479"/>
      <c r="G768" s="535"/>
      <c r="H768" s="535"/>
      <c r="I768" s="517"/>
      <c r="J768" s="535"/>
      <c r="K768" s="535"/>
    </row>
    <row r="769" spans="1:9">
      <c r="A769" s="1349" t="s">
        <v>1990</v>
      </c>
      <c r="B769" s="1349"/>
      <c r="C769" s="1349"/>
      <c r="D769" s="1349"/>
      <c r="E769" s="1349"/>
      <c r="F769" s="1349"/>
      <c r="G769" s="1349"/>
      <c r="H769" s="1063"/>
      <c r="I769" s="1256"/>
    </row>
    <row r="770" spans="1:9">
      <c r="A770" s="57"/>
      <c r="B770" s="57"/>
      <c r="C770" s="385"/>
      <c r="D770" s="3"/>
      <c r="E770" s="3"/>
      <c r="F770" s="3"/>
      <c r="G770" s="3"/>
      <c r="I770" s="524"/>
    </row>
    <row r="771" spans="1:9">
      <c r="A771" s="57"/>
      <c r="B771" s="57"/>
      <c r="C771" s="385"/>
      <c r="D771" s="1338" t="s">
        <v>2044</v>
      </c>
      <c r="E771" s="1338"/>
      <c r="F771" s="1338"/>
      <c r="G771" s="3"/>
      <c r="I771" s="524"/>
    </row>
    <row r="772" spans="1:9">
      <c r="A772" s="57"/>
      <c r="B772" s="57"/>
      <c r="C772" s="385"/>
      <c r="D772" s="1283" t="s">
        <v>1943</v>
      </c>
      <c r="E772" s="1283"/>
      <c r="F772" s="1283"/>
      <c r="G772" s="3"/>
      <c r="I772" s="524"/>
    </row>
    <row r="773" spans="1:9">
      <c r="A773" s="57"/>
      <c r="B773" s="57"/>
      <c r="C773" s="385"/>
      <c r="D773" s="481"/>
      <c r="E773" s="481"/>
      <c r="F773" s="481"/>
      <c r="G773" s="3"/>
      <c r="I773" s="524"/>
    </row>
    <row r="774" spans="1:9">
      <c r="A774" s="57"/>
      <c r="B774" s="519" t="s">
        <v>2641</v>
      </c>
      <c r="C774" s="385"/>
      <c r="D774" s="1310" t="s">
        <v>1944</v>
      </c>
      <c r="E774" s="1310"/>
      <c r="F774" s="1310"/>
      <c r="G774" s="3"/>
      <c r="I774" s="517" t="s">
        <v>2157</v>
      </c>
    </row>
    <row r="775" spans="1:9">
      <c r="A775" s="57"/>
      <c r="B775" s="57"/>
      <c r="C775" s="385"/>
      <c r="D775" s="1310"/>
      <c r="E775" s="1310"/>
      <c r="F775" s="1310"/>
      <c r="G775" s="3"/>
      <c r="I775" s="524"/>
    </row>
    <row r="776" spans="1:9">
      <c r="A776" s="175"/>
      <c r="B776" s="175"/>
      <c r="C776" s="175"/>
      <c r="D776" s="1310"/>
      <c r="E776" s="1310"/>
      <c r="F776" s="1310"/>
      <c r="G776" s="118"/>
      <c r="I776" s="524"/>
    </row>
    <row r="777" spans="1:9">
      <c r="A777" s="385"/>
      <c r="B777" s="385"/>
      <c r="C777" s="385"/>
      <c r="D777" s="174"/>
      <c r="E777" s="3"/>
      <c r="F777" s="3"/>
      <c r="G777" s="3"/>
      <c r="I777" s="524"/>
    </row>
    <row r="778" spans="1:9">
      <c r="A778" s="172"/>
      <c r="B778" s="519" t="s">
        <v>2641</v>
      </c>
      <c r="C778" s="172"/>
      <c r="D778" s="1310" t="s">
        <v>1945</v>
      </c>
      <c r="E778" s="1310"/>
      <c r="F778" s="1310"/>
      <c r="G778" s="3"/>
      <c r="I778" s="517" t="s">
        <v>2157</v>
      </c>
    </row>
    <row r="779" spans="1:9">
      <c r="A779" s="172"/>
      <c r="B779" s="172"/>
      <c r="C779" s="172"/>
      <c r="D779" s="1310"/>
      <c r="E779" s="1310"/>
      <c r="F779" s="1310"/>
      <c r="G779" s="3"/>
      <c r="I779" s="524"/>
    </row>
    <row r="780" spans="1:9">
      <c r="A780" s="172"/>
      <c r="B780" s="172"/>
      <c r="C780" s="172"/>
      <c r="D780" s="1310"/>
      <c r="E780" s="1310"/>
      <c r="F780" s="1310"/>
      <c r="G780" s="3"/>
      <c r="I780" s="524"/>
    </row>
    <row r="781" spans="1:9">
      <c r="A781" s="175"/>
      <c r="B781" s="175"/>
      <c r="C781" s="175"/>
      <c r="D781" s="3"/>
      <c r="E781" s="1023"/>
      <c r="F781" s="1023"/>
      <c r="G781" s="1023"/>
      <c r="I781" s="524"/>
    </row>
    <row r="782" spans="1:9" ht="14.25">
      <c r="A782" s="176"/>
      <c r="B782" s="519" t="s">
        <v>2641</v>
      </c>
      <c r="C782" s="1024"/>
      <c r="D782" s="1310" t="s">
        <v>1946</v>
      </c>
      <c r="E782" s="1310"/>
      <c r="F782" s="1310"/>
      <c r="G782" s="1023"/>
      <c r="I782" s="517" t="s">
        <v>2157</v>
      </c>
    </row>
    <row r="783" spans="1:9" ht="14.25">
      <c r="A783" s="176"/>
      <c r="B783" s="176"/>
      <c r="C783" s="1024"/>
      <c r="D783" s="1310"/>
      <c r="E783" s="1310"/>
      <c r="F783" s="1310"/>
      <c r="G783" s="1023"/>
      <c r="I783" s="524"/>
    </row>
    <row r="784" spans="1:9" ht="14.25">
      <c r="A784" s="176"/>
      <c r="B784" s="176"/>
      <c r="C784" s="1024"/>
      <c r="D784" s="1310"/>
      <c r="E784" s="1310"/>
      <c r="F784" s="1310"/>
      <c r="G784" s="1023"/>
      <c r="I784" s="524"/>
    </row>
    <row r="785" spans="1:9" ht="14.25">
      <c r="A785" s="176"/>
      <c r="B785" s="176"/>
      <c r="C785" s="1024"/>
      <c r="D785" s="118"/>
      <c r="E785" s="3"/>
      <c r="F785" s="3"/>
      <c r="G785" s="1023"/>
      <c r="I785" s="524"/>
    </row>
    <row r="786" spans="1:9" ht="14.25">
      <c r="A786" s="176"/>
      <c r="B786" s="519" t="s">
        <v>2641</v>
      </c>
      <c r="C786" s="1024"/>
      <c r="D786" s="1310" t="s">
        <v>1947</v>
      </c>
      <c r="E786" s="1310"/>
      <c r="F786" s="1310"/>
      <c r="G786" s="1023"/>
      <c r="I786" s="517" t="s">
        <v>2157</v>
      </c>
    </row>
    <row r="787" spans="1:9" ht="14.25">
      <c r="A787" s="176"/>
      <c r="B787" s="176"/>
      <c r="C787" s="1024"/>
      <c r="D787" s="1310"/>
      <c r="E787" s="1310"/>
      <c r="F787" s="1310"/>
      <c r="G787" s="1023"/>
      <c r="I787" s="524"/>
    </row>
    <row r="788" spans="1:9" ht="14.25">
      <c r="A788" s="176"/>
      <c r="B788" s="176"/>
      <c r="C788" s="1024"/>
      <c r="D788" s="1310"/>
      <c r="E788" s="1310"/>
      <c r="F788" s="1310"/>
      <c r="G788" s="1023"/>
      <c r="I788" s="524"/>
    </row>
    <row r="789" spans="1:9" ht="14.25">
      <c r="A789" s="176"/>
      <c r="B789" s="176"/>
      <c r="C789" s="1024"/>
      <c r="D789" s="1310"/>
      <c r="E789" s="1310"/>
      <c r="F789" s="1310"/>
      <c r="G789" s="1023"/>
      <c r="I789" s="524"/>
    </row>
    <row r="790" spans="1:9" ht="14.25">
      <c r="A790" s="176"/>
      <c r="B790" s="176"/>
      <c r="C790" s="1024"/>
      <c r="D790" s="1310"/>
      <c r="E790" s="1310"/>
      <c r="F790" s="1310"/>
      <c r="G790" s="1023"/>
      <c r="I790" s="524"/>
    </row>
    <row r="791" spans="1:9" ht="14.25">
      <c r="A791" s="176"/>
      <c r="B791" s="176"/>
      <c r="C791" s="1024"/>
      <c r="D791" s="1310"/>
      <c r="E791" s="1310"/>
      <c r="F791" s="1310"/>
      <c r="G791" s="1023"/>
      <c r="I791" s="524"/>
    </row>
    <row r="792" spans="1:9" ht="14.25">
      <c r="A792" s="176"/>
      <c r="B792" s="176"/>
      <c r="C792" s="1024"/>
      <c r="D792" s="1310" t="s">
        <v>1991</v>
      </c>
      <c r="E792" s="1310"/>
      <c r="F792" s="1310"/>
      <c r="G792" s="1023"/>
      <c r="I792" s="524"/>
    </row>
    <row r="793" spans="1:9" ht="14.25">
      <c r="A793" s="176"/>
      <c r="B793" s="176"/>
      <c r="C793" s="1024"/>
      <c r="D793" s="1310"/>
      <c r="E793" s="1310"/>
      <c r="F793" s="1310"/>
      <c r="G793" s="1023"/>
      <c r="I793" s="524"/>
    </row>
    <row r="794" spans="1:9" ht="14.25">
      <c r="A794" s="176"/>
      <c r="B794" s="176"/>
      <c r="C794" s="1024"/>
      <c r="D794" s="1310"/>
      <c r="E794" s="1310"/>
      <c r="F794" s="1310"/>
      <c r="G794" s="1023"/>
      <c r="I794" s="524"/>
    </row>
    <row r="795" spans="1:9" ht="14.25">
      <c r="A795" s="176"/>
      <c r="B795" s="385"/>
      <c r="C795" s="1024"/>
      <c r="D795" s="1025"/>
      <c r="E795" s="1025"/>
      <c r="F795" s="1025"/>
      <c r="G795" s="1023"/>
      <c r="I795" s="524"/>
    </row>
    <row r="796" spans="1:9" ht="14.25">
      <c r="A796" s="176"/>
      <c r="B796" s="519" t="s">
        <v>2641</v>
      </c>
      <c r="C796" s="1024"/>
      <c r="D796" s="1310" t="s">
        <v>1948</v>
      </c>
      <c r="E796" s="1310"/>
      <c r="F796" s="1310"/>
      <c r="G796" s="1023"/>
      <c r="I796" s="517" t="s">
        <v>2157</v>
      </c>
    </row>
    <row r="797" spans="1:9" ht="14.25">
      <c r="A797" s="176"/>
      <c r="B797" s="176"/>
      <c r="C797" s="1024"/>
      <c r="D797" s="1310"/>
      <c r="E797" s="1310"/>
      <c r="F797" s="1310"/>
      <c r="G797" s="1023"/>
      <c r="I797" s="524"/>
    </row>
    <row r="798" spans="1:9" ht="14.25">
      <c r="A798" s="176"/>
      <c r="B798" s="176"/>
      <c r="C798" s="1024"/>
      <c r="D798" s="1310"/>
      <c r="E798" s="1310"/>
      <c r="F798" s="1310"/>
      <c r="G798" s="1023"/>
      <c r="I798" s="524"/>
    </row>
    <row r="799" spans="1:9" ht="14.25">
      <c r="A799" s="176"/>
      <c r="B799" s="176"/>
      <c r="C799" s="1024"/>
      <c r="D799" s="1310"/>
      <c r="E799" s="1310"/>
      <c r="F799" s="1310"/>
      <c r="G799" s="1023"/>
      <c r="I799" s="524"/>
    </row>
    <row r="800" spans="1:9" ht="14.25">
      <c r="A800" s="176"/>
      <c r="B800" s="176"/>
      <c r="C800" s="1024"/>
      <c r="D800" s="1310"/>
      <c r="E800" s="1310"/>
      <c r="F800" s="1310"/>
      <c r="G800" s="1023"/>
      <c r="I800" s="524"/>
    </row>
    <row r="801" spans="1:9" ht="14.25">
      <c r="A801" s="176"/>
      <c r="B801" s="176"/>
      <c r="C801" s="1024"/>
      <c r="D801" s="1310"/>
      <c r="E801" s="1310"/>
      <c r="F801" s="1310"/>
      <c r="G801" s="1023"/>
      <c r="I801" s="524"/>
    </row>
    <row r="802" spans="1:9" ht="14.25">
      <c r="A802" s="176"/>
      <c r="B802" s="176"/>
      <c r="C802" s="1024"/>
      <c r="D802" s="1017"/>
      <c r="E802" s="1017"/>
      <c r="F802" s="1017"/>
      <c r="G802" s="1023"/>
      <c r="I802" s="524"/>
    </row>
    <row r="803" spans="1:9" ht="14.25">
      <c r="A803" s="176"/>
      <c r="B803" s="519" t="s">
        <v>2641</v>
      </c>
      <c r="C803" s="1024"/>
      <c r="D803" s="1310" t="s">
        <v>1949</v>
      </c>
      <c r="E803" s="1310"/>
      <c r="F803" s="1310"/>
      <c r="G803" s="1023"/>
      <c r="I803" s="517" t="s">
        <v>2157</v>
      </c>
    </row>
    <row r="804" spans="1:9" ht="14.25">
      <c r="A804" s="176"/>
      <c r="B804" s="176"/>
      <c r="C804" s="1024"/>
      <c r="D804" s="1310"/>
      <c r="E804" s="1310"/>
      <c r="F804" s="1310"/>
      <c r="G804" s="1023"/>
      <c r="I804" s="524"/>
    </row>
    <row r="805" spans="1:9" ht="14.25">
      <c r="A805" s="176"/>
      <c r="B805" s="176"/>
      <c r="C805" s="1024"/>
      <c r="D805" s="1310"/>
      <c r="E805" s="1310"/>
      <c r="F805" s="1310"/>
      <c r="G805" s="1023"/>
      <c r="I805" s="524"/>
    </row>
    <row r="806" spans="1:9" ht="14.25">
      <c r="A806" s="176"/>
      <c r="B806" s="176"/>
      <c r="C806" s="1024"/>
      <c r="D806" s="1310"/>
      <c r="E806" s="1310"/>
      <c r="F806" s="1310"/>
      <c r="G806" s="1023"/>
      <c r="I806" s="524"/>
    </row>
    <row r="807" spans="1:9" ht="14.25">
      <c r="A807" s="176"/>
      <c r="B807" s="176"/>
      <c r="C807" s="1024"/>
      <c r="D807" s="1310"/>
      <c r="E807" s="1310"/>
      <c r="F807" s="1310"/>
      <c r="G807" s="1023"/>
      <c r="I807" s="524"/>
    </row>
    <row r="808" spans="1:9" ht="14.25">
      <c r="A808" s="176"/>
      <c r="B808" s="176"/>
      <c r="C808" s="1024"/>
      <c r="D808" s="1310"/>
      <c r="E808" s="1310"/>
      <c r="F808" s="1310"/>
      <c r="G808" s="1023"/>
      <c r="I808" s="524"/>
    </row>
    <row r="809" spans="1:9" ht="14.25">
      <c r="A809" s="176"/>
      <c r="B809" s="176"/>
      <c r="C809" s="1024"/>
      <c r="D809" s="1017"/>
      <c r="E809" s="1017"/>
      <c r="F809" s="1017"/>
      <c r="G809" s="1023"/>
      <c r="I809" s="524"/>
    </row>
    <row r="810" spans="1:9" ht="14.25">
      <c r="A810" s="176"/>
      <c r="B810" s="519" t="s">
        <v>2641</v>
      </c>
      <c r="C810" s="1024"/>
      <c r="D810" s="1307" t="s">
        <v>1950</v>
      </c>
      <c r="E810" s="1307"/>
      <c r="F810" s="1307"/>
      <c r="G810" s="1023"/>
      <c r="I810" s="517" t="s">
        <v>2157</v>
      </c>
    </row>
    <row r="811" spans="1:9" ht="14.25">
      <c r="A811" s="176"/>
      <c r="B811" s="176"/>
      <c r="C811" s="1024"/>
      <c r="D811" s="1307"/>
      <c r="E811" s="1307"/>
      <c r="F811" s="1307"/>
      <c r="G811" s="1023"/>
      <c r="I811" s="524"/>
    </row>
    <row r="812" spans="1:9">
      <c r="A812" s="13"/>
      <c r="B812" s="13"/>
      <c r="C812" s="1024"/>
      <c r="D812" s="1307"/>
      <c r="E812" s="1307"/>
      <c r="F812" s="1307"/>
      <c r="G812" s="1023"/>
      <c r="I812" s="524"/>
    </row>
    <row r="813" spans="1:9" ht="14.25">
      <c r="A813" s="176"/>
      <c r="B813" s="13"/>
      <c r="C813" s="1024"/>
      <c r="D813" s="1307"/>
      <c r="E813" s="1307"/>
      <c r="F813" s="1307"/>
      <c r="G813" s="1023"/>
      <c r="I813" s="524"/>
    </row>
    <row r="814" spans="1:9" ht="12.75" customHeight="1">
      <c r="A814" s="176"/>
      <c r="B814" s="13"/>
      <c r="C814" s="1024"/>
      <c r="D814" s="1307"/>
      <c r="E814" s="1307"/>
      <c r="F814" s="1307"/>
      <c r="G814" s="1023"/>
      <c r="I814" s="524"/>
    </row>
    <row r="815" spans="1:9" ht="12.75" customHeight="1">
      <c r="A815" s="176"/>
      <c r="B815" s="13"/>
      <c r="C815" s="1024"/>
      <c r="D815" s="1307"/>
      <c r="E815" s="1307"/>
      <c r="F815" s="1307"/>
      <c r="G815" s="1023"/>
      <c r="I815" s="524"/>
    </row>
    <row r="816" spans="1:9" ht="12.75" customHeight="1">
      <c r="A816" s="13"/>
      <c r="B816" s="13"/>
      <c r="C816" s="1024"/>
      <c r="D816" s="1023"/>
      <c r="E816" s="3"/>
      <c r="F816" s="3"/>
      <c r="G816" s="1023"/>
      <c r="I816" s="524"/>
    </row>
    <row r="817" spans="1:9" ht="12.75" customHeight="1">
      <c r="A817" s="1315" t="s">
        <v>1951</v>
      </c>
      <c r="B817" s="1315"/>
      <c r="C817" s="1315"/>
      <c r="D817" s="1315"/>
      <c r="E817" s="1315"/>
      <c r="F817" s="1315"/>
      <c r="G817" s="1315"/>
      <c r="H817" s="1063"/>
      <c r="I817" s="1256"/>
    </row>
    <row r="818" spans="1:9" ht="12.75" customHeight="1">
      <c r="A818" s="172"/>
      <c r="B818" s="172"/>
      <c r="C818" s="1024"/>
      <c r="D818" s="1023"/>
      <c r="E818" s="1023"/>
      <c r="F818" s="1023"/>
      <c r="G818" s="1023"/>
      <c r="I818" s="524"/>
    </row>
    <row r="819" spans="1:9" ht="12.75" customHeight="1">
      <c r="A819" s="176"/>
      <c r="B819" s="176"/>
      <c r="C819" s="385"/>
      <c r="D819" s="1303" t="s">
        <v>1992</v>
      </c>
      <c r="E819" s="1303"/>
      <c r="F819" s="1303"/>
      <c r="G819" s="3"/>
      <c r="I819" s="524"/>
    </row>
    <row r="820" spans="1:9" ht="14.25" customHeight="1">
      <c r="A820" s="176"/>
      <c r="B820" s="176"/>
      <c r="C820" s="385"/>
      <c r="D820" s="1270" t="s">
        <v>1952</v>
      </c>
      <c r="E820" s="1270"/>
      <c r="F820" s="1270"/>
      <c r="G820" s="3"/>
      <c r="I820" s="524"/>
    </row>
    <row r="821" spans="1:9" ht="12.75" customHeight="1">
      <c r="A821" s="176"/>
      <c r="B821" s="176"/>
      <c r="C821" s="385"/>
      <c r="D821" s="474"/>
      <c r="E821" s="474"/>
      <c r="F821" s="474"/>
      <c r="G821" s="3"/>
      <c r="I821" s="524"/>
    </row>
    <row r="822" spans="1:9" ht="12.75" customHeight="1">
      <c r="A822" s="385"/>
      <c r="B822" s="519" t="s">
        <v>2642</v>
      </c>
      <c r="C822" s="1024"/>
      <c r="D822" s="1270" t="s">
        <v>1953</v>
      </c>
      <c r="E822" s="1270"/>
      <c r="F822" s="1270"/>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0" t="s">
        <v>2390</v>
      </c>
      <c r="E825" s="1340"/>
      <c r="F825" s="1340"/>
      <c r="G825" s="3"/>
      <c r="I825" s="524"/>
    </row>
    <row r="826" spans="1:9" ht="12.75" hidden="1" customHeight="1">
      <c r="A826" s="13"/>
      <c r="B826" s="13"/>
      <c r="C826" s="1024"/>
      <c r="D826" s="1340"/>
      <c r="E826" s="1340"/>
      <c r="F826" s="1340"/>
      <c r="G826" s="3"/>
      <c r="I826" s="524"/>
    </row>
    <row r="827" spans="1:9" ht="12.75" hidden="1" customHeight="1">
      <c r="A827" s="13"/>
      <c r="B827" s="13"/>
      <c r="C827" s="1024"/>
      <c r="D827" s="1340"/>
      <c r="E827" s="1340"/>
      <c r="F827" s="1340"/>
      <c r="G827" s="3"/>
      <c r="I827" s="524"/>
    </row>
    <row r="828" spans="1:9" ht="12.75" hidden="1" customHeight="1">
      <c r="A828" s="13"/>
      <c r="B828" s="13"/>
      <c r="C828" s="1024"/>
      <c r="D828" s="1340"/>
      <c r="E828" s="1340"/>
      <c r="F828" s="1340"/>
      <c r="G828" s="3"/>
      <c r="I828" s="524"/>
    </row>
    <row r="829" spans="1:9" ht="12.75" hidden="1" customHeight="1">
      <c r="A829" s="13"/>
      <c r="B829" s="13"/>
      <c r="C829" s="1024"/>
      <c r="D829" s="1340"/>
      <c r="E829" s="1340"/>
      <c r="F829" s="1340"/>
      <c r="G829" s="3"/>
      <c r="I829" s="524"/>
    </row>
    <row r="830" spans="1:9" ht="12.75" hidden="1" customHeight="1">
      <c r="A830" s="13"/>
      <c r="B830" s="13"/>
      <c r="C830" s="1024"/>
      <c r="D830" s="1340"/>
      <c r="E830" s="1340"/>
      <c r="F830" s="1340"/>
      <c r="G830" s="3"/>
      <c r="I830" s="524"/>
    </row>
    <row r="831" spans="1:9" ht="12.75" hidden="1" customHeight="1">
      <c r="A831" s="13"/>
      <c r="B831" s="13"/>
      <c r="C831" s="1024"/>
      <c r="D831" s="1340"/>
      <c r="E831" s="1340"/>
      <c r="F831" s="1340"/>
      <c r="G831" s="3"/>
      <c r="I831" s="524"/>
    </row>
    <row r="832" spans="1:9" ht="12.75" hidden="1" customHeight="1">
      <c r="A832" s="13"/>
      <c r="B832" s="13"/>
      <c r="C832" s="1024"/>
      <c r="D832" s="1340"/>
      <c r="E832" s="1340"/>
      <c r="F832" s="1340"/>
      <c r="G832" s="3"/>
      <c r="I832" s="524"/>
    </row>
    <row r="833" spans="1:9" ht="12.75" hidden="1" customHeight="1">
      <c r="A833" s="13"/>
      <c r="B833" s="13"/>
      <c r="C833" s="1024"/>
      <c r="D833" s="1340"/>
      <c r="E833" s="1340"/>
      <c r="F833" s="1340"/>
      <c r="G833" s="3"/>
      <c r="I833" s="524"/>
    </row>
    <row r="834" spans="1:9" ht="12.75" hidden="1" customHeight="1">
      <c r="A834" s="13"/>
      <c r="B834" s="13"/>
      <c r="C834" s="1024"/>
      <c r="D834" s="1340"/>
      <c r="E834" s="1340"/>
      <c r="F834" s="1340"/>
      <c r="G834" s="3"/>
      <c r="I834" s="524"/>
    </row>
    <row r="835" spans="1:9" ht="12.75" hidden="1" customHeight="1">
      <c r="A835" s="13"/>
      <c r="B835" s="13"/>
      <c r="C835" s="1024"/>
      <c r="D835" s="1026"/>
      <c r="E835" s="3"/>
      <c r="F835" s="3"/>
      <c r="G835" s="3"/>
      <c r="I835" s="524"/>
    </row>
    <row r="836" spans="1:9" ht="12.75" customHeight="1">
      <c r="A836" s="176"/>
      <c r="B836" s="519" t="s">
        <v>2642</v>
      </c>
      <c r="C836" s="1024"/>
      <c r="D836" s="1270" t="s">
        <v>1954</v>
      </c>
      <c r="E836" s="1270"/>
      <c r="F836" s="1270"/>
      <c r="G836" s="3"/>
      <c r="I836" s="524" t="s">
        <v>2143</v>
      </c>
    </row>
    <row r="837" spans="1:9" ht="12.75" customHeight="1">
      <c r="A837" s="176"/>
      <c r="B837" s="176"/>
      <c r="C837" s="1024"/>
      <c r="D837" s="1270"/>
      <c r="E837" s="1270"/>
      <c r="F837" s="1270"/>
      <c r="G837" s="3"/>
      <c r="I837" s="524"/>
    </row>
    <row r="838" spans="1:9" ht="12.75" customHeight="1">
      <c r="A838" s="176"/>
      <c r="B838" s="176"/>
      <c r="C838" s="1024"/>
      <c r="D838" s="1270"/>
      <c r="E838" s="1270"/>
      <c r="F838" s="1270"/>
      <c r="G838" s="3"/>
      <c r="I838" s="524"/>
    </row>
    <row r="839" spans="1:9" ht="12.75" customHeight="1">
      <c r="A839" s="176"/>
      <c r="B839" s="176"/>
      <c r="C839" s="1024"/>
      <c r="D839" s="118"/>
      <c r="E839" s="3"/>
      <c r="F839" s="3"/>
      <c r="G839" s="3"/>
      <c r="I839" s="524"/>
    </row>
    <row r="840" spans="1:9" ht="12.75" customHeight="1">
      <c r="A840" s="1027"/>
      <c r="B840" s="519" t="s">
        <v>2641</v>
      </c>
      <c r="C840" s="1024"/>
      <c r="D840" s="1303" t="s">
        <v>1955</v>
      </c>
      <c r="E840" s="1303"/>
      <c r="F840" s="1303"/>
      <c r="G840" s="3"/>
      <c r="I840" s="524"/>
    </row>
    <row r="841" spans="1:9" ht="12.75" customHeight="1">
      <c r="A841" s="385"/>
      <c r="B841" s="1027"/>
      <c r="C841" s="1024"/>
      <c r="D841" s="1303"/>
      <c r="E841" s="1303"/>
      <c r="F841" s="1303"/>
      <c r="G841" s="3"/>
      <c r="I841" s="524"/>
    </row>
    <row r="842" spans="1:9" ht="12.75" customHeight="1">
      <c r="A842" s="176"/>
      <c r="B842" s="385"/>
      <c r="C842" s="1024"/>
      <c r="D842" s="1270" t="s">
        <v>2381</v>
      </c>
      <c r="E842" s="1270"/>
      <c r="F842" s="1270"/>
      <c r="G842" s="3"/>
      <c r="I842" s="524"/>
    </row>
    <row r="843" spans="1:9" ht="12.75" customHeight="1">
      <c r="A843" s="176"/>
      <c r="B843" s="176"/>
      <c r="C843" s="1024"/>
      <c r="D843" s="1270"/>
      <c r="E843" s="1270"/>
      <c r="F843" s="1270"/>
      <c r="G843" s="3"/>
      <c r="I843" s="524"/>
    </row>
    <row r="844" spans="1:9" ht="12.75" customHeight="1">
      <c r="A844" s="176"/>
      <c r="B844" s="176"/>
      <c r="C844" s="1024"/>
      <c r="D844" s="1270"/>
      <c r="E844" s="1270"/>
      <c r="F844" s="1270"/>
      <c r="G844" s="3"/>
      <c r="I844" s="524"/>
    </row>
    <row r="845" spans="1:9" ht="12.75" customHeight="1">
      <c r="A845" s="176"/>
      <c r="B845" s="176"/>
      <c r="C845" s="1024"/>
      <c r="D845" s="1270"/>
      <c r="E845" s="1270"/>
      <c r="F845" s="1270"/>
      <c r="G845" s="3"/>
      <c r="I845" s="524"/>
    </row>
    <row r="846" spans="1:9" ht="12.75" customHeight="1">
      <c r="A846" s="176"/>
      <c r="B846" s="176"/>
      <c r="C846" s="1024"/>
      <c r="D846" s="1270"/>
      <c r="E846" s="1270"/>
      <c r="F846" s="1270"/>
      <c r="G846" s="3"/>
      <c r="I846" s="524"/>
    </row>
    <row r="847" spans="1:9" ht="12.75" customHeight="1">
      <c r="A847" s="176"/>
      <c r="B847" s="176"/>
      <c r="C847" s="1024"/>
      <c r="D847" s="1270"/>
      <c r="E847" s="1270"/>
      <c r="F847" s="1270"/>
      <c r="G847" s="3"/>
      <c r="I847" s="524"/>
    </row>
    <row r="848" spans="1:9" ht="12.75" customHeight="1">
      <c r="A848" s="176"/>
      <c r="B848" s="176"/>
      <c r="C848" s="1024"/>
      <c r="D848" s="118"/>
      <c r="E848" s="3"/>
      <c r="F848" s="3"/>
      <c r="G848" s="3"/>
      <c r="I848" s="524"/>
    </row>
    <row r="849" spans="1:9" ht="12.75" customHeight="1">
      <c r="A849" s="176"/>
      <c r="B849" s="519" t="s">
        <v>2641</v>
      </c>
      <c r="C849" s="1024"/>
      <c r="D849" s="1270" t="s">
        <v>1956</v>
      </c>
      <c r="E849" s="1270"/>
      <c r="F849" s="1270"/>
      <c r="G849" s="3"/>
      <c r="I849" s="524" t="s">
        <v>2126</v>
      </c>
    </row>
    <row r="850" spans="1:9" ht="12.75" customHeight="1">
      <c r="A850" s="176"/>
      <c r="B850" s="176"/>
      <c r="C850" s="1024"/>
      <c r="D850" s="1270" t="s">
        <v>1957</v>
      </c>
      <c r="E850" s="1270"/>
      <c r="F850" s="1270"/>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2641</v>
      </c>
      <c r="C853" s="1024"/>
      <c r="D853" s="1270" t="s">
        <v>1958</v>
      </c>
      <c r="E853" s="1270"/>
      <c r="F853" s="1270"/>
      <c r="G853" s="3"/>
      <c r="I853" s="524" t="s">
        <v>2144</v>
      </c>
    </row>
    <row r="854" spans="1:9" ht="12.75" customHeight="1">
      <c r="A854" s="176"/>
      <c r="B854" s="176"/>
      <c r="C854" s="1024"/>
      <c r="D854" s="1270"/>
      <c r="E854" s="1270"/>
      <c r="F854" s="1270"/>
      <c r="G854" s="3"/>
      <c r="I854" s="524"/>
    </row>
    <row r="855" spans="1:9" ht="12.75" customHeight="1">
      <c r="A855" s="176"/>
      <c r="B855" s="176"/>
      <c r="C855" s="1024"/>
      <c r="D855" s="1270"/>
      <c r="E855" s="1270"/>
      <c r="F855" s="1270"/>
      <c r="G855" s="3"/>
      <c r="I855" s="524"/>
    </row>
    <row r="856" spans="1:9" ht="12.75" customHeight="1">
      <c r="A856" s="176"/>
      <c r="B856" s="176"/>
      <c r="C856" s="1024"/>
      <c r="D856" s="1270"/>
      <c r="E856" s="1270"/>
      <c r="F856" s="1270"/>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6" t="s">
        <v>1993</v>
      </c>
      <c r="E860" s="1286"/>
      <c r="F860" s="1286"/>
      <c r="G860" s="1023"/>
      <c r="I860" s="524"/>
    </row>
    <row r="861" spans="1:9" ht="12.75" customHeight="1">
      <c r="A861" s="385"/>
      <c r="B861" s="385"/>
      <c r="C861" s="175"/>
      <c r="D861" s="1339" t="s">
        <v>1960</v>
      </c>
      <c r="E861" s="1339"/>
      <c r="F861" s="1339"/>
      <c r="G861" s="1023"/>
      <c r="I861" s="524"/>
    </row>
    <row r="862" spans="1:9" ht="12.75" customHeight="1">
      <c r="A862" s="385"/>
      <c r="B862" s="385"/>
      <c r="C862" s="175"/>
      <c r="D862" s="1030"/>
      <c r="E862" s="1030"/>
      <c r="F862" s="1030"/>
      <c r="G862" s="1023"/>
      <c r="I862" s="524"/>
    </row>
    <row r="863" spans="1:9" ht="12.75" customHeight="1">
      <c r="A863" s="176"/>
      <c r="B863" s="519" t="s">
        <v>2642</v>
      </c>
      <c r="C863" s="385"/>
      <c r="D863" s="1281" t="s">
        <v>1961</v>
      </c>
      <c r="E863" s="1281"/>
      <c r="F863" s="1281"/>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2642</v>
      </c>
      <c r="C866" s="385"/>
      <c r="D866" s="1270" t="s">
        <v>1962</v>
      </c>
      <c r="E866" s="1288"/>
      <c r="F866" s="1288"/>
      <c r="G866" s="3"/>
      <c r="I866" s="524" t="s">
        <v>2144</v>
      </c>
    </row>
    <row r="867" spans="1:9" ht="12.75" customHeight="1">
      <c r="A867" s="385"/>
      <c r="B867" s="385"/>
      <c r="C867" s="385"/>
      <c r="D867" s="1288"/>
      <c r="E867" s="1288"/>
      <c r="F867" s="1288"/>
      <c r="G867" s="3"/>
      <c r="I867" s="524"/>
    </row>
    <row r="868" spans="1:9" ht="12.75" customHeight="1">
      <c r="A868" s="385"/>
      <c r="B868" s="385"/>
      <c r="C868" s="385"/>
      <c r="D868" s="118"/>
      <c r="E868" s="3"/>
      <c r="F868" s="3"/>
      <c r="G868" s="3"/>
      <c r="I868" s="524"/>
    </row>
    <row r="869" spans="1:9" ht="12.75" customHeight="1">
      <c r="A869" s="385"/>
      <c r="B869" s="519" t="s">
        <v>2641</v>
      </c>
      <c r="C869" s="385"/>
      <c r="D869" s="1335" t="s">
        <v>1963</v>
      </c>
      <c r="E869" s="1335"/>
      <c r="F869" s="1335"/>
      <c r="G869" s="1023"/>
      <c r="I869" s="524"/>
    </row>
    <row r="870" spans="1:9" ht="12.75" customHeight="1">
      <c r="A870" s="385"/>
      <c r="B870" s="1031"/>
      <c r="C870" s="385"/>
      <c r="D870" s="1335"/>
      <c r="E870" s="1335"/>
      <c r="F870" s="1335"/>
      <c r="G870" s="1023"/>
      <c r="I870" s="524"/>
    </row>
    <row r="871" spans="1:9" ht="12.75" customHeight="1">
      <c r="A871" s="176"/>
      <c r="B871"/>
      <c r="C871" s="385"/>
      <c r="D871" s="1270" t="s">
        <v>2381</v>
      </c>
      <c r="E871" s="1270"/>
      <c r="F871" s="1270"/>
      <c r="G871" s="1023"/>
      <c r="I871" s="524"/>
    </row>
    <row r="872" spans="1:9" ht="12.75" customHeight="1">
      <c r="A872" s="176"/>
      <c r="B872" s="176"/>
      <c r="C872" s="385"/>
      <c r="D872" s="1270"/>
      <c r="E872" s="1270"/>
      <c r="F872" s="1270"/>
      <c r="G872" s="1023"/>
      <c r="I872" s="524"/>
    </row>
    <row r="873" spans="1:9" ht="12.75" customHeight="1">
      <c r="A873" s="176"/>
      <c r="B873" s="176"/>
      <c r="C873" s="385"/>
      <c r="D873" s="1270"/>
      <c r="E873" s="1270"/>
      <c r="F873" s="1270"/>
      <c r="G873" s="1023"/>
      <c r="I873" s="524"/>
    </row>
    <row r="874" spans="1:9" ht="12.75" customHeight="1">
      <c r="A874" s="176"/>
      <c r="B874" s="176"/>
      <c r="C874" s="385"/>
      <c r="D874" s="1270"/>
      <c r="E874" s="1270"/>
      <c r="F874" s="1270"/>
      <c r="G874" s="1023"/>
      <c r="I874" s="524"/>
    </row>
    <row r="875" spans="1:9" ht="12.75" customHeight="1">
      <c r="A875" s="176"/>
      <c r="B875" s="176"/>
      <c r="C875" s="385"/>
      <c r="D875" s="1270"/>
      <c r="E875" s="1270"/>
      <c r="F875" s="1270"/>
      <c r="G875" s="1023"/>
      <c r="I875" s="524"/>
    </row>
    <row r="876" spans="1:9" ht="12.75" customHeight="1">
      <c r="A876" s="176"/>
      <c r="B876" s="176"/>
      <c r="C876" s="385"/>
      <c r="D876" s="1270"/>
      <c r="E876" s="1270"/>
      <c r="F876" s="1270"/>
      <c r="G876" s="1023"/>
      <c r="I876" s="524"/>
    </row>
    <row r="877" spans="1:9" ht="12.75" customHeight="1">
      <c r="A877" s="176"/>
      <c r="B877" s="176"/>
      <c r="C877" s="385"/>
      <c r="D877" s="118"/>
      <c r="E877" s="1023"/>
      <c r="F877" s="1023"/>
      <c r="G877" s="1023"/>
      <c r="I877" s="524"/>
    </row>
    <row r="878" spans="1:9" ht="12.75" customHeight="1">
      <c r="A878" s="176"/>
      <c r="B878" s="519" t="s">
        <v>2641</v>
      </c>
      <c r="C878" s="385"/>
      <c r="D878" s="1313" t="s">
        <v>1956</v>
      </c>
      <c r="E878" s="1313"/>
      <c r="F878" s="1313"/>
      <c r="G878" s="1023"/>
      <c r="I878" s="524" t="s">
        <v>2126</v>
      </c>
    </row>
    <row r="879" spans="1:9" ht="12.75" customHeight="1">
      <c r="A879" s="176"/>
      <c r="B879" s="176"/>
      <c r="C879" s="385"/>
      <c r="D879" s="1313" t="s">
        <v>1957</v>
      </c>
      <c r="E879" s="1313"/>
      <c r="F879" s="1313"/>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2641</v>
      </c>
      <c r="C882" s="385"/>
      <c r="D882" s="1270" t="s">
        <v>1958</v>
      </c>
      <c r="E882" s="1270"/>
      <c r="F882" s="1270"/>
      <c r="G882" s="1023"/>
      <c r="I882" s="524" t="s">
        <v>2144</v>
      </c>
    </row>
    <row r="883" spans="1:9" ht="12.75" customHeight="1">
      <c r="A883" s="176"/>
      <c r="B883" s="176"/>
      <c r="C883" s="385"/>
      <c r="D883" s="1270"/>
      <c r="E883" s="1270"/>
      <c r="F883" s="1270"/>
      <c r="G883" s="1023"/>
      <c r="I883" s="524"/>
    </row>
    <row r="884" spans="1:9" ht="12.75" customHeight="1">
      <c r="A884" s="176"/>
      <c r="B884" s="176"/>
      <c r="C884" s="385"/>
      <c r="D884" s="1270"/>
      <c r="E884" s="1270"/>
      <c r="F884" s="1270"/>
      <c r="G884" s="1023"/>
      <c r="I884" s="524"/>
    </row>
    <row r="885" spans="1:9" ht="12.75" customHeight="1">
      <c r="A885" s="176"/>
      <c r="B885" s="176"/>
      <c r="C885" s="385"/>
      <c r="D885" s="1270"/>
      <c r="E885" s="1270"/>
      <c r="F885" s="1270"/>
      <c r="G885" s="1023"/>
      <c r="I885" s="524"/>
    </row>
    <row r="886" spans="1:9" ht="12.75" customHeight="1">
      <c r="A886" s="118"/>
      <c r="B886" s="118"/>
      <c r="C886" s="1024"/>
      <c r="D886" s="1023"/>
      <c r="E886" s="1023"/>
      <c r="F886" s="1023"/>
      <c r="G886" s="1023"/>
      <c r="I886" s="524"/>
    </row>
    <row r="887" spans="1:9" ht="12.75" customHeight="1">
      <c r="A887" s="1315" t="s">
        <v>1994</v>
      </c>
      <c r="B887" s="1315"/>
      <c r="C887" s="1315"/>
      <c r="D887" s="1315"/>
      <c r="E887" s="1315"/>
      <c r="F887" s="1315"/>
      <c r="G887" s="1315"/>
      <c r="H887" s="1063"/>
      <c r="I887" s="1256"/>
    </row>
    <row r="888" spans="1:9" ht="12.75" customHeight="1">
      <c r="A888" s="57"/>
      <c r="B888" s="57"/>
      <c r="C888" s="57"/>
      <c r="D888" s="57"/>
      <c r="E888" s="57"/>
      <c r="F888" s="57"/>
      <c r="G888" s="57"/>
      <c r="I888" s="524"/>
    </row>
    <row r="889" spans="1:9" ht="12.75" customHeight="1">
      <c r="A889" s="57"/>
      <c r="B889" s="57"/>
      <c r="C889" s="57"/>
      <c r="D889" s="1309" t="s">
        <v>2000</v>
      </c>
      <c r="E889" s="1309"/>
      <c r="F889" s="1309"/>
      <c r="G889" s="57"/>
      <c r="I889" s="524"/>
    </row>
    <row r="890" spans="1:9" ht="12.75" customHeight="1">
      <c r="A890" s="57"/>
      <c r="B890" s="57"/>
      <c r="C890" s="57"/>
      <c r="D890" s="1016"/>
      <c r="E890" s="1016"/>
      <c r="F890" s="1016"/>
      <c r="G890" s="57"/>
      <c r="I890" s="524"/>
    </row>
    <row r="891" spans="1:9" ht="12.75" customHeight="1">
      <c r="A891" s="57"/>
      <c r="B891" s="519" t="s">
        <v>2641</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9" t="s">
        <v>1995</v>
      </c>
      <c r="E893" s="1309"/>
      <c r="F893" s="1309"/>
      <c r="G893" s="1023"/>
      <c r="I893" s="524"/>
    </row>
    <row r="894" spans="1:9" ht="12.75" customHeight="1">
      <c r="A894" s="172"/>
      <c r="B894" s="172"/>
      <c r="C894" s="172"/>
      <c r="D894" s="1281" t="s">
        <v>1964</v>
      </c>
      <c r="E894" s="1281"/>
      <c r="F894" s="1281"/>
      <c r="G894" s="1023"/>
      <c r="I894" s="524"/>
    </row>
    <row r="895" spans="1:9" ht="12.75" customHeight="1">
      <c r="A895" s="1024"/>
      <c r="B895" s="1024"/>
      <c r="C895" s="1024"/>
      <c r="D895" s="2"/>
      <c r="E895" s="1023"/>
      <c r="F895" s="1023"/>
      <c r="G895" s="1023"/>
      <c r="I895" s="524"/>
    </row>
    <row r="896" spans="1:9" ht="12.75" customHeight="1">
      <c r="A896" s="176"/>
      <c r="B896" s="519" t="s">
        <v>2642</v>
      </c>
      <c r="C896" s="385"/>
      <c r="D896" s="1270" t="s">
        <v>1968</v>
      </c>
      <c r="E896" s="1270"/>
      <c r="F896" s="1270"/>
      <c r="G896" s="3"/>
      <c r="I896" s="524" t="s">
        <v>2110</v>
      </c>
    </row>
    <row r="897" spans="1:9" ht="12.75" customHeight="1">
      <c r="A897" s="385"/>
      <c r="B897" s="385"/>
      <c r="C897" s="385"/>
      <c r="D897" s="1270"/>
      <c r="E897" s="1270"/>
      <c r="F897" s="1270"/>
      <c r="G897" s="3"/>
      <c r="I897" s="524"/>
    </row>
    <row r="898" spans="1:9" ht="12.75" customHeight="1">
      <c r="A898" s="172"/>
      <c r="B898" s="172"/>
      <c r="C898" s="172"/>
      <c r="D898" s="1270" t="s">
        <v>1967</v>
      </c>
      <c r="E898" s="1270"/>
      <c r="F898" s="1270"/>
      <c r="G898" s="1023"/>
      <c r="I898" s="524"/>
    </row>
    <row r="899" spans="1:9" ht="12.75" customHeight="1">
      <c r="A899" s="172"/>
      <c r="B899" s="172"/>
      <c r="C899" s="172"/>
      <c r="D899" s="1270"/>
      <c r="E899" s="1270"/>
      <c r="F899" s="1270"/>
      <c r="G899" s="1023"/>
      <c r="I899" s="524"/>
    </row>
    <row r="900" spans="1:9" ht="12.75" customHeight="1">
      <c r="A900" s="172"/>
      <c r="B900" s="172"/>
      <c r="C900" s="172"/>
      <c r="D900" s="3"/>
      <c r="E900" s="3"/>
      <c r="F900" s="1023"/>
      <c r="G900" s="1023"/>
      <c r="I900" s="524"/>
    </row>
    <row r="901" spans="1:9" ht="12.75" customHeight="1">
      <c r="A901" s="176"/>
      <c r="B901" s="519" t="s">
        <v>2642</v>
      </c>
      <c r="C901" s="175"/>
      <c r="D901" s="1280" t="s">
        <v>1965</v>
      </c>
      <c r="E901" s="1280"/>
      <c r="F901" s="1280"/>
      <c r="G901" s="1023"/>
      <c r="I901" s="524" t="s">
        <v>2109</v>
      </c>
    </row>
    <row r="902" spans="1:9" ht="12.75" customHeight="1">
      <c r="A902" s="176"/>
      <c r="B902" s="176"/>
      <c r="C902" s="175"/>
      <c r="D902" s="1280"/>
      <c r="E902" s="1280"/>
      <c r="F902" s="1280"/>
      <c r="G902" s="1023"/>
      <c r="I902" s="524"/>
    </row>
    <row r="903" spans="1:9" ht="12.75" customHeight="1">
      <c r="A903" s="176"/>
      <c r="B903" s="176"/>
      <c r="C903" s="175"/>
      <c r="D903" s="1280"/>
      <c r="E903" s="1280"/>
      <c r="F903" s="1280"/>
      <c r="G903" s="1023"/>
      <c r="I903" s="524"/>
    </row>
    <row r="904" spans="1:9" ht="12.75" customHeight="1">
      <c r="A904" s="176"/>
      <c r="B904" s="176"/>
      <c r="C904" s="175"/>
      <c r="D904" s="1280"/>
      <c r="E904" s="1280"/>
      <c r="F904" s="1280"/>
      <c r="G904" s="1023"/>
      <c r="I904" s="524"/>
    </row>
    <row r="905" spans="1:9" ht="12.75" customHeight="1">
      <c r="A905" s="176"/>
      <c r="B905" s="176"/>
      <c r="C905" s="175"/>
      <c r="D905" s="1280"/>
      <c r="E905" s="1280"/>
      <c r="F905" s="1280"/>
      <c r="G905" s="1023"/>
      <c r="I905" s="524"/>
    </row>
    <row r="906" spans="1:9" ht="12.75" customHeight="1">
      <c r="A906" s="175"/>
      <c r="B906" s="175"/>
      <c r="C906" s="175"/>
      <c r="D906" s="1280"/>
      <c r="E906" s="1280"/>
      <c r="F906" s="1280"/>
      <c r="G906" s="1023"/>
      <c r="I906" s="524"/>
    </row>
    <row r="907" spans="1:9" ht="12.75" customHeight="1">
      <c r="A907" s="175"/>
      <c r="B907" s="175"/>
      <c r="C907" s="175"/>
      <c r="D907" s="1280"/>
      <c r="E907" s="1280"/>
      <c r="F907" s="1280"/>
      <c r="G907" s="1023"/>
      <c r="I907" s="524"/>
    </row>
    <row r="908" spans="1:9" ht="12.75" customHeight="1">
      <c r="A908" s="175"/>
      <c r="B908" s="175"/>
      <c r="C908" s="175"/>
      <c r="D908" s="1280"/>
      <c r="E908" s="1280"/>
      <c r="F908" s="1280"/>
      <c r="G908" s="1023"/>
      <c r="I908" s="524"/>
    </row>
    <row r="909" spans="1:9" ht="12.75" customHeight="1">
      <c r="A909" s="175"/>
      <c r="B909" s="175"/>
      <c r="C909" s="175"/>
      <c r="D909" s="363"/>
      <c r="E909" s="363"/>
      <c r="F909" s="363"/>
      <c r="G909" s="1023"/>
      <c r="I909" s="524"/>
    </row>
    <row r="910" spans="1:9" ht="12.75" customHeight="1">
      <c r="A910" s="1024"/>
      <c r="B910" s="519" t="s">
        <v>2641</v>
      </c>
      <c r="C910" s="1024"/>
      <c r="D910" s="1270" t="s">
        <v>1969</v>
      </c>
      <c r="E910" s="1270"/>
      <c r="F910" s="1270"/>
      <c r="G910" s="1023"/>
      <c r="I910" s="524"/>
    </row>
    <row r="911" spans="1:9" ht="12.75" customHeight="1">
      <c r="A911" s="1024"/>
      <c r="B911" s="1024"/>
      <c r="C911" s="1024"/>
      <c r="D911" s="1270"/>
      <c r="E911" s="1270"/>
      <c r="F911" s="1270"/>
      <c r="G911" s="1023"/>
      <c r="I911" s="524"/>
    </row>
    <row r="912" spans="1:9" ht="12.75" customHeight="1">
      <c r="A912" s="1024"/>
      <c r="B912" s="1024"/>
      <c r="C912" s="1024"/>
      <c r="D912" s="1023"/>
      <c r="E912" s="1023"/>
      <c r="F912" s="1023"/>
      <c r="G912" s="1023"/>
      <c r="I912" s="524"/>
    </row>
    <row r="913" spans="1:9" ht="12.75" customHeight="1">
      <c r="A913" s="1024"/>
      <c r="B913" s="519" t="s">
        <v>2641</v>
      </c>
      <c r="C913" s="1024"/>
      <c r="D913" s="1307" t="s">
        <v>1970</v>
      </c>
      <c r="E913" s="1307"/>
      <c r="F913" s="1307"/>
      <c r="G913" s="1023"/>
      <c r="I913" s="524"/>
    </row>
    <row r="914" spans="1:9" ht="12.75" customHeight="1">
      <c r="A914" s="1024"/>
      <c r="B914" s="1024"/>
      <c r="C914" s="1024"/>
      <c r="D914" s="1307"/>
      <c r="E914" s="1307"/>
      <c r="F914" s="1307"/>
      <c r="G914" s="1023"/>
      <c r="I914" s="524"/>
    </row>
    <row r="915" spans="1:9" ht="12.75" customHeight="1">
      <c r="A915" s="1024"/>
      <c r="B915" s="1024"/>
      <c r="C915" s="1024"/>
      <c r="D915" s="1307"/>
      <c r="E915" s="1307"/>
      <c r="F915" s="1307"/>
      <c r="G915" s="1023"/>
      <c r="I915" s="524"/>
    </row>
    <row r="916" spans="1:9" ht="12.75" customHeight="1">
      <c r="A916" s="1024"/>
      <c r="B916" s="1024"/>
      <c r="C916" s="1024"/>
      <c r="D916" s="1307"/>
      <c r="E916" s="1307"/>
      <c r="F916" s="1307"/>
      <c r="G916" s="1023"/>
      <c r="I916" s="524"/>
    </row>
    <row r="917" spans="1:9" ht="12.75" customHeight="1">
      <c r="A917" s="1024"/>
      <c r="B917" s="1024"/>
      <c r="C917" s="1024"/>
      <c r="D917" s="118"/>
      <c r="E917" s="1023"/>
      <c r="F917" s="1023"/>
      <c r="G917" s="1023"/>
      <c r="I917" s="524"/>
    </row>
    <row r="918" spans="1:9" ht="12.75" customHeight="1">
      <c r="A918" s="1024"/>
      <c r="B918" s="519" t="s">
        <v>2641</v>
      </c>
      <c r="C918" s="1024"/>
      <c r="D918" s="1281" t="s">
        <v>2382</v>
      </c>
      <c r="E918" s="1281"/>
      <c r="F918" s="1281"/>
      <c r="G918" s="1023"/>
      <c r="I918" s="524"/>
    </row>
    <row r="919" spans="1:9" ht="12.75" customHeight="1">
      <c r="A919" s="1024"/>
      <c r="B919" s="1024"/>
      <c r="C919" s="1024"/>
      <c r="D919" s="118"/>
      <c r="E919" s="1023"/>
      <c r="F919" s="1023"/>
      <c r="G919" s="1023"/>
      <c r="I919" s="524"/>
    </row>
    <row r="920" spans="1:9" ht="12.75" customHeight="1">
      <c r="A920" s="1024"/>
      <c r="B920" s="519" t="s">
        <v>2641</v>
      </c>
      <c r="C920" s="1024"/>
      <c r="D920" s="1281" t="s">
        <v>2383</v>
      </c>
      <c r="E920" s="1281"/>
      <c r="F920" s="1281"/>
      <c r="G920" s="1023"/>
      <c r="I920" s="524"/>
    </row>
    <row r="921" spans="1:9" ht="12.75" customHeight="1">
      <c r="A921" s="175"/>
      <c r="B921" s="175"/>
      <c r="C921" s="175"/>
      <c r="D921" s="2"/>
      <c r="E921" s="3"/>
      <c r="F921" s="1023"/>
      <c r="G921" s="1023"/>
      <c r="I921" s="524"/>
    </row>
    <row r="922" spans="1:9" ht="12.75" customHeight="1">
      <c r="A922" s="1032"/>
      <c r="B922" s="519" t="s">
        <v>2641</v>
      </c>
      <c r="C922" s="1033"/>
      <c r="D922" s="1280" t="s">
        <v>1966</v>
      </c>
      <c r="E922" s="1280"/>
      <c r="F922" s="1280"/>
      <c r="G922" s="1034"/>
      <c r="I922" s="524" t="s">
        <v>2159</v>
      </c>
    </row>
    <row r="923" spans="1:9" ht="12.75" customHeight="1">
      <c r="A923" s="1032"/>
      <c r="B923" s="1032"/>
      <c r="C923" s="1033"/>
      <c r="D923" s="1280"/>
      <c r="E923" s="1280"/>
      <c r="F923" s="1280"/>
      <c r="G923" s="1034"/>
      <c r="I923" s="524"/>
    </row>
    <row r="924" spans="1:9" ht="12.75" customHeight="1">
      <c r="A924" s="1032"/>
      <c r="B924" s="1032"/>
      <c r="C924" s="1033"/>
      <c r="D924" s="1280"/>
      <c r="E924" s="1280"/>
      <c r="F924" s="1280"/>
      <c r="G924" s="1034"/>
      <c r="I924" s="524"/>
    </row>
    <row r="925" spans="1:9" ht="12.75" customHeight="1">
      <c r="A925" s="1032"/>
      <c r="B925" s="1032"/>
      <c r="C925" s="1033"/>
      <c r="D925" s="1280"/>
      <c r="E925" s="1280"/>
      <c r="F925" s="1280"/>
      <c r="G925" s="1034"/>
      <c r="I925" s="524"/>
    </row>
    <row r="926" spans="1:9" ht="12.75" customHeight="1">
      <c r="A926" s="1032"/>
      <c r="B926" s="1032"/>
      <c r="C926" s="1033"/>
      <c r="D926" s="1280"/>
      <c r="E926" s="1280"/>
      <c r="F926" s="1280"/>
      <c r="G926" s="1034"/>
      <c r="I926" s="524"/>
    </row>
    <row r="927" spans="1:9" ht="12.75" customHeight="1">
      <c r="A927" s="1032"/>
      <c r="B927" s="1032"/>
      <c r="C927" s="1033"/>
      <c r="D927" s="1280"/>
      <c r="E927" s="1280"/>
      <c r="F927" s="1280"/>
      <c r="G927" s="1034"/>
      <c r="I927" s="524"/>
    </row>
    <row r="928" spans="1:9" ht="12.75" customHeight="1">
      <c r="A928" s="1032"/>
      <c r="B928" s="1032"/>
      <c r="C928" s="1033"/>
      <c r="D928" s="1280"/>
      <c r="E928" s="1280"/>
      <c r="F928" s="1280"/>
      <c r="G928" s="1034"/>
      <c r="I928" s="524"/>
    </row>
    <row r="929" spans="1:9" ht="12.75" customHeight="1">
      <c r="A929" s="1032"/>
      <c r="B929" s="1032"/>
      <c r="C929" s="1033"/>
      <c r="D929" s="1280"/>
      <c r="E929" s="1280"/>
      <c r="F929" s="1280"/>
      <c r="G929" s="1034"/>
      <c r="I929" s="524"/>
    </row>
    <row r="930" spans="1:9" ht="12.75" customHeight="1">
      <c r="A930" s="1032"/>
      <c r="B930" s="1032"/>
      <c r="C930" s="1033"/>
      <c r="D930" s="1280"/>
      <c r="E930" s="1280"/>
      <c r="F930" s="1280"/>
      <c r="G930" s="1034"/>
      <c r="I930" s="524"/>
    </row>
    <row r="931" spans="1:9" ht="12.75" customHeight="1">
      <c r="A931" s="175"/>
      <c r="B931" s="175"/>
      <c r="C931" s="175"/>
      <c r="D931" s="2"/>
      <c r="E931" s="3"/>
      <c r="F931" s="1023"/>
      <c r="G931" s="1023"/>
      <c r="I931" s="524"/>
    </row>
    <row r="932" spans="1:9" ht="12.75" customHeight="1">
      <c r="A932" s="176"/>
      <c r="B932" s="519" t="s">
        <v>2642</v>
      </c>
      <c r="C932" s="175"/>
      <c r="D932" s="1336" t="s">
        <v>2161</v>
      </c>
      <c r="E932" s="1336"/>
      <c r="F932" s="1336"/>
      <c r="G932" s="1023"/>
      <c r="I932" s="524" t="s">
        <v>2159</v>
      </c>
    </row>
    <row r="933" spans="1:9" ht="12.75" customHeight="1">
      <c r="A933" s="176"/>
      <c r="B933" s="176"/>
      <c r="C933" s="175"/>
      <c r="D933" s="1336"/>
      <c r="E933" s="1336"/>
      <c r="F933" s="1336"/>
      <c r="G933" s="1023"/>
      <c r="I933" s="524"/>
    </row>
    <row r="934" spans="1:9" ht="12.75" customHeight="1">
      <c r="A934" s="176"/>
      <c r="B934" s="176"/>
      <c r="C934" s="175"/>
      <c r="D934" s="1336"/>
      <c r="E934" s="1336"/>
      <c r="F934" s="1336"/>
      <c r="G934" s="1023"/>
      <c r="I934" s="524"/>
    </row>
    <row r="935" spans="1:9" ht="12.75" customHeight="1">
      <c r="A935" s="176"/>
      <c r="B935" s="176"/>
      <c r="C935" s="175"/>
      <c r="D935" s="1336"/>
      <c r="E935" s="1336"/>
      <c r="F935" s="1336"/>
      <c r="G935" s="1023"/>
      <c r="I935" s="524"/>
    </row>
    <row r="936" spans="1:9" ht="12.75" customHeight="1">
      <c r="A936" s="176"/>
      <c r="B936" s="176"/>
      <c r="C936" s="175"/>
      <c r="D936" s="1336"/>
      <c r="E936" s="1336"/>
      <c r="F936" s="1336"/>
      <c r="G936" s="1023"/>
      <c r="I936" s="524"/>
    </row>
    <row r="937" spans="1:9" ht="12.75" customHeight="1">
      <c r="A937" s="176"/>
      <c r="B937" s="176"/>
      <c r="C937" s="175"/>
      <c r="D937" s="1336"/>
      <c r="E937" s="1336"/>
      <c r="F937" s="1336"/>
      <c r="G937" s="1023"/>
      <c r="I937" s="524"/>
    </row>
    <row r="938" spans="1:9" ht="12.75" customHeight="1">
      <c r="A938" s="176"/>
      <c r="B938" s="176"/>
      <c r="C938" s="175"/>
      <c r="D938" s="1336"/>
      <c r="E938" s="1336"/>
      <c r="F938" s="1336"/>
      <c r="G938" s="1023"/>
      <c r="I938" s="524"/>
    </row>
    <row r="939" spans="1:9" ht="12.75" customHeight="1">
      <c r="A939" s="176"/>
      <c r="B939" s="176"/>
      <c r="C939" s="175"/>
      <c r="D939" s="1061"/>
      <c r="E939" s="1061"/>
      <c r="F939" s="1061"/>
      <c r="G939" s="1023"/>
      <c r="I939" s="524"/>
    </row>
    <row r="940" spans="1:9" ht="12.75" customHeight="1">
      <c r="A940" s="176"/>
      <c r="B940" s="519" t="s">
        <v>2642</v>
      </c>
      <c r="C940" s="175"/>
      <c r="D940" s="1279" t="s">
        <v>2455</v>
      </c>
      <c r="E940" s="1279"/>
      <c r="F940" s="1279"/>
      <c r="G940" s="1023"/>
      <c r="I940" s="524"/>
    </row>
    <row r="941" spans="1:9" ht="12.75" customHeight="1">
      <c r="A941" s="176"/>
      <c r="B941" s="176"/>
      <c r="C941" s="175"/>
      <c r="D941" s="1279"/>
      <c r="E941" s="1279"/>
      <c r="F941" s="1279"/>
      <c r="G941" s="1023"/>
      <c r="I941" s="524"/>
    </row>
    <row r="942" spans="1:9" ht="12.75" customHeight="1">
      <c r="A942" s="176"/>
      <c r="B942" s="176"/>
      <c r="C942" s="175"/>
      <c r="D942" s="1279"/>
      <c r="E942" s="1279"/>
      <c r="F942" s="1279"/>
      <c r="G942" s="1023"/>
      <c r="I942" s="524"/>
    </row>
    <row r="943" spans="1:9" ht="12.75" customHeight="1">
      <c r="A943" s="176"/>
      <c r="B943" s="176"/>
      <c r="C943" s="175"/>
      <c r="D943" s="1279"/>
      <c r="E943" s="1279"/>
      <c r="F943" s="1279"/>
      <c r="G943" s="1023"/>
      <c r="I943" s="524"/>
    </row>
    <row r="944" spans="1:9" ht="12.75" customHeight="1">
      <c r="A944" s="176"/>
      <c r="B944" s="176"/>
      <c r="C944" s="175"/>
      <c r="D944" s="1279"/>
      <c r="E944" s="1279"/>
      <c r="F944" s="1279"/>
      <c r="G944" s="1023"/>
      <c r="I944" s="524"/>
    </row>
    <row r="945" spans="1:9" ht="12.75" customHeight="1">
      <c r="A945" s="176"/>
      <c r="B945" s="176"/>
      <c r="C945" s="175"/>
      <c r="D945" s="1279"/>
      <c r="E945" s="1279"/>
      <c r="F945" s="1279"/>
      <c r="G945" s="1023"/>
      <c r="I945" s="524"/>
    </row>
    <row r="946" spans="1:9" ht="12.75" customHeight="1">
      <c r="A946" s="176"/>
      <c r="B946" s="176"/>
      <c r="C946" s="175"/>
      <c r="D946" s="1061"/>
      <c r="E946" s="1061"/>
      <c r="F946" s="1061"/>
      <c r="G946" s="1023"/>
      <c r="I946" s="524"/>
    </row>
    <row r="947" spans="1:9" ht="12.75" customHeight="1">
      <c r="A947" s="1024"/>
      <c r="B947" s="519" t="s">
        <v>2641</v>
      </c>
      <c r="C947" s="1024"/>
      <c r="D947" s="1307" t="s">
        <v>1971</v>
      </c>
      <c r="E947" s="1307"/>
      <c r="F947" s="1307"/>
      <c r="G947" s="1023"/>
      <c r="I947" s="524"/>
    </row>
    <row r="948" spans="1:9" ht="12.75" customHeight="1">
      <c r="A948" s="1024"/>
      <c r="B948" s="1024"/>
      <c r="C948" s="1024"/>
      <c r="D948" s="1307"/>
      <c r="E948" s="1307"/>
      <c r="F948" s="1307"/>
      <c r="G948" s="1023"/>
      <c r="I948" s="524"/>
    </row>
    <row r="949" spans="1:9" ht="12.75" customHeight="1">
      <c r="A949" s="1024"/>
      <c r="B949" s="1024"/>
      <c r="C949" s="1024"/>
      <c r="D949" s="1307"/>
      <c r="E949" s="1307"/>
      <c r="F949" s="1307"/>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2641</v>
      </c>
      <c r="C952" s="175"/>
      <c r="D952" s="1280" t="s">
        <v>2160</v>
      </c>
      <c r="E952" s="1280"/>
      <c r="F952" s="1280"/>
      <c r="G952" s="1023"/>
      <c r="I952" s="524" t="s">
        <v>2159</v>
      </c>
    </row>
    <row r="953" spans="1:9" ht="12.75" customHeight="1">
      <c r="A953" s="176"/>
      <c r="B953" s="176"/>
      <c r="C953" s="175"/>
      <c r="D953" s="1280"/>
      <c r="E953" s="1280"/>
      <c r="F953" s="1280"/>
      <c r="G953" s="1023"/>
      <c r="I953" s="524"/>
    </row>
    <row r="954" spans="1:9" ht="12.75" customHeight="1">
      <c r="A954" s="176"/>
      <c r="B954" s="176"/>
      <c r="C954" s="175"/>
      <c r="D954" s="1280"/>
      <c r="E954" s="1280"/>
      <c r="F954" s="1280"/>
      <c r="G954" s="1023"/>
      <c r="I954" s="524"/>
    </row>
    <row r="955" spans="1:9" ht="12.75" customHeight="1">
      <c r="A955" s="176"/>
      <c r="B955" s="176"/>
      <c r="C955" s="175"/>
      <c r="D955" s="1280"/>
      <c r="E955" s="1280"/>
      <c r="F955" s="1280"/>
      <c r="G955" s="1023"/>
      <c r="I955" s="524"/>
    </row>
    <row r="956" spans="1:9" ht="12.75" customHeight="1">
      <c r="A956" s="1024"/>
      <c r="B956" s="1024"/>
      <c r="C956" s="1024"/>
      <c r="D956" s="1015"/>
      <c r="E956" s="1015"/>
      <c r="F956" s="1015"/>
      <c r="G956" s="1015"/>
      <c r="I956" s="524"/>
    </row>
    <row r="957" spans="1:9" ht="12.75" customHeight="1">
      <c r="A957" s="385"/>
      <c r="B957" s="385"/>
      <c r="C957" s="385"/>
      <c r="D957" s="1286" t="s">
        <v>1972</v>
      </c>
      <c r="E957" s="1286"/>
      <c r="F957" s="1286"/>
      <c r="G957" s="3"/>
      <c r="I957" s="524"/>
    </row>
    <row r="958" spans="1:9" ht="12.75" customHeight="1">
      <c r="A958" s="176"/>
      <c r="B958" s="519" t="s">
        <v>2641</v>
      </c>
      <c r="C958" s="385"/>
      <c r="D958" s="1281" t="s">
        <v>1996</v>
      </c>
      <c r="E958" s="1281"/>
      <c r="F958" s="1281"/>
      <c r="G958" s="3"/>
      <c r="I958" s="524" t="s">
        <v>2159</v>
      </c>
    </row>
    <row r="959" spans="1:9" ht="12.75" customHeight="1">
      <c r="A959" s="385"/>
      <c r="B959" s="385"/>
      <c r="C959" s="385"/>
      <c r="D959" s="3"/>
      <c r="E959" s="3"/>
      <c r="F959" s="3"/>
      <c r="G959" s="3"/>
      <c r="I959" s="524"/>
    </row>
    <row r="960" spans="1:9" ht="12.75" customHeight="1">
      <c r="A960" s="385"/>
      <c r="B960" s="385"/>
      <c r="C960" s="385"/>
      <c r="D960" s="1286" t="s">
        <v>1973</v>
      </c>
      <c r="E960" s="1286"/>
      <c r="F960" s="1286"/>
      <c r="G960"/>
      <c r="I960" s="524"/>
    </row>
    <row r="961" spans="1:9" ht="12.75" customHeight="1">
      <c r="A961" s="176"/>
      <c r="B961" s="519" t="s">
        <v>2641</v>
      </c>
      <c r="C961" s="385"/>
      <c r="D961" s="1270" t="s">
        <v>2384</v>
      </c>
      <c r="E961" s="1270"/>
      <c r="F961" s="1270"/>
      <c r="G961"/>
      <c r="I961" s="524" t="s">
        <v>2159</v>
      </c>
    </row>
    <row r="962" spans="1:9" ht="12.75" customHeight="1">
      <c r="A962" s="176"/>
      <c r="B962" s="176"/>
      <c r="C962" s="385"/>
      <c r="D962" s="1270"/>
      <c r="E962" s="1270"/>
      <c r="F962" s="1270"/>
      <c r="G962"/>
      <c r="I962" s="524"/>
    </row>
    <row r="963" spans="1:9" ht="12.75" customHeight="1">
      <c r="A963" s="176"/>
      <c r="B963" s="176"/>
      <c r="C963" s="385"/>
      <c r="D963" s="1270"/>
      <c r="E963" s="1270"/>
      <c r="F963" s="1270"/>
      <c r="G963"/>
      <c r="I963" s="524"/>
    </row>
    <row r="964" spans="1:9" ht="12.75" customHeight="1">
      <c r="A964" s="176"/>
      <c r="B964" s="176"/>
      <c r="C964" s="385"/>
      <c r="D964" s="1270"/>
      <c r="E964" s="1270"/>
      <c r="F964" s="1270"/>
      <c r="G964"/>
      <c r="I964" s="524"/>
    </row>
    <row r="965" spans="1:9" ht="12.75" customHeight="1">
      <c r="A965" s="176"/>
      <c r="B965" s="176"/>
      <c r="C965" s="385"/>
      <c r="D965" s="1270"/>
      <c r="E965" s="1270"/>
      <c r="F965" s="1270"/>
      <c r="G965"/>
      <c r="I965" s="524"/>
    </row>
    <row r="966" spans="1:9" ht="12.75" customHeight="1">
      <c r="A966" s="176"/>
      <c r="B966" s="176"/>
      <c r="C966" s="385"/>
      <c r="D966" s="1270"/>
      <c r="E966" s="1270"/>
      <c r="F966" s="1270"/>
      <c r="G966"/>
      <c r="I966" s="524"/>
    </row>
    <row r="967" spans="1:9" ht="12.75" customHeight="1">
      <c r="A967" s="176"/>
      <c r="B967" s="176"/>
      <c r="C967" s="385"/>
      <c r="D967" s="1270"/>
      <c r="E967" s="1270"/>
      <c r="F967" s="1270"/>
      <c r="G967"/>
      <c r="I967" s="524"/>
    </row>
    <row r="968" spans="1:9" ht="12.75" customHeight="1">
      <c r="A968" s="176"/>
      <c r="B968" s="176"/>
      <c r="C968" s="385"/>
      <c r="D968" s="1270"/>
      <c r="E968" s="1270"/>
      <c r="F968" s="1270"/>
      <c r="G968"/>
      <c r="I968" s="524"/>
    </row>
    <row r="969" spans="1:9" ht="12.75" customHeight="1">
      <c r="A969" s="176"/>
      <c r="B969" s="176"/>
      <c r="C969" s="385"/>
      <c r="D969" s="1270"/>
      <c r="E969" s="1270"/>
      <c r="F969" s="1270"/>
      <c r="G969"/>
      <c r="I969" s="524"/>
    </row>
    <row r="970" spans="1:9" ht="12.75" customHeight="1">
      <c r="A970" s="176"/>
      <c r="B970" s="176"/>
      <c r="C970" s="385"/>
      <c r="D970" s="1270"/>
      <c r="E970" s="1270"/>
      <c r="F970" s="1270"/>
      <c r="G970"/>
      <c r="I970" s="524"/>
    </row>
    <row r="971" spans="1:9" ht="12.75" customHeight="1">
      <c r="A971" s="176"/>
      <c r="B971" s="176"/>
      <c r="C971" s="385"/>
      <c r="D971" s="1270"/>
      <c r="E971" s="1270"/>
      <c r="F971" s="1270"/>
      <c r="G971"/>
      <c r="I971" s="524"/>
    </row>
    <row r="972" spans="1:9" ht="12.75" customHeight="1">
      <c r="A972" s="176"/>
      <c r="B972" s="176"/>
      <c r="C972" s="385"/>
      <c r="D972" s="1270"/>
      <c r="E972" s="1270"/>
      <c r="F972" s="1270"/>
      <c r="G972"/>
      <c r="I972" s="524"/>
    </row>
    <row r="973" spans="1:9" ht="12.75" customHeight="1">
      <c r="A973" s="176"/>
      <c r="B973" s="176"/>
      <c r="C973" s="385"/>
      <c r="D973" s="1270"/>
      <c r="E973" s="1270"/>
      <c r="F973" s="1270"/>
      <c r="G973"/>
      <c r="I973" s="524"/>
    </row>
    <row r="974" spans="1:9" ht="12.75" customHeight="1">
      <c r="A974" s="176"/>
      <c r="B974" s="176"/>
      <c r="C974" s="385"/>
      <c r="D974" s="1270"/>
      <c r="E974" s="1270"/>
      <c r="F974" s="1270"/>
      <c r="G974"/>
      <c r="I974" s="524"/>
    </row>
    <row r="975" spans="1:9" ht="12.75" customHeight="1">
      <c r="A975" s="176"/>
      <c r="B975" s="176"/>
      <c r="C975" s="385"/>
      <c r="D975" s="1270"/>
      <c r="E975" s="1270"/>
      <c r="F975" s="1270"/>
      <c r="G975" s="3"/>
      <c r="I975" s="524"/>
    </row>
    <row r="976" spans="1:9" ht="12.75" customHeight="1">
      <c r="A976" s="385"/>
      <c r="B976" s="385"/>
      <c r="C976" s="385"/>
      <c r="D976" s="3"/>
      <c r="E976" s="3"/>
      <c r="F976" s="3"/>
      <c r="G976" s="3"/>
      <c r="I976" s="524"/>
    </row>
    <row r="977" spans="1:9" ht="12.75" customHeight="1">
      <c r="A977" s="1315" t="s">
        <v>1974</v>
      </c>
      <c r="B977" s="1315"/>
      <c r="C977" s="1315"/>
      <c r="D977" s="1315"/>
      <c r="E977" s="1315"/>
      <c r="F977" s="1315"/>
      <c r="G977" s="1315"/>
      <c r="H977" s="1063"/>
      <c r="I977" s="1256"/>
    </row>
    <row r="978" spans="1:9" ht="12.75" customHeight="1">
      <c r="A978" s="118"/>
      <c r="B978" s="118"/>
      <c r="C978" s="385"/>
      <c r="D978" s="3"/>
      <c r="E978" s="3"/>
      <c r="F978" s="3"/>
      <c r="G978" s="3"/>
      <c r="I978" s="524"/>
    </row>
    <row r="979" spans="1:9" ht="12.75" customHeight="1">
      <c r="A979" s="385"/>
      <c r="B979" s="385"/>
      <c r="C979" s="1024"/>
      <c r="D979" s="1286" t="s">
        <v>1997</v>
      </c>
      <c r="E979" s="1286"/>
      <c r="F979" s="1286"/>
      <c r="G979" s="3"/>
      <c r="I979" s="524"/>
    </row>
    <row r="980" spans="1:9" ht="12.75" customHeight="1">
      <c r="A980" s="172"/>
      <c r="B980" s="172"/>
      <c r="C980" s="172"/>
      <c r="D980" s="1281" t="s">
        <v>1975</v>
      </c>
      <c r="E980" s="1281"/>
      <c r="F980" s="1281"/>
      <c r="G980" s="3"/>
      <c r="I980" s="524"/>
    </row>
    <row r="981" spans="1:9" ht="12.75" customHeight="1">
      <c r="A981" s="172"/>
      <c r="B981" s="172"/>
      <c r="C981" s="172"/>
      <c r="D981" s="3"/>
      <c r="E981" s="3"/>
      <c r="F981" s="1023"/>
      <c r="G981"/>
      <c r="I981" s="524"/>
    </row>
    <row r="982" spans="1:9" ht="12.75" customHeight="1">
      <c r="A982" s="385"/>
      <c r="B982" s="519" t="s">
        <v>2641</v>
      </c>
      <c r="C982" s="385"/>
      <c r="D982" s="1334" t="s">
        <v>2214</v>
      </c>
      <c r="E982" s="1334"/>
      <c r="F982" s="1334"/>
      <c r="G982"/>
      <c r="I982" s="524" t="s">
        <v>2139</v>
      </c>
    </row>
    <row r="983" spans="1:9" ht="12.75" customHeight="1">
      <c r="A983" s="385"/>
      <c r="B983" s="385"/>
      <c r="C983" s="385"/>
      <c r="D983" s="1334"/>
      <c r="E983" s="1334"/>
      <c r="F983" s="1334"/>
      <c r="G983"/>
      <c r="I983" s="524"/>
    </row>
    <row r="984" spans="1:9" ht="12.75" customHeight="1">
      <c r="A984" s="385"/>
      <c r="B984" s="385"/>
      <c r="C984" s="385"/>
      <c r="D984" s="1073"/>
      <c r="E984" s="1071" t="s">
        <v>2215</v>
      </c>
      <c r="F984" s="1073"/>
      <c r="G984"/>
      <c r="I984" s="524"/>
    </row>
    <row r="985" spans="1:9" ht="12.75" customHeight="1">
      <c r="A985" s="385"/>
      <c r="B985" s="385"/>
      <c r="C985" s="385"/>
      <c r="D985" s="1274" t="s">
        <v>2213</v>
      </c>
      <c r="E985" s="1274"/>
      <c r="F985" s="1274"/>
      <c r="G985"/>
      <c r="I985" s="524"/>
    </row>
    <row r="986" spans="1:9" ht="12.75" customHeight="1">
      <c r="A986" s="385"/>
      <c r="B986" s="385"/>
      <c r="C986" s="385"/>
      <c r="D986" s="1274"/>
      <c r="E986" s="1274"/>
      <c r="F986" s="1274"/>
      <c r="G986"/>
      <c r="I986" s="524"/>
    </row>
    <row r="987" spans="1:9" ht="12.75" customHeight="1">
      <c r="A987" s="175"/>
      <c r="B987" s="175"/>
      <c r="C987" s="175"/>
      <c r="D987" s="1274"/>
      <c r="E987" s="1274"/>
      <c r="F987" s="1274"/>
      <c r="G987"/>
      <c r="I987" s="524"/>
    </row>
    <row r="988" spans="1:9" ht="12.75" customHeight="1">
      <c r="A988" s="175"/>
      <c r="B988" s="175"/>
      <c r="C988" s="175"/>
      <c r="D988" s="1274"/>
      <c r="E988" s="1274"/>
      <c r="F988" s="1274"/>
      <c r="G988"/>
      <c r="I988" s="524"/>
    </row>
    <row r="989" spans="1:9" ht="12.75" customHeight="1">
      <c r="A989" s="175"/>
      <c r="B989" s="175"/>
      <c r="C989" s="175"/>
      <c r="D989" s="363"/>
      <c r="E989" s="363"/>
      <c r="F989" s="363"/>
      <c r="G989"/>
      <c r="I989" s="524"/>
    </row>
    <row r="990" spans="1:9" ht="12.75" customHeight="1">
      <c r="A990" s="175"/>
      <c r="B990" s="519" t="s">
        <v>2641</v>
      </c>
      <c r="C990" s="175"/>
      <c r="D990" s="1270" t="s">
        <v>1976</v>
      </c>
      <c r="E990" s="1270"/>
      <c r="F990" s="1270"/>
      <c r="G990"/>
      <c r="I990" s="524"/>
    </row>
    <row r="991" spans="1:9" ht="12.75" customHeight="1">
      <c r="A991" s="175"/>
      <c r="B991" s="175"/>
      <c r="C991" s="175"/>
      <c r="D991" s="1270"/>
      <c r="E991" s="1270"/>
      <c r="F991" s="1270"/>
      <c r="G991"/>
      <c r="I991" s="524"/>
    </row>
    <row r="992" spans="1:9" ht="12.75" customHeight="1">
      <c r="A992" s="175"/>
      <c r="B992" s="175"/>
      <c r="C992" s="175"/>
      <c r="D992" s="1270"/>
      <c r="E992" s="1270"/>
      <c r="F992" s="1270"/>
      <c r="G992"/>
      <c r="I992" s="524"/>
    </row>
    <row r="993" spans="1:9" ht="12.75" customHeight="1">
      <c r="A993" s="175"/>
      <c r="B993" s="175"/>
      <c r="C993" s="175"/>
      <c r="D993" s="1270"/>
      <c r="E993" s="1270"/>
      <c r="F993" s="1270"/>
      <c r="G993"/>
      <c r="I993" s="524"/>
    </row>
    <row r="994" spans="1:9" ht="12.75" customHeight="1">
      <c r="A994" s="175"/>
      <c r="B994" s="175"/>
      <c r="C994" s="175"/>
      <c r="D994" s="474"/>
      <c r="E994" s="474"/>
      <c r="F994" s="474"/>
      <c r="G994"/>
      <c r="I994" s="524"/>
    </row>
    <row r="995" spans="1:9" ht="12.75" customHeight="1">
      <c r="A995" s="175"/>
      <c r="B995" s="519" t="s">
        <v>2641</v>
      </c>
      <c r="C995" s="175"/>
      <c r="D995" s="1270" t="s">
        <v>1977</v>
      </c>
      <c r="E995" s="1270"/>
      <c r="F995" s="1270"/>
      <c r="G995"/>
      <c r="I995" s="524"/>
    </row>
    <row r="996" spans="1:9" ht="12.75" customHeight="1">
      <c r="A996" s="175"/>
      <c r="B996" s="175"/>
      <c r="C996" s="175"/>
      <c r="D996" s="1270"/>
      <c r="E996" s="1270"/>
      <c r="F996" s="1270"/>
      <c r="G996"/>
      <c r="I996" s="524"/>
    </row>
    <row r="997" spans="1:9" ht="12.75" customHeight="1">
      <c r="A997" s="175"/>
      <c r="B997" s="175"/>
      <c r="C997" s="175"/>
      <c r="D997" s="474"/>
      <c r="E997" s="474"/>
      <c r="F997" s="474"/>
      <c r="G997"/>
      <c r="I997" s="524"/>
    </row>
    <row r="998" spans="1:9" ht="12.75" customHeight="1">
      <c r="A998" s="176"/>
      <c r="B998" s="519" t="s">
        <v>2641</v>
      </c>
      <c r="C998" s="385"/>
      <c r="D998" s="1281" t="s">
        <v>1978</v>
      </c>
      <c r="E998" s="1281"/>
      <c r="F998" s="1281"/>
      <c r="G998"/>
      <c r="I998" s="524"/>
    </row>
    <row r="999" spans="1:9" ht="12.75" customHeight="1">
      <c r="A999" s="385"/>
      <c r="B999" s="385"/>
      <c r="C999" s="385"/>
      <c r="D999" s="3"/>
      <c r="E999" s="3"/>
      <c r="F999" s="3"/>
      <c r="G999"/>
      <c r="I999" s="524"/>
    </row>
    <row r="1000" spans="1:9" ht="12.75" customHeight="1">
      <c r="A1000" s="176"/>
      <c r="B1000" s="519" t="s">
        <v>2641</v>
      </c>
      <c r="C1000" s="385"/>
      <c r="D1000" s="1281" t="s">
        <v>1979</v>
      </c>
      <c r="E1000" s="1281"/>
      <c r="F1000" s="1281"/>
      <c r="G1000"/>
      <c r="I1000" s="524"/>
    </row>
    <row r="1001" spans="1:9" ht="12.75" customHeight="1">
      <c r="A1001" s="385"/>
      <c r="B1001" s="385"/>
      <c r="C1001" s="385"/>
      <c r="D1001" s="118"/>
      <c r="E1001" s="3"/>
      <c r="F1001" s="3"/>
      <c r="G1001"/>
      <c r="I1001" s="524"/>
    </row>
    <row r="1002" spans="1:9" ht="12.75" customHeight="1">
      <c r="A1002" s="176"/>
      <c r="B1002" s="519" t="s">
        <v>2641</v>
      </c>
      <c r="C1002" s="385"/>
      <c r="D1002" s="1281" t="s">
        <v>1980</v>
      </c>
      <c r="E1002" s="1281"/>
      <c r="F1002" s="1281"/>
      <c r="G1002"/>
      <c r="I1002" s="524"/>
    </row>
    <row r="1003" spans="1:9" ht="12.75" customHeight="1">
      <c r="A1003" s="385"/>
      <c r="B1003" s="385"/>
      <c r="C1003" s="385"/>
      <c r="D1003" s="118"/>
      <c r="E1003" s="3"/>
      <c r="F1003" s="3"/>
      <c r="G1003"/>
      <c r="I1003" s="524"/>
    </row>
    <row r="1004" spans="1:9" ht="12.75" customHeight="1">
      <c r="A1004" s="176"/>
      <c r="B1004" s="519" t="s">
        <v>2641</v>
      </c>
      <c r="C1004" s="385"/>
      <c r="D1004" s="1270" t="s">
        <v>1981</v>
      </c>
      <c r="E1004" s="1270"/>
      <c r="F1004" s="1270"/>
      <c r="G1004"/>
      <c r="I1004" s="524"/>
    </row>
    <row r="1005" spans="1:9" ht="12.75" customHeight="1">
      <c r="A1005" s="176"/>
      <c r="B1005" s="176"/>
      <c r="C1005" s="385"/>
      <c r="D1005" s="1270"/>
      <c r="E1005" s="1270"/>
      <c r="F1005" s="1270"/>
      <c r="G1005"/>
      <c r="I1005" s="524"/>
    </row>
    <row r="1006" spans="1:9" ht="12.75" customHeight="1">
      <c r="A1006" s="176"/>
      <c r="B1006" s="176"/>
      <c r="C1006" s="385"/>
      <c r="D1006" s="118"/>
      <c r="E1006" s="3"/>
      <c r="F1006" s="3"/>
      <c r="G1006" s="3"/>
      <c r="I1006" s="524"/>
    </row>
    <row r="1007" spans="1:9" ht="12.75" customHeight="1">
      <c r="A1007" s="272"/>
      <c r="B1007" s="519" t="s">
        <v>2641</v>
      </c>
      <c r="C1007" s="1035"/>
      <c r="D1007" s="1310" t="s">
        <v>1982</v>
      </c>
      <c r="E1007" s="1310"/>
      <c r="F1007" s="1310"/>
      <c r="G1007" s="1036"/>
      <c r="I1007" s="524"/>
    </row>
    <row r="1008" spans="1:9" ht="12.75" customHeight="1">
      <c r="A1008" s="1035"/>
      <c r="B1008" s="1035"/>
      <c r="C1008" s="1035"/>
      <c r="D1008" s="1310"/>
      <c r="E1008" s="1310"/>
      <c r="F1008" s="1310"/>
      <c r="G1008" s="1036"/>
      <c r="I1008" s="524"/>
    </row>
    <row r="1009" spans="1:9" ht="12.75" customHeight="1">
      <c r="A1009" s="1035"/>
      <c r="B1009" s="1035"/>
      <c r="C1009" s="1035"/>
      <c r="D1009" s="1019"/>
      <c r="E1009" s="1036"/>
      <c r="F1009" s="1036"/>
      <c r="G1009" s="1036"/>
      <c r="I1009" s="524"/>
    </row>
    <row r="1010" spans="1:9" ht="12.75" customHeight="1">
      <c r="A1010" s="272"/>
      <c r="B1010" s="519" t="s">
        <v>2641</v>
      </c>
      <c r="C1010" s="1035"/>
      <c r="D1010" s="1328" t="s">
        <v>1983</v>
      </c>
      <c r="E1010" s="1328"/>
      <c r="F1010" s="1328"/>
      <c r="G1010" s="1036"/>
      <c r="I1010" s="524"/>
    </row>
    <row r="1011" spans="1:9" ht="12.75" customHeight="1">
      <c r="A1011" s="1035"/>
      <c r="B1011" s="1035"/>
      <c r="C1011" s="1035"/>
      <c r="D1011" s="1019"/>
      <c r="E1011" s="1036"/>
      <c r="F1011" s="1036"/>
      <c r="G1011" s="1036"/>
      <c r="I1011" s="524"/>
    </row>
    <row r="1012" spans="1:9" ht="12.75" customHeight="1">
      <c r="A1012" s="176"/>
      <c r="B1012" s="519" t="s">
        <v>2641</v>
      </c>
      <c r="C1012" s="385"/>
      <c r="D1012" s="1281" t="s">
        <v>1984</v>
      </c>
      <c r="E1012" s="1281"/>
      <c r="F1012" s="1281"/>
      <c r="G1012" s="3"/>
      <c r="I1012" s="524"/>
    </row>
    <row r="1013" spans="1:9" ht="12.75" customHeight="1">
      <c r="A1013" s="176"/>
      <c r="B1013" s="176"/>
      <c r="C1013" s="385"/>
      <c r="D1013" s="118"/>
      <c r="E1013" s="3"/>
      <c r="F1013" s="3"/>
      <c r="G1013" s="3"/>
      <c r="I1013" s="524"/>
    </row>
    <row r="1014" spans="1:9" ht="12.75" customHeight="1">
      <c r="A1014" s="176"/>
      <c r="B1014" s="519" t="s">
        <v>2641</v>
      </c>
      <c r="C1014" s="385"/>
      <c r="D1014" s="1270" t="s">
        <v>1985</v>
      </c>
      <c r="E1014" s="1270"/>
      <c r="F1014" s="1270"/>
      <c r="G1014" s="3"/>
      <c r="I1014" s="524"/>
    </row>
    <row r="1015" spans="1:9" ht="12.75" customHeight="1">
      <c r="A1015" s="176"/>
      <c r="B1015" s="176"/>
      <c r="C1015" s="385"/>
      <c r="D1015" s="1270"/>
      <c r="E1015" s="1270"/>
      <c r="F1015" s="1270"/>
      <c r="G1015" s="3"/>
      <c r="I1015" s="524"/>
    </row>
    <row r="1016" spans="1:9" ht="12.75" customHeight="1">
      <c r="A1016" s="385"/>
      <c r="B1016" s="385"/>
      <c r="C1016" s="385"/>
      <c r="D1016" s="3"/>
      <c r="E1016" s="3"/>
      <c r="F1016" s="3"/>
      <c r="G1016" s="3"/>
      <c r="I1016" s="524"/>
    </row>
    <row r="1017" spans="1:9" ht="12.75" customHeight="1">
      <c r="A1017" s="1315" t="s">
        <v>1986</v>
      </c>
      <c r="B1017" s="1315"/>
      <c r="C1017" s="1315"/>
      <c r="D1017" s="1315"/>
      <c r="E1017" s="1315"/>
      <c r="F1017" s="1315"/>
      <c r="G1017" s="1315"/>
      <c r="H1017" s="1063"/>
      <c r="I1017" s="1256"/>
    </row>
    <row r="1018" spans="1:9" ht="12.75" customHeight="1">
      <c r="A1018" s="385"/>
      <c r="B1018" s="385"/>
      <c r="C1018" s="385"/>
      <c r="D1018" s="3"/>
      <c r="E1018" s="3"/>
      <c r="F1018" s="3"/>
      <c r="G1018" s="3"/>
      <c r="I1018" s="524"/>
    </row>
    <row r="1019" spans="1:9" ht="12.75" customHeight="1">
      <c r="A1019" s="385"/>
      <c r="B1019" s="385"/>
      <c r="C1019" s="385"/>
      <c r="D1019" s="1309" t="s">
        <v>1987</v>
      </c>
      <c r="E1019" s="1309"/>
      <c r="F1019" s="1309"/>
      <c r="G1019" s="3"/>
      <c r="I1019" s="524"/>
    </row>
    <row r="1020" spans="1:9" ht="12.75" customHeight="1">
      <c r="A1020" s="385"/>
      <c r="B1020" s="385"/>
      <c r="C1020" s="385"/>
      <c r="D1020" s="1328" t="s">
        <v>1988</v>
      </c>
      <c r="E1020" s="1328"/>
      <c r="F1020" s="1328"/>
      <c r="G1020" s="3"/>
      <c r="I1020" s="524"/>
    </row>
    <row r="1021" spans="1:9" ht="12.75" customHeight="1">
      <c r="A1021" s="172"/>
      <c r="B1021" s="172"/>
      <c r="C1021" s="172"/>
      <c r="D1021" s="3"/>
      <c r="E1021" s="3"/>
      <c r="F1021" s="3"/>
      <c r="G1021" s="3"/>
      <c r="I1021" s="524"/>
    </row>
    <row r="1022" spans="1:9" ht="12.75" customHeight="1">
      <c r="A1022" s="176"/>
      <c r="B1022" s="176"/>
      <c r="C1022" s="175"/>
      <c r="D1022" s="1309" t="s">
        <v>2002</v>
      </c>
      <c r="E1022" s="1309"/>
      <c r="F1022" s="1309"/>
      <c r="G1022" s="3"/>
      <c r="I1022" s="524" t="s">
        <v>2111</v>
      </c>
    </row>
    <row r="1023" spans="1:9" ht="12.75" customHeight="1">
      <c r="A1023" s="385"/>
      <c r="B1023" s="519" t="s">
        <v>2642</v>
      </c>
      <c r="C1023" s="385"/>
      <c r="D1023" s="1328" t="s">
        <v>1379</v>
      </c>
      <c r="E1023" s="1328"/>
      <c r="F1023" s="1328"/>
      <c r="G1023" s="3"/>
      <c r="I1023" s="524"/>
    </row>
    <row r="1024" spans="1:9" ht="12.75" customHeight="1">
      <c r="A1024" s="385"/>
      <c r="B1024" s="176"/>
      <c r="C1024" s="385"/>
      <c r="D1024" s="1328" t="s">
        <v>1989</v>
      </c>
      <c r="E1024" s="1328"/>
      <c r="F1024" s="1328"/>
      <c r="G1024" s="3"/>
      <c r="I1024" s="524"/>
    </row>
    <row r="1025" spans="1:9" ht="12.75" customHeight="1">
      <c r="A1025" s="385"/>
      <c r="B1025" s="385"/>
      <c r="C1025" s="385"/>
      <c r="D1025" s="1328"/>
      <c r="E1025" s="1328"/>
      <c r="F1025" s="1328"/>
      <c r="G1025" s="3"/>
      <c r="I1025" s="524"/>
    </row>
    <row r="1026" spans="1:9" ht="12.75" customHeight="1">
      <c r="A1026" s="1315" t="s">
        <v>1998</v>
      </c>
      <c r="B1026" s="1315"/>
      <c r="C1026" s="1315"/>
      <c r="D1026" s="1315"/>
      <c r="E1026" s="1315"/>
      <c r="F1026" s="1315"/>
      <c r="G1026" s="1315"/>
      <c r="H1026" s="1063"/>
      <c r="I1026" s="1256"/>
    </row>
    <row r="1027" spans="1:9" ht="12.75" customHeight="1">
      <c r="A1027" s="118"/>
      <c r="B1027" s="118"/>
      <c r="C1027" s="385"/>
      <c r="D1027" s="3"/>
      <c r="E1027" s="3"/>
      <c r="F1027" s="3"/>
      <c r="G1027" s="3"/>
      <c r="I1027" s="524"/>
    </row>
    <row r="1028" spans="1:9" ht="12.75" hidden="1" customHeight="1">
      <c r="A1028" s="118"/>
      <c r="B1028" s="433"/>
      <c r="D1028" s="1317" t="s">
        <v>1380</v>
      </c>
      <c r="E1028" s="1317"/>
      <c r="F1028" s="1317"/>
      <c r="G1028" s="3"/>
      <c r="I1028" s="524"/>
    </row>
    <row r="1029" spans="1:9" ht="12.75" hidden="1" customHeight="1">
      <c r="A1029" s="118"/>
      <c r="B1029" s="519" t="s">
        <v>308</v>
      </c>
      <c r="D1029" s="1319" t="s">
        <v>1379</v>
      </c>
      <c r="E1029" s="1319"/>
      <c r="F1029" s="1319"/>
      <c r="G1029" s="3"/>
      <c r="I1029" s="524"/>
    </row>
    <row r="1030" spans="1:9" ht="12.75" hidden="1" customHeight="1">
      <c r="A1030" s="118"/>
      <c r="B1030" s="433"/>
      <c r="D1030" s="1319" t="s">
        <v>1999</v>
      </c>
      <c r="E1030" s="1319"/>
      <c r="F1030" s="1319"/>
      <c r="G1030" s="3"/>
      <c r="I1030" s="524"/>
    </row>
    <row r="1031" spans="1:9" ht="12.75" hidden="1" customHeight="1">
      <c r="A1031" s="118"/>
      <c r="B1031" s="433"/>
      <c r="D1031" s="478"/>
      <c r="E1031" s="478"/>
      <c r="F1031" s="478"/>
      <c r="G1031" s="3"/>
      <c r="I1031" s="524"/>
    </row>
    <row r="1032" spans="1:9" ht="12.75" customHeight="1">
      <c r="A1032" s="118"/>
      <c r="B1032" s="118"/>
      <c r="C1032" s="385"/>
      <c r="D1032" s="1329" t="s">
        <v>1095</v>
      </c>
      <c r="E1032" s="1329"/>
      <c r="F1032" s="1329"/>
      <c r="G1032" s="3"/>
      <c r="I1032" s="524" t="s">
        <v>2140</v>
      </c>
    </row>
    <row r="1033" spans="1:9" ht="12.75" customHeight="1">
      <c r="A1033" s="345"/>
      <c r="B1033" s="345"/>
      <c r="C1033" s="345"/>
      <c r="D1033" s="1313" t="s">
        <v>1112</v>
      </c>
      <c r="E1033" s="1313"/>
      <c r="F1033" s="1313"/>
      <c r="G1033" s="98"/>
      <c r="I1033" s="524"/>
    </row>
    <row r="1034" spans="1:9" ht="12.75" customHeight="1">
      <c r="A1034" s="176"/>
      <c r="B1034" s="519" t="s">
        <v>2641</v>
      </c>
      <c r="C1034" s="385"/>
      <c r="D1034" s="1313" t="s">
        <v>1005</v>
      </c>
      <c r="E1034" s="1313"/>
      <c r="F1034" s="1313"/>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5" t="s">
        <v>2019</v>
      </c>
      <c r="B1037" s="1315"/>
      <c r="C1037" s="1315"/>
      <c r="D1037" s="1315"/>
      <c r="E1037" s="1315"/>
      <c r="F1037" s="1315"/>
      <c r="G1037" s="1315"/>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2642</v>
      </c>
      <c r="C1042" s="433"/>
      <c r="D1042" s="1331" t="s">
        <v>2003</v>
      </c>
      <c r="E1042" s="1331"/>
      <c r="F1042" s="1331"/>
      <c r="I1042" s="524" t="s">
        <v>2112</v>
      </c>
    </row>
    <row r="1043" spans="1:9">
      <c r="A1043" s="433"/>
      <c r="B1043" s="433"/>
      <c r="C1043" s="433"/>
      <c r="D1043" s="1331"/>
      <c r="E1043" s="1331"/>
      <c r="F1043" s="1331"/>
      <c r="I1043" s="524"/>
    </row>
    <row r="1044" spans="1:9">
      <c r="A1044" s="433"/>
      <c r="B1044" s="433"/>
      <c r="C1044" s="433"/>
      <c r="D1044" s="1331"/>
      <c r="E1044" s="1331"/>
      <c r="F1044" s="1331"/>
      <c r="I1044" s="524"/>
    </row>
    <row r="1045" spans="1:9">
      <c r="A1045" s="433"/>
      <c r="B1045" s="433"/>
      <c r="C1045" s="433"/>
      <c r="D1045" s="1331"/>
      <c r="E1045" s="1331"/>
      <c r="F1045" s="1331"/>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2641</v>
      </c>
      <c r="C1050" s="433"/>
      <c r="D1050" s="433" t="s">
        <v>2001</v>
      </c>
      <c r="I1050" s="524" t="s">
        <v>2113</v>
      </c>
    </row>
    <row r="1051" spans="1:9">
      <c r="A1051" s="433"/>
      <c r="B1051" s="433"/>
      <c r="C1051" s="433"/>
      <c r="I1051" s="524"/>
    </row>
    <row r="1052" spans="1:9">
      <c r="A1052" s="433"/>
      <c r="B1052" s="519" t="s">
        <v>2641</v>
      </c>
      <c r="C1052" s="433"/>
      <c r="D1052" s="1331" t="s">
        <v>2007</v>
      </c>
      <c r="E1052" s="1331"/>
      <c r="F1052" s="1331"/>
      <c r="I1052" s="524" t="s">
        <v>2114</v>
      </c>
    </row>
    <row r="1053" spans="1:9">
      <c r="A1053" s="433"/>
      <c r="B1053" s="433"/>
      <c r="C1053" s="433"/>
      <c r="D1053" s="1331"/>
      <c r="E1053" s="1331"/>
      <c r="F1053" s="1331"/>
      <c r="I1053" s="524"/>
    </row>
    <row r="1054" spans="1:9">
      <c r="A1054" s="433"/>
      <c r="B1054" s="433"/>
      <c r="C1054" s="433"/>
      <c r="D1054" s="1331"/>
      <c r="E1054" s="1331"/>
      <c r="F1054" s="1331"/>
      <c r="I1054" s="524"/>
    </row>
    <row r="1055" spans="1:9">
      <c r="A1055" s="433"/>
      <c r="B1055" s="433"/>
      <c r="C1055" s="433"/>
      <c r="D1055" s="1331"/>
      <c r="E1055" s="1331"/>
      <c r="F1055" s="1331"/>
      <c r="I1055" s="524"/>
    </row>
    <row r="1056" spans="1:9">
      <c r="A1056" s="433"/>
      <c r="B1056" s="433"/>
      <c r="C1056" s="433"/>
      <c r="D1056" s="1331"/>
      <c r="E1056" s="1331"/>
      <c r="F1056" s="1331"/>
      <c r="I1056" s="524"/>
    </row>
    <row r="1057" spans="1:9">
      <c r="A1057" s="433"/>
      <c r="B1057" s="433"/>
      <c r="C1057" s="433"/>
      <c r="I1057" s="524"/>
    </row>
    <row r="1058" spans="1:9">
      <c r="A1058" s="1315" t="s">
        <v>2008</v>
      </c>
      <c r="B1058" s="1315"/>
      <c r="C1058" s="1315"/>
      <c r="D1058" s="1315"/>
      <c r="E1058" s="1315"/>
      <c r="F1058" s="1315"/>
      <c r="G1058" s="1315"/>
      <c r="H1058" s="1063"/>
      <c r="I1058" s="1256"/>
    </row>
    <row r="1059" spans="1:9">
      <c r="A1059" s="433"/>
      <c r="B1059" s="433"/>
      <c r="C1059" s="433"/>
      <c r="I1059" s="524"/>
    </row>
    <row r="1060" spans="1:9">
      <c r="A1060" s="433"/>
      <c r="B1060" s="433"/>
      <c r="C1060" s="433"/>
      <c r="I1060" s="524"/>
    </row>
    <row r="1061" spans="1:9">
      <c r="A1061" s="433"/>
      <c r="B1061" s="519" t="s">
        <v>2642</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2641</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2641</v>
      </c>
      <c r="C1067" s="433"/>
      <c r="D1067" s="119" t="s">
        <v>2017</v>
      </c>
      <c r="I1067" s="524" t="s">
        <v>2117</v>
      </c>
    </row>
    <row r="1068" spans="1:9">
      <c r="A1068" s="433"/>
      <c r="B1068" s="433"/>
      <c r="C1068" s="433"/>
      <c r="D1068" s="1270" t="s">
        <v>2018</v>
      </c>
      <c r="E1068" s="1270"/>
      <c r="F1068" s="1270"/>
      <c r="I1068" s="524"/>
    </row>
    <row r="1069" spans="1:9">
      <c r="A1069" s="433"/>
      <c r="B1069" s="433"/>
      <c r="C1069" s="433"/>
      <c r="D1069" s="1270"/>
      <c r="E1069" s="1270"/>
      <c r="F1069" s="1270"/>
      <c r="I1069" s="524"/>
    </row>
    <row r="1070" spans="1:9">
      <c r="A1070" s="433"/>
      <c r="B1070" s="433"/>
      <c r="C1070" s="433"/>
      <c r="D1070" s="1270"/>
      <c r="E1070" s="1270"/>
      <c r="F1070" s="1270"/>
      <c r="I1070" s="524"/>
    </row>
    <row r="1071" spans="1:9">
      <c r="A1071" s="433"/>
      <c r="B1071" s="433"/>
      <c r="C1071" s="433"/>
      <c r="D1071" s="1270"/>
      <c r="E1071" s="1270"/>
      <c r="F1071" s="1270"/>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2641</v>
      </c>
      <c r="C1075" s="433"/>
      <c r="D1075" s="1330" t="s">
        <v>2010</v>
      </c>
      <c r="E1075" s="1330"/>
      <c r="F1075" s="1330"/>
      <c r="I1075" s="524"/>
    </row>
    <row r="1076" spans="1:9">
      <c r="A1076" s="433"/>
      <c r="B1076" s="433"/>
      <c r="C1076" s="433"/>
      <c r="D1076" s="1330"/>
      <c r="E1076" s="1330"/>
      <c r="F1076" s="1330"/>
      <c r="I1076" s="524"/>
    </row>
    <row r="1077" spans="1:9">
      <c r="A1077" s="433"/>
      <c r="B1077" s="433"/>
      <c r="C1077" s="433"/>
      <c r="D1077" s="1330"/>
      <c r="E1077" s="1330"/>
      <c r="F1077" s="1330"/>
      <c r="I1077" s="524"/>
    </row>
    <row r="1078" spans="1:9">
      <c r="A1078" s="433"/>
      <c r="B1078" s="433"/>
      <c r="C1078" s="433"/>
      <c r="D1078" s="1330"/>
      <c r="E1078" s="1330"/>
      <c r="F1078" s="1330"/>
      <c r="I1078" s="524"/>
    </row>
    <row r="1079" spans="1:9">
      <c r="A1079" s="433"/>
      <c r="B1079" s="433"/>
      <c r="C1079" s="433"/>
      <c r="D1079" s="1330"/>
      <c r="E1079" s="1330"/>
      <c r="F1079" s="1330"/>
      <c r="I1079" s="524"/>
    </row>
    <row r="1080" spans="1:9">
      <c r="A1080" s="433"/>
      <c r="B1080" s="433"/>
      <c r="C1080" s="433"/>
      <c r="D1080" s="561" t="s">
        <v>2015</v>
      </c>
      <c r="I1080" s="524"/>
    </row>
    <row r="1081" spans="1:9">
      <c r="A1081" s="433"/>
      <c r="B1081" s="433"/>
      <c r="C1081" s="433"/>
      <c r="I1081" s="524"/>
    </row>
    <row r="1082" spans="1:9">
      <c r="A1082" s="1315" t="s">
        <v>2020</v>
      </c>
      <c r="B1082" s="1315"/>
      <c r="C1082" s="1315"/>
      <c r="D1082" s="1315"/>
      <c r="E1082" s="1315"/>
      <c r="F1082" s="1315"/>
      <c r="G1082" s="1315"/>
      <c r="H1082" s="1063"/>
      <c r="I1082" s="1256"/>
    </row>
    <row r="1083" spans="1:9">
      <c r="A1083" s="433"/>
      <c r="B1083" s="433"/>
      <c r="C1083" s="433"/>
      <c r="I1083" s="524"/>
    </row>
    <row r="1084" spans="1:9">
      <c r="A1084" s="433"/>
      <c r="B1084" s="433"/>
      <c r="C1084" s="433"/>
      <c r="I1084" s="524"/>
    </row>
    <row r="1085" spans="1:9" ht="12.75" customHeight="1">
      <c r="A1085" s="433"/>
      <c r="B1085" s="519" t="s">
        <v>2641</v>
      </c>
      <c r="C1085" s="433"/>
      <c r="D1085" s="1332" t="s">
        <v>2228</v>
      </c>
      <c r="E1085" s="1332"/>
      <c r="F1085" s="1332"/>
      <c r="I1085" s="524" t="s">
        <v>2119</v>
      </c>
    </row>
    <row r="1086" spans="1:9">
      <c r="A1086" s="433"/>
      <c r="B1086" s="433"/>
      <c r="C1086" s="433"/>
      <c r="D1086" s="1332"/>
      <c r="E1086" s="1332"/>
      <c r="F1086" s="1332"/>
      <c r="I1086" s="524"/>
    </row>
    <row r="1087" spans="1:9">
      <c r="A1087" s="433"/>
      <c r="B1087" s="433"/>
      <c r="C1087" s="433"/>
      <c r="D1087" s="1333" t="s">
        <v>2501</v>
      </c>
      <c r="E1087" s="1270"/>
      <c r="F1087" s="1270"/>
      <c r="I1087" s="524"/>
    </row>
    <row r="1088" spans="1:9">
      <c r="A1088" s="433"/>
      <c r="B1088" s="433"/>
      <c r="C1088" s="433"/>
      <c r="D1088" s="561"/>
      <c r="I1088" s="524"/>
    </row>
    <row r="1089" spans="1:9">
      <c r="A1089" s="433"/>
      <c r="B1089" s="519" t="s">
        <v>2641</v>
      </c>
      <c r="C1089" s="433"/>
      <c r="D1089" s="1330" t="s">
        <v>2021</v>
      </c>
      <c r="E1089" s="1330"/>
      <c r="F1089" s="1330"/>
      <c r="I1089" s="524" t="s">
        <v>2120</v>
      </c>
    </row>
    <row r="1090" spans="1:9">
      <c r="A1090" s="433"/>
      <c r="B1090" s="433"/>
      <c r="C1090" s="433"/>
      <c r="D1090" s="1330"/>
      <c r="E1090" s="1330"/>
      <c r="F1090" s="1330"/>
      <c r="I1090" s="524"/>
    </row>
    <row r="1091" spans="1:9">
      <c r="A1091" s="433"/>
      <c r="B1091" s="433"/>
      <c r="C1091" s="433"/>
      <c r="D1091" s="561"/>
      <c r="I1091" s="524"/>
    </row>
    <row r="1092" spans="1:9">
      <c r="A1092" s="433"/>
      <c r="B1092" s="519" t="s">
        <v>2641</v>
      </c>
      <c r="C1092" s="433"/>
      <c r="D1092" s="1330" t="s">
        <v>2164</v>
      </c>
      <c r="E1092" s="1330"/>
      <c r="F1092" s="1330"/>
      <c r="I1092" s="524" t="s">
        <v>2162</v>
      </c>
    </row>
    <row r="1093" spans="1:9">
      <c r="A1093" s="433"/>
      <c r="B1093" s="433"/>
      <c r="C1093" s="433"/>
      <c r="D1093" s="1330"/>
      <c r="E1093" s="1330"/>
      <c r="F1093" s="1330"/>
      <c r="I1093" s="524"/>
    </row>
    <row r="1094" spans="1:9">
      <c r="A1094" s="433"/>
      <c r="B1094" s="433"/>
      <c r="C1094" s="433"/>
      <c r="D1094" s="1330"/>
      <c r="E1094" s="1330"/>
      <c r="F1094" s="1330"/>
      <c r="I1094" s="524"/>
    </row>
    <row r="1095" spans="1:9">
      <c r="A1095" s="433"/>
      <c r="B1095" s="433"/>
      <c r="C1095" s="433"/>
      <c r="D1095" s="1330"/>
      <c r="E1095" s="1330"/>
      <c r="F1095" s="1330"/>
      <c r="I1095" s="524"/>
    </row>
    <row r="1096" spans="1:9">
      <c r="A1096" s="433"/>
      <c r="B1096" s="433"/>
      <c r="C1096" s="433"/>
      <c r="D1096" s="1330"/>
      <c r="E1096" s="1330"/>
      <c r="F1096" s="1330"/>
      <c r="I1096" s="524"/>
    </row>
    <row r="1097" spans="1:9">
      <c r="A1097" s="433"/>
      <c r="B1097" s="433"/>
      <c r="C1097" s="433"/>
      <c r="D1097" s="1330"/>
      <c r="E1097" s="1330"/>
      <c r="F1097" s="1330"/>
      <c r="I1097" s="524"/>
    </row>
    <row r="1098" spans="1:9">
      <c r="A1098" s="433"/>
      <c r="B1098" s="433"/>
      <c r="C1098" s="433"/>
      <c r="D1098" s="561" t="s">
        <v>2163</v>
      </c>
      <c r="I1098" s="514"/>
    </row>
    <row r="1099" spans="1:9">
      <c r="A1099" s="433"/>
      <c r="B1099" s="519" t="s">
        <v>2641</v>
      </c>
      <c r="C1099" s="433"/>
      <c r="D1099" s="1330" t="s">
        <v>2022</v>
      </c>
      <c r="E1099" s="1330"/>
      <c r="F1099" s="1330"/>
      <c r="I1099" s="524" t="s">
        <v>2121</v>
      </c>
    </row>
    <row r="1100" spans="1:9">
      <c r="A1100" s="433"/>
      <c r="B1100" s="433"/>
      <c r="C1100" s="433"/>
      <c r="D1100" s="1330"/>
      <c r="E1100" s="1330"/>
      <c r="F1100" s="1330"/>
      <c r="I1100" s="524"/>
    </row>
    <row r="1101" spans="1:9">
      <c r="A1101" s="433"/>
      <c r="B1101" s="433"/>
      <c r="C1101" s="433"/>
      <c r="D1101" s="1330"/>
      <c r="E1101" s="1330"/>
      <c r="F1101" s="1330"/>
      <c r="I1101" s="524"/>
    </row>
    <row r="1102" spans="1:9">
      <c r="A1102" s="433"/>
      <c r="B1102" s="433"/>
      <c r="C1102" s="433"/>
      <c r="D1102" s="561"/>
      <c r="I1102" s="524"/>
    </row>
    <row r="1103" spans="1:9">
      <c r="A1103" s="433"/>
      <c r="B1103" s="519" t="s">
        <v>2641</v>
      </c>
      <c r="C1103" s="433"/>
      <c r="D1103" s="1274" t="s">
        <v>2165</v>
      </c>
      <c r="E1103" s="1274"/>
      <c r="F1103" s="1274"/>
      <c r="I1103" s="524" t="s">
        <v>2122</v>
      </c>
    </row>
    <row r="1104" spans="1:9">
      <c r="A1104" s="433"/>
      <c r="B1104" s="433"/>
      <c r="C1104" s="433"/>
      <c r="D1104" s="1274"/>
      <c r="E1104" s="1274"/>
      <c r="F1104" s="1274"/>
      <c r="I1104" s="524"/>
    </row>
    <row r="1105" spans="1:9">
      <c r="A1105" s="433"/>
      <c r="B1105" s="433"/>
      <c r="C1105" s="433"/>
      <c r="D1105" s="1274"/>
      <c r="E1105" s="1274"/>
      <c r="F1105" s="1274"/>
      <c r="I1105" s="524"/>
    </row>
    <row r="1106" spans="1:9">
      <c r="A1106" s="433"/>
      <c r="B1106" s="433"/>
      <c r="C1106" s="433"/>
      <c r="D1106" s="1015"/>
      <c r="E1106" s="1015"/>
      <c r="F1106" s="1015"/>
      <c r="I1106" s="524"/>
    </row>
    <row r="1107" spans="1:9" ht="15.75" customHeight="1">
      <c r="A1107" s="433"/>
      <c r="B1107" s="519" t="s">
        <v>2641</v>
      </c>
      <c r="C1107" s="433"/>
      <c r="D1107" s="1270" t="s">
        <v>2167</v>
      </c>
      <c r="E1107" s="1270"/>
      <c r="F1107" s="1270"/>
      <c r="I1107" s="524" t="s">
        <v>2166</v>
      </c>
    </row>
    <row r="1108" spans="1:9">
      <c r="A1108" s="433"/>
      <c r="B1108" s="433"/>
      <c r="C1108" s="433"/>
      <c r="D1108" s="1270"/>
      <c r="E1108" s="1270"/>
      <c r="F1108" s="1270"/>
      <c r="I1108" s="524"/>
    </row>
    <row r="1109" spans="1:9">
      <c r="A1109" s="433"/>
      <c r="B1109" s="433"/>
      <c r="C1109" s="433"/>
      <c r="D1109" s="1270"/>
      <c r="E1109" s="1270"/>
      <c r="F1109" s="1270"/>
      <c r="I1109" s="524"/>
    </row>
    <row r="1110" spans="1:9">
      <c r="A1110" s="433"/>
      <c r="B1110" s="433"/>
      <c r="C1110" s="433"/>
      <c r="D1110" s="1270"/>
      <c r="E1110" s="1270"/>
      <c r="F1110" s="1270"/>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6"/>
      <c r="H1525" s="1296"/>
      <c r="I1525" s="1296"/>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166" zoomScaleNormal="100" workbookViewId="0">
      <selection activeCell="I189" sqref="I189:P189"/>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45" t="s">
        <v>100</v>
      </c>
      <c r="B8" s="1445"/>
      <c r="C8" s="1445"/>
      <c r="D8" s="1445"/>
      <c r="E8" s="1445"/>
      <c r="F8" s="1445"/>
      <c r="G8" s="1445"/>
      <c r="H8" s="1445"/>
      <c r="I8" s="1445"/>
      <c r="J8" s="1445"/>
      <c r="K8" s="1445"/>
      <c r="L8" s="1445"/>
      <c r="M8" s="1445"/>
      <c r="N8" s="1445"/>
      <c r="O8" s="1445"/>
      <c r="P8" s="1445"/>
      <c r="Q8" s="1445"/>
      <c r="R8" s="1445"/>
      <c r="S8" s="1445"/>
      <c r="T8" s="1445"/>
      <c r="U8" s="1445"/>
      <c r="V8" s="1445"/>
      <c r="W8" s="1445"/>
      <c r="X8" s="1445"/>
      <c r="Y8" s="1445"/>
      <c r="Z8" s="1445"/>
      <c r="AA8" s="1445"/>
      <c r="AB8" s="1445"/>
      <c r="AC8" s="1445"/>
      <c r="AD8" s="1445"/>
      <c r="AE8" s="1445"/>
      <c r="AF8" s="1445"/>
      <c r="AG8" s="1445"/>
      <c r="AH8" s="1445"/>
      <c r="AI8" s="1445"/>
      <c r="AJ8" s="1445"/>
      <c r="AK8" s="1445"/>
      <c r="AL8" s="1445"/>
      <c r="AM8" s="1445"/>
      <c r="AN8" s="1445"/>
      <c r="AO8" s="1445"/>
      <c r="AP8" s="1445"/>
      <c r="AQ8" s="1445"/>
      <c r="AR8" s="1445"/>
      <c r="AS8" s="1445"/>
      <c r="AT8" s="1445"/>
      <c r="AU8" s="933"/>
      <c r="AV8" s="933"/>
      <c r="AW8" s="933"/>
      <c r="AX8" s="933"/>
      <c r="AY8" s="933"/>
    </row>
    <row r="9" spans="1:51" ht="12.95" customHeight="1">
      <c r="A9" s="1306" t="s">
        <v>2391</v>
      </c>
      <c r="B9" s="1306"/>
      <c r="C9" s="1306"/>
      <c r="D9" s="1306"/>
      <c r="E9" s="1306"/>
      <c r="F9" s="1306"/>
      <c r="G9" s="1306"/>
      <c r="H9" s="1306"/>
      <c r="I9" s="1306"/>
      <c r="J9" s="1306"/>
      <c r="K9" s="1306"/>
      <c r="L9" s="1306"/>
      <c r="M9" s="1306"/>
      <c r="N9" s="1306"/>
      <c r="O9" s="1306"/>
      <c r="P9" s="1306"/>
      <c r="Q9" s="1306"/>
      <c r="R9" s="1306"/>
      <c r="S9" s="1306"/>
      <c r="T9" s="1306"/>
      <c r="U9" s="1306"/>
      <c r="V9" s="1306"/>
      <c r="W9" s="1306"/>
      <c r="X9" s="1306"/>
      <c r="Y9" s="1306"/>
      <c r="Z9" s="1306"/>
      <c r="AA9" s="1306"/>
      <c r="AB9" s="1306"/>
      <c r="AC9" s="1306"/>
      <c r="AD9" s="1306"/>
      <c r="AE9" s="1306"/>
      <c r="AF9" s="1306"/>
      <c r="AG9" s="1306"/>
      <c r="AH9" s="1306"/>
      <c r="AI9" s="1306"/>
      <c r="AJ9" s="1306"/>
      <c r="AK9" s="1306"/>
      <c r="AL9" s="1306"/>
      <c r="AM9" s="1306"/>
      <c r="AN9" s="1306"/>
      <c r="AO9" s="1306"/>
      <c r="AP9" s="1306"/>
      <c r="AQ9" s="1306"/>
      <c r="AR9" s="1306"/>
      <c r="AS9" s="1306"/>
      <c r="AT9" s="1306"/>
      <c r="AU9" s="13"/>
      <c r="AV9" s="13"/>
      <c r="AW9" s="13"/>
      <c r="AX9" s="13"/>
      <c r="AY9" s="13"/>
    </row>
    <row r="10" spans="1:51" ht="12.95" customHeight="1">
      <c r="A10" s="1306" t="s">
        <v>2580</v>
      </c>
      <c r="B10" s="1306"/>
      <c r="C10" s="1306"/>
      <c r="D10" s="1306"/>
      <c r="E10" s="1306"/>
      <c r="F10" s="1306"/>
      <c r="G10" s="1306"/>
      <c r="H10" s="1306"/>
      <c r="I10" s="1306"/>
      <c r="J10" s="1306"/>
      <c r="K10" s="1306"/>
      <c r="L10" s="1306"/>
      <c r="M10" s="1306"/>
      <c r="N10" s="1306"/>
      <c r="O10" s="1306"/>
      <c r="P10" s="1306"/>
      <c r="Q10" s="1306"/>
      <c r="R10" s="1306"/>
      <c r="S10" s="1306"/>
      <c r="T10" s="1306"/>
      <c r="U10" s="1306"/>
      <c r="V10" s="1306"/>
      <c r="W10" s="1306"/>
      <c r="X10" s="1306"/>
      <c r="Y10" s="1306"/>
      <c r="Z10" s="1306"/>
      <c r="AA10" s="1306"/>
      <c r="AB10" s="1306"/>
      <c r="AC10" s="1306"/>
      <c r="AD10" s="1306"/>
      <c r="AE10" s="1306"/>
      <c r="AF10" s="1306"/>
      <c r="AG10" s="1306"/>
      <c r="AH10" s="1306"/>
      <c r="AI10" s="1306"/>
      <c r="AJ10" s="1306"/>
      <c r="AK10" s="1306"/>
      <c r="AL10" s="1306"/>
      <c r="AM10" s="1306"/>
      <c r="AN10" s="1306"/>
      <c r="AO10" s="1306"/>
      <c r="AP10" s="1306"/>
      <c r="AQ10" s="1306"/>
      <c r="AR10" s="1306"/>
      <c r="AS10" s="1306"/>
      <c r="AT10" s="1306"/>
      <c r="AU10" s="13"/>
      <c r="AV10" s="13"/>
      <c r="AW10" s="13"/>
      <c r="AX10" s="13"/>
      <c r="AY10" s="13"/>
    </row>
    <row r="11" spans="1:51" ht="12.95" customHeight="1">
      <c r="A11" s="1306" t="s">
        <v>1769</v>
      </c>
      <c r="B11" s="1306"/>
      <c r="C11" s="1306"/>
      <c r="D11" s="1306"/>
      <c r="E11" s="1306"/>
      <c r="F11" s="1306"/>
      <c r="G11" s="1306"/>
      <c r="H11" s="1306"/>
      <c r="I11" s="1306"/>
      <c r="J11" s="1306"/>
      <c r="K11" s="1306"/>
      <c r="L11" s="1306"/>
      <c r="M11" s="1306"/>
      <c r="N11" s="1306"/>
      <c r="O11" s="1306"/>
      <c r="P11" s="1306"/>
      <c r="Q11" s="1306"/>
      <c r="R11" s="1306"/>
      <c r="S11" s="1306"/>
      <c r="T11" s="1306"/>
      <c r="U11" s="1306"/>
      <c r="V11" s="1306"/>
      <c r="W11" s="1306"/>
      <c r="X11" s="1306"/>
      <c r="Y11" s="1306"/>
      <c r="Z11" s="1306"/>
      <c r="AA11" s="1306"/>
      <c r="AB11" s="1306"/>
      <c r="AC11" s="1306"/>
      <c r="AD11" s="1306"/>
      <c r="AE11" s="1306"/>
      <c r="AF11" s="1306"/>
      <c r="AG11" s="1306"/>
      <c r="AH11" s="1306"/>
      <c r="AI11" s="1306"/>
      <c r="AJ11" s="1306"/>
      <c r="AK11" s="1306"/>
      <c r="AL11" s="1306"/>
      <c r="AM11" s="1306"/>
      <c r="AN11" s="1306"/>
      <c r="AO11" s="1306"/>
      <c r="AP11" s="1306"/>
      <c r="AQ11" s="1306"/>
      <c r="AR11" s="1306"/>
      <c r="AS11" s="1306"/>
      <c r="AT11" s="1306"/>
      <c r="AU11" s="13"/>
      <c r="AV11" s="13"/>
      <c r="AW11" s="13"/>
      <c r="AX11" s="13"/>
      <c r="AY11" s="13"/>
    </row>
    <row r="12" spans="1:51" ht="12.95" customHeight="1">
      <c r="A12" s="1446" t="s">
        <v>2639</v>
      </c>
      <c r="B12" s="1446"/>
      <c r="C12" s="1446"/>
      <c r="D12" s="1446"/>
      <c r="E12" s="1446"/>
      <c r="F12" s="1446"/>
      <c r="G12" s="1446"/>
      <c r="H12" s="1446"/>
      <c r="I12" s="1446"/>
      <c r="J12" s="1446"/>
      <c r="K12" s="1446"/>
      <c r="L12" s="1446"/>
      <c r="M12" s="1446"/>
      <c r="N12" s="1446"/>
      <c r="O12" s="1446"/>
      <c r="P12" s="1446"/>
      <c r="Q12" s="1446"/>
      <c r="R12" s="1446"/>
      <c r="S12" s="1446"/>
      <c r="T12" s="1446"/>
      <c r="U12" s="1446"/>
      <c r="V12" s="1446"/>
      <c r="W12" s="1446"/>
      <c r="X12" s="1446"/>
      <c r="Y12" s="1446"/>
      <c r="Z12" s="1446"/>
      <c r="AA12" s="1446"/>
      <c r="AB12" s="1446"/>
      <c r="AC12" s="1446"/>
      <c r="AD12" s="1446"/>
      <c r="AE12" s="1446"/>
      <c r="AF12" s="1446"/>
      <c r="AG12" s="1446"/>
      <c r="AH12" s="1446"/>
      <c r="AI12" s="1446"/>
      <c r="AJ12" s="1446"/>
      <c r="AK12" s="1446"/>
      <c r="AL12" s="1446"/>
      <c r="AM12" s="1446"/>
      <c r="AN12" s="1446"/>
      <c r="AO12" s="1446"/>
      <c r="AP12" s="1446"/>
      <c r="AQ12" s="1446"/>
      <c r="AR12" s="1446"/>
      <c r="AS12" s="1446"/>
      <c r="AT12" s="1446"/>
      <c r="AU12" s="6"/>
      <c r="AV12" s="6"/>
      <c r="AW12" s="6"/>
      <c r="AX12" s="6"/>
      <c r="AY12" s="6"/>
    </row>
    <row r="13" spans="1:51" ht="12.95" customHeight="1">
      <c r="A13" s="1268" t="s">
        <v>2392</v>
      </c>
      <c r="B13" s="1268"/>
      <c r="C13" s="1268"/>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1268"/>
      <c r="AM13" s="1268"/>
      <c r="AN13" s="1268"/>
      <c r="AO13" s="1268"/>
      <c r="AP13" s="1268"/>
      <c r="AQ13" s="1268"/>
      <c r="AR13" s="1268"/>
      <c r="AS13" s="1268"/>
      <c r="AT13" s="1268"/>
      <c r="AU13" s="934"/>
      <c r="AV13" s="934"/>
      <c r="AW13" s="934"/>
      <c r="AX13" s="934"/>
      <c r="AY13" s="934"/>
    </row>
    <row r="14" spans="1:51" ht="12.95" customHeight="1">
      <c r="A14" s="1268"/>
      <c r="B14" s="1268"/>
      <c r="C14" s="1268"/>
      <c r="D14" s="1268"/>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780" t="s">
        <v>2643</v>
      </c>
      <c r="I16" s="1781"/>
      <c r="J16" s="1781"/>
      <c r="K16" s="1781"/>
      <c r="L16" s="1781"/>
      <c r="M16" s="1781"/>
      <c r="N16" s="1781"/>
      <c r="O16" s="1781"/>
      <c r="P16" s="1781"/>
      <c r="Q16" s="1781"/>
      <c r="R16" s="1781"/>
      <c r="S16" s="1781"/>
      <c r="T16" s="1781"/>
      <c r="U16" s="1781"/>
      <c r="V16" s="1781"/>
      <c r="W16" s="1781"/>
      <c r="X16" s="1781"/>
      <c r="Y16" s="1781"/>
      <c r="Z16" s="1781"/>
      <c r="AA16" s="1781"/>
      <c r="AB16" s="1781"/>
      <c r="AC16" s="1781"/>
      <c r="AD16" s="1781"/>
      <c r="AE16" s="1781"/>
      <c r="AF16" s="1781"/>
      <c r="AG16" s="1781"/>
      <c r="AH16" s="1781"/>
      <c r="AI16" s="1781"/>
      <c r="AJ16" s="1781"/>
    </row>
    <row r="17" spans="1:52" ht="12.95" customHeight="1"/>
    <row r="18" spans="1:52" ht="12.95" customHeight="1">
      <c r="A18" s="57" t="s">
        <v>101</v>
      </c>
      <c r="C18" s="4"/>
      <c r="D18" s="4"/>
      <c r="E18" s="4"/>
      <c r="F18" s="4"/>
      <c r="G18" s="4"/>
      <c r="H18" s="1451" t="s">
        <v>2644</v>
      </c>
      <c r="I18" s="1452"/>
      <c r="J18" s="1452"/>
      <c r="K18" s="1452"/>
      <c r="L18" s="1452"/>
      <c r="M18" s="1452"/>
      <c r="N18" s="1452"/>
      <c r="O18" s="1452"/>
      <c r="P18" s="1452"/>
      <c r="Q18" s="1452"/>
      <c r="R18" s="1452"/>
      <c r="S18" s="1452"/>
      <c r="T18" s="1452"/>
      <c r="U18" s="1452"/>
      <c r="V18" s="1452"/>
      <c r="W18" s="1452"/>
      <c r="X18" s="1452"/>
      <c r="Y18" s="1452"/>
      <c r="Z18" s="1452"/>
      <c r="AA18" s="1452"/>
      <c r="AB18" s="1452"/>
      <c r="AC18" s="1452"/>
      <c r="AD18" s="1452"/>
      <c r="AE18" s="1452"/>
      <c r="AF18" s="1452"/>
      <c r="AG18" s="1452"/>
      <c r="AH18" s="1452"/>
      <c r="AI18" s="1452"/>
      <c r="AJ18" s="1452"/>
    </row>
    <row r="19" spans="1:52" ht="12.95" customHeight="1"/>
    <row r="20" spans="1:52" ht="12.95" customHeight="1">
      <c r="A20" s="1447" t="s">
        <v>884</v>
      </c>
      <c r="B20" s="1447"/>
      <c r="C20" s="1447"/>
      <c r="D20" s="1447"/>
      <c r="E20" s="1447"/>
      <c r="F20" s="1447"/>
      <c r="G20" s="1447"/>
      <c r="H20" s="1447"/>
      <c r="I20" s="1447"/>
      <c r="J20" s="1447"/>
      <c r="K20" s="1447"/>
      <c r="L20" s="1447"/>
      <c r="M20" s="1447"/>
      <c r="N20" s="1447"/>
      <c r="O20" s="1447"/>
      <c r="P20" s="1447"/>
      <c r="Q20" s="1447"/>
      <c r="R20" s="1447"/>
      <c r="S20" s="1447"/>
      <c r="T20" s="1447"/>
      <c r="U20" s="1447"/>
      <c r="V20" s="1447"/>
      <c r="W20" s="1447"/>
      <c r="X20" s="1447"/>
      <c r="Y20" s="1447"/>
      <c r="Z20" s="1447"/>
      <c r="AA20" s="1447"/>
      <c r="AB20" s="1447"/>
      <c r="AC20" s="1447"/>
      <c r="AD20" s="1447"/>
      <c r="AE20" s="1447"/>
      <c r="AF20" s="1447"/>
      <c r="AG20" s="1447"/>
      <c r="AH20" s="1447"/>
      <c r="AI20" s="1447"/>
      <c r="AJ20" s="1447"/>
      <c r="AK20" s="1447"/>
      <c r="AL20" s="1447"/>
      <c r="AM20" s="1447"/>
      <c r="AN20" s="1447"/>
      <c r="AO20" s="1447"/>
      <c r="AP20" s="1447"/>
      <c r="AQ20" s="1447"/>
      <c r="AR20" s="1447"/>
      <c r="AS20" s="1447"/>
      <c r="AT20" s="1447"/>
      <c r="AU20" s="935"/>
      <c r="AV20" s="935"/>
      <c r="AW20" s="935"/>
      <c r="AX20" s="935"/>
      <c r="AY20" s="935"/>
    </row>
    <row r="21" spans="1:52" ht="12.95" customHeight="1">
      <c r="A21" s="1783" t="s">
        <v>1033</v>
      </c>
      <c r="B21" s="1783"/>
      <c r="C21" s="1783"/>
      <c r="D21" s="1783"/>
      <c r="E21" s="1783"/>
      <c r="F21" s="1783"/>
      <c r="G21" s="1783"/>
      <c r="H21" s="1783"/>
      <c r="I21" s="1783"/>
      <c r="J21" s="1783"/>
      <c r="K21" s="1783"/>
      <c r="L21" s="1783"/>
      <c r="M21" s="1783"/>
      <c r="N21" s="1783"/>
      <c r="O21" s="1783"/>
      <c r="P21" s="1783"/>
      <c r="Q21" s="1783"/>
      <c r="R21" s="1783"/>
      <c r="S21" s="1783"/>
      <c r="T21" s="1783"/>
      <c r="U21" s="1783"/>
      <c r="V21" s="1783"/>
      <c r="W21" s="1783"/>
      <c r="X21" s="1783"/>
      <c r="Y21" s="1783"/>
      <c r="Z21" s="1783"/>
      <c r="AA21" s="1783"/>
      <c r="AB21" s="1783"/>
      <c r="AC21" s="1783"/>
      <c r="AD21" s="1783"/>
      <c r="AE21" s="1783"/>
      <c r="AF21" s="1783"/>
      <c r="AG21" s="1783"/>
      <c r="AH21" s="1783"/>
      <c r="AI21" s="1783"/>
      <c r="AJ21" s="1783"/>
      <c r="AK21" s="1783"/>
      <c r="AL21" s="1783"/>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32" t="s">
        <v>2505</v>
      </c>
      <c r="B23" s="1332"/>
      <c r="C23" s="1332"/>
      <c r="D23" s="1332"/>
      <c r="E23" s="1332"/>
      <c r="F23" s="1332"/>
      <c r="G23" s="1332"/>
      <c r="H23" s="1332"/>
      <c r="I23" s="1332"/>
      <c r="J23" s="1332"/>
      <c r="K23" s="1332"/>
      <c r="L23" s="1332"/>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2"/>
      <c r="AJ23" s="1332"/>
      <c r="AK23" s="1332"/>
      <c r="AL23" s="1332"/>
      <c r="AM23" s="1332"/>
      <c r="AN23" s="1332"/>
      <c r="AO23" s="1332"/>
      <c r="AP23" s="1332"/>
      <c r="AQ23" s="1332"/>
      <c r="AR23" s="1332"/>
      <c r="AS23" s="1332"/>
      <c r="AT23" s="1332"/>
      <c r="AU23" s="18"/>
      <c r="AV23" s="18"/>
      <c r="AW23" s="18"/>
      <c r="AX23" s="18"/>
      <c r="AY23" s="18"/>
      <c r="AZ23" s="18"/>
    </row>
    <row r="24" spans="1:52" ht="12.95" customHeight="1">
      <c r="A24" s="1332"/>
      <c r="B24" s="1332"/>
      <c r="C24" s="1332"/>
      <c r="D24" s="1332"/>
      <c r="E24" s="1332"/>
      <c r="F24" s="1332"/>
      <c r="G24" s="1332"/>
      <c r="H24" s="1332"/>
      <c r="I24" s="1332"/>
      <c r="J24" s="1332"/>
      <c r="K24" s="1332"/>
      <c r="L24" s="1332"/>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2"/>
      <c r="AJ24" s="1332"/>
      <c r="AK24" s="1332"/>
      <c r="AL24" s="1332"/>
      <c r="AM24" s="1332"/>
      <c r="AN24" s="1332"/>
      <c r="AO24" s="1332"/>
      <c r="AP24" s="1332"/>
      <c r="AQ24" s="1332"/>
      <c r="AR24" s="1332"/>
      <c r="AS24" s="1332"/>
      <c r="AT24" s="1332"/>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782">
        <f>'Basis &amp; Credits'!AB56</f>
        <v>2215168</v>
      </c>
      <c r="N26" s="1782"/>
      <c r="O26" s="1782"/>
      <c r="P26" s="1782"/>
      <c r="Q26" s="1782"/>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2">
        <f>'Basis &amp; Credits'!AB78</f>
        <v>0</v>
      </c>
      <c r="N27" s="1372"/>
      <c r="O27" s="1372"/>
      <c r="P27" s="1372"/>
      <c r="Q27" s="1372"/>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48" t="s">
        <v>2506</v>
      </c>
      <c r="B29" s="1448"/>
      <c r="C29" s="1448"/>
      <c r="D29" s="1448"/>
      <c r="E29" s="1448"/>
      <c r="F29" s="1448"/>
      <c r="G29" s="1448"/>
      <c r="H29" s="1448"/>
      <c r="I29" s="1448"/>
      <c r="J29" s="1448"/>
      <c r="K29" s="1448"/>
      <c r="L29" s="1448"/>
      <c r="M29" s="1448"/>
      <c r="N29" s="1448"/>
      <c r="O29" s="1448"/>
      <c r="P29" s="1448"/>
      <c r="Q29" s="1448"/>
      <c r="R29" s="1448"/>
      <c r="S29" s="1448"/>
      <c r="T29" s="1448"/>
      <c r="U29" s="1448"/>
      <c r="V29" s="1448"/>
      <c r="W29" s="1448"/>
      <c r="X29" s="1448"/>
      <c r="Y29" s="1448"/>
      <c r="Z29" s="1448"/>
      <c r="AA29" s="1448"/>
      <c r="AB29" s="1448"/>
      <c r="AC29" s="1448"/>
      <c r="AD29" s="1448"/>
      <c r="AE29" s="1448"/>
      <c r="AF29" s="1448"/>
      <c r="AG29" s="1448"/>
      <c r="AH29" s="1448"/>
      <c r="AI29" s="1448"/>
      <c r="AJ29" s="1448"/>
      <c r="AK29" s="1448"/>
      <c r="AL29" s="1448"/>
      <c r="AM29" s="1448"/>
      <c r="AN29" s="1448"/>
      <c r="AO29" s="1448"/>
      <c r="AP29" s="1448"/>
      <c r="AQ29" s="1448"/>
      <c r="AR29" s="1448"/>
      <c r="AS29" s="1448"/>
      <c r="AT29" s="1448"/>
    </row>
    <row r="30" spans="1:52" ht="12.95" customHeight="1">
      <c r="A30" s="1448"/>
      <c r="B30" s="1448"/>
      <c r="C30" s="1448"/>
      <c r="D30" s="1448"/>
      <c r="E30" s="1448"/>
      <c r="F30" s="1448"/>
      <c r="G30" s="1448"/>
      <c r="H30" s="1448"/>
      <c r="I30" s="1448"/>
      <c r="J30" s="1448"/>
      <c r="K30" s="1448"/>
      <c r="L30" s="1448"/>
      <c r="M30" s="1448"/>
      <c r="N30" s="1448"/>
      <c r="O30" s="1448"/>
      <c r="P30" s="1448"/>
      <c r="Q30" s="1448"/>
      <c r="R30" s="1448"/>
      <c r="S30" s="1448"/>
      <c r="T30" s="1448"/>
      <c r="U30" s="1448"/>
      <c r="V30" s="1448"/>
      <c r="W30" s="1448"/>
      <c r="X30" s="1448"/>
      <c r="Y30" s="1448"/>
      <c r="Z30" s="1448"/>
      <c r="AA30" s="1448"/>
      <c r="AB30" s="1448"/>
      <c r="AC30" s="1448"/>
      <c r="AD30" s="1448"/>
      <c r="AE30" s="1448"/>
      <c r="AF30" s="1448"/>
      <c r="AG30" s="1448"/>
      <c r="AH30" s="1448"/>
      <c r="AI30" s="1448"/>
      <c r="AJ30" s="1448"/>
      <c r="AK30" s="1448"/>
      <c r="AL30" s="1448"/>
      <c r="AM30" s="1448"/>
      <c r="AN30" s="1448"/>
      <c r="AO30" s="1448"/>
      <c r="AP30" s="1448"/>
      <c r="AQ30" s="1448"/>
      <c r="AR30" s="1448"/>
      <c r="AS30" s="1448"/>
      <c r="AT30" s="1448"/>
      <c r="AZ30" s="20"/>
    </row>
    <row r="31" spans="1:52" ht="12.95" customHeight="1">
      <c r="A31" s="1448"/>
      <c r="B31" s="1448"/>
      <c r="C31" s="1448"/>
      <c r="D31" s="1448"/>
      <c r="E31" s="1448"/>
      <c r="F31" s="1448"/>
      <c r="G31" s="1448"/>
      <c r="H31" s="1448"/>
      <c r="I31" s="1448"/>
      <c r="J31" s="1448"/>
      <c r="K31" s="1448"/>
      <c r="L31" s="1448"/>
      <c r="M31" s="1448"/>
      <c r="N31" s="1448"/>
      <c r="O31" s="1448"/>
      <c r="P31" s="1448"/>
      <c r="Q31" s="1448"/>
      <c r="R31" s="1448"/>
      <c r="S31" s="1448"/>
      <c r="T31" s="1448"/>
      <c r="U31" s="1448"/>
      <c r="V31" s="1448"/>
      <c r="W31" s="1448"/>
      <c r="X31" s="1448"/>
      <c r="Y31" s="1448"/>
      <c r="Z31" s="1448"/>
      <c r="AA31" s="1448"/>
      <c r="AB31" s="1448"/>
      <c r="AC31" s="1448"/>
      <c r="AD31" s="1448"/>
      <c r="AE31" s="1448"/>
      <c r="AF31" s="1448"/>
      <c r="AG31" s="1448"/>
      <c r="AH31" s="1448"/>
      <c r="AI31" s="1448"/>
      <c r="AJ31" s="1448"/>
      <c r="AK31" s="1448"/>
      <c r="AL31" s="1448"/>
      <c r="AM31" s="1448"/>
      <c r="AN31" s="1448"/>
      <c r="AO31" s="1448"/>
      <c r="AP31" s="1448"/>
      <c r="AQ31" s="1448"/>
      <c r="AR31" s="1448"/>
      <c r="AS31" s="1448"/>
      <c r="AT31" s="144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83" t="s">
        <v>677</v>
      </c>
      <c r="P33" s="1383"/>
      <c r="Q33" s="1449" t="s">
        <v>2507</v>
      </c>
      <c r="R33" s="1449"/>
      <c r="S33" s="1449"/>
      <c r="T33" s="1449"/>
      <c r="U33" s="1449"/>
      <c r="V33" s="1449"/>
      <c r="W33" s="1449"/>
      <c r="X33" s="1449"/>
      <c r="Y33" s="1449"/>
      <c r="Z33" s="1449"/>
      <c r="AA33" s="1449"/>
      <c r="AB33" s="1449"/>
      <c r="AC33" s="1449"/>
      <c r="AD33" s="1449"/>
      <c r="AE33" s="1449"/>
      <c r="AF33" s="1449"/>
      <c r="AG33" s="1449"/>
      <c r="AH33" s="1449"/>
      <c r="AI33" s="1449"/>
      <c r="AJ33" s="1449"/>
      <c r="AK33" s="1449"/>
      <c r="AL33" s="1449"/>
      <c r="AM33" s="1449"/>
      <c r="AN33" s="1449"/>
      <c r="AO33" s="1449"/>
      <c r="AP33" s="1449"/>
      <c r="AQ33" s="1449"/>
      <c r="AR33" s="1449"/>
      <c r="AS33" s="1449"/>
      <c r="AT33" s="1449"/>
      <c r="AU33" s="20"/>
      <c r="AV33" s="20"/>
      <c r="AW33" s="20"/>
      <c r="AX33" s="20"/>
      <c r="AY33" s="20"/>
    </row>
    <row r="34" spans="1:52" ht="12.95" customHeight="1">
      <c r="A34" s="1448" t="s">
        <v>2508</v>
      </c>
      <c r="B34" s="1448"/>
      <c r="C34" s="1448"/>
      <c r="D34" s="1448"/>
      <c r="E34" s="1448"/>
      <c r="F34" s="1448"/>
      <c r="G34" s="1448"/>
      <c r="H34" s="1448"/>
      <c r="I34" s="1448"/>
      <c r="J34" s="1448"/>
      <c r="K34" s="1448"/>
      <c r="L34" s="1448"/>
      <c r="M34" s="1448"/>
      <c r="N34" s="1448"/>
      <c r="O34" s="1448"/>
      <c r="P34" s="1448"/>
      <c r="Q34" s="1448"/>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20"/>
      <c r="AV34" s="20"/>
      <c r="AW34" s="20"/>
      <c r="AX34" s="20"/>
      <c r="AY34" s="20"/>
      <c r="AZ34" s="20"/>
    </row>
    <row r="35" spans="1:52" ht="12.95" customHeight="1">
      <c r="A35" s="1448"/>
      <c r="B35" s="1448"/>
      <c r="C35" s="1448"/>
      <c r="D35" s="1448"/>
      <c r="E35" s="1448"/>
      <c r="F35" s="1448"/>
      <c r="G35" s="1448"/>
      <c r="H35" s="1448"/>
      <c r="I35" s="1448"/>
      <c r="J35" s="1448"/>
      <c r="K35" s="1448"/>
      <c r="L35" s="1448"/>
      <c r="M35" s="1448"/>
      <c r="N35" s="1448"/>
      <c r="O35" s="1448"/>
      <c r="P35" s="1448"/>
      <c r="Q35" s="1448"/>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20"/>
      <c r="AV35" s="20"/>
      <c r="AW35" s="20"/>
      <c r="AX35" s="20"/>
      <c r="AY35" s="20"/>
      <c r="AZ35" s="20"/>
    </row>
    <row r="36" spans="1:52" ht="12.95" customHeight="1">
      <c r="A36" s="1448"/>
      <c r="B36" s="1448"/>
      <c r="C36" s="1448"/>
      <c r="D36" s="1448"/>
      <c r="E36" s="1448"/>
      <c r="F36" s="1448"/>
      <c r="G36" s="1448"/>
      <c r="H36" s="1448"/>
      <c r="I36" s="1448"/>
      <c r="J36" s="1448"/>
      <c r="K36" s="1448"/>
      <c r="L36" s="1448"/>
      <c r="M36" s="1448"/>
      <c r="N36" s="1448"/>
      <c r="O36" s="1448"/>
      <c r="P36" s="1448"/>
      <c r="Q36" s="1448"/>
      <c r="R36" s="1448"/>
      <c r="S36" s="1448"/>
      <c r="T36" s="1448"/>
      <c r="U36" s="1448"/>
      <c r="V36" s="1448"/>
      <c r="W36" s="1448"/>
      <c r="X36" s="1448"/>
      <c r="Y36" s="1448"/>
      <c r="Z36" s="1448"/>
      <c r="AA36" s="1448"/>
      <c r="AB36" s="1448"/>
      <c r="AC36" s="1448"/>
      <c r="AD36" s="1448"/>
      <c r="AE36" s="1448"/>
      <c r="AF36" s="1448"/>
      <c r="AG36" s="1448"/>
      <c r="AH36" s="1448"/>
      <c r="AI36" s="1448"/>
      <c r="AJ36" s="1448"/>
      <c r="AK36" s="1448"/>
      <c r="AL36" s="1448"/>
      <c r="AM36" s="1448"/>
      <c r="AN36" s="1448"/>
      <c r="AO36" s="1448"/>
      <c r="AP36" s="1448"/>
      <c r="AQ36" s="1448"/>
      <c r="AR36" s="1448"/>
      <c r="AS36" s="1448"/>
      <c r="AT36" s="1448"/>
      <c r="AU36" s="20"/>
      <c r="AV36" s="20"/>
      <c r="AW36" s="20"/>
      <c r="AX36" s="20"/>
      <c r="AY36" s="20"/>
      <c r="AZ36" s="20"/>
    </row>
    <row r="37" spans="1:52" ht="12.95" customHeight="1">
      <c r="A37" s="1448"/>
      <c r="B37" s="1448"/>
      <c r="C37" s="1448"/>
      <c r="D37" s="1448"/>
      <c r="E37" s="1448"/>
      <c r="F37" s="1448"/>
      <c r="G37" s="1448"/>
      <c r="H37" s="1448"/>
      <c r="I37" s="1448"/>
      <c r="J37" s="1448"/>
      <c r="K37" s="1448"/>
      <c r="L37" s="1448"/>
      <c r="M37" s="1448"/>
      <c r="N37" s="1448"/>
      <c r="O37" s="1448"/>
      <c r="P37" s="1448"/>
      <c r="Q37" s="1448"/>
      <c r="R37" s="1448"/>
      <c r="S37" s="1448"/>
      <c r="T37" s="1448"/>
      <c r="U37" s="1448"/>
      <c r="V37" s="1448"/>
      <c r="W37" s="1448"/>
      <c r="X37" s="1448"/>
      <c r="Y37" s="1448"/>
      <c r="Z37" s="1448"/>
      <c r="AA37" s="1448"/>
      <c r="AB37" s="1448"/>
      <c r="AC37" s="1448"/>
      <c r="AD37" s="1448"/>
      <c r="AE37" s="1448"/>
      <c r="AF37" s="1448"/>
      <c r="AG37" s="1448"/>
      <c r="AH37" s="1448"/>
      <c r="AI37" s="1448"/>
      <c r="AJ37" s="1448"/>
      <c r="AK37" s="1448"/>
      <c r="AL37" s="1448"/>
      <c r="AM37" s="1448"/>
      <c r="AN37" s="1448"/>
      <c r="AO37" s="1448"/>
      <c r="AP37" s="1448"/>
      <c r="AQ37" s="1448"/>
      <c r="AR37" s="1448"/>
      <c r="AS37" s="1448"/>
      <c r="AT37" s="1448"/>
      <c r="AZ37" s="20"/>
    </row>
    <row r="38" spans="1:52" ht="12.95" customHeight="1">
      <c r="A38" s="3"/>
      <c r="AZ38" s="20"/>
    </row>
    <row r="39" spans="1:52" ht="12.95" customHeight="1">
      <c r="A39" s="1270" t="s">
        <v>2509</v>
      </c>
      <c r="B39" s="1270"/>
      <c r="C39" s="1270"/>
      <c r="D39" s="1270"/>
      <c r="E39" s="1270"/>
      <c r="F39" s="1270"/>
      <c r="G39" s="1270"/>
      <c r="H39" s="1270"/>
      <c r="I39" s="1270"/>
      <c r="J39" s="1270"/>
      <c r="K39" s="1270"/>
      <c r="L39" s="1270"/>
      <c r="M39" s="1270"/>
      <c r="N39" s="1270"/>
      <c r="O39" s="1270"/>
      <c r="P39" s="1270"/>
      <c r="Q39" s="1270"/>
      <c r="R39" s="1270"/>
      <c r="S39" s="1270"/>
      <c r="T39" s="1270"/>
      <c r="U39" s="1270"/>
      <c r="V39" s="1270"/>
      <c r="W39" s="1270"/>
      <c r="X39" s="1270"/>
      <c r="Y39" s="1270"/>
      <c r="Z39" s="1270"/>
      <c r="AA39" s="1270"/>
      <c r="AB39" s="1270"/>
      <c r="AC39" s="1270"/>
      <c r="AD39" s="1270"/>
      <c r="AE39" s="1270"/>
      <c r="AF39" s="1270"/>
      <c r="AG39" s="1270"/>
      <c r="AH39" s="1270"/>
      <c r="AI39" s="1270"/>
      <c r="AJ39" s="1270"/>
      <c r="AK39" s="1270"/>
      <c r="AL39" s="1270"/>
      <c r="AM39" s="1270"/>
      <c r="AN39" s="1270"/>
      <c r="AO39" s="1270"/>
      <c r="AP39" s="1270"/>
      <c r="AQ39" s="1270"/>
      <c r="AR39" s="1270"/>
      <c r="AS39" s="1270"/>
      <c r="AT39" s="1270"/>
      <c r="AZ39" s="20"/>
    </row>
    <row r="40" spans="1:52" ht="12.95" customHeight="1">
      <c r="A40" s="1270"/>
      <c r="B40" s="1270"/>
      <c r="C40" s="1270"/>
      <c r="D40" s="1270"/>
      <c r="E40" s="1270"/>
      <c r="F40" s="1270"/>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0"/>
      <c r="AC40" s="1270"/>
      <c r="AD40" s="1270"/>
      <c r="AE40" s="1270"/>
      <c r="AF40" s="1270"/>
      <c r="AG40" s="1270"/>
      <c r="AH40" s="1270"/>
      <c r="AI40" s="1270"/>
      <c r="AJ40" s="1270"/>
      <c r="AK40" s="1270"/>
      <c r="AL40" s="1270"/>
      <c r="AM40" s="1270"/>
      <c r="AN40" s="1270"/>
      <c r="AO40" s="1270"/>
      <c r="AP40" s="1270"/>
      <c r="AQ40" s="1270"/>
      <c r="AR40" s="1270"/>
      <c r="AS40" s="1270"/>
      <c r="AT40" s="1270"/>
      <c r="AU40" s="20"/>
      <c r="AV40" s="20"/>
      <c r="AW40" s="20"/>
      <c r="AX40" s="20"/>
      <c r="AY40" s="20"/>
      <c r="AZ40" s="20"/>
    </row>
    <row r="41" spans="1:52" ht="12.95" customHeight="1">
      <c r="A41" s="1270"/>
      <c r="B41" s="1270"/>
      <c r="C41" s="1270"/>
      <c r="D41" s="1270"/>
      <c r="E41" s="1270"/>
      <c r="F41" s="1270"/>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0"/>
      <c r="AC41" s="1270"/>
      <c r="AD41" s="1270"/>
      <c r="AE41" s="1270"/>
      <c r="AF41" s="1270"/>
      <c r="AG41" s="1270"/>
      <c r="AH41" s="1270"/>
      <c r="AI41" s="1270"/>
      <c r="AJ41" s="1270"/>
      <c r="AK41" s="1270"/>
      <c r="AL41" s="1270"/>
      <c r="AM41" s="1270"/>
      <c r="AN41" s="1270"/>
      <c r="AO41" s="1270"/>
      <c r="AP41" s="1270"/>
      <c r="AQ41" s="1270"/>
      <c r="AR41" s="1270"/>
      <c r="AS41" s="1270"/>
      <c r="AT41" s="1270"/>
      <c r="AU41" s="20"/>
      <c r="AV41" s="20"/>
      <c r="AW41" s="20"/>
      <c r="AX41" s="20"/>
      <c r="AY41" s="20"/>
      <c r="AZ41" s="20"/>
    </row>
    <row r="42" spans="1:52" ht="12.95" customHeight="1">
      <c r="A42" s="1270"/>
      <c r="B42" s="1270"/>
      <c r="C42" s="1270"/>
      <c r="D42" s="1270"/>
      <c r="E42" s="1270"/>
      <c r="F42" s="1270"/>
      <c r="G42" s="1270"/>
      <c r="H42" s="1270"/>
      <c r="I42" s="1270"/>
      <c r="J42" s="1270"/>
      <c r="K42" s="1270"/>
      <c r="L42" s="1270"/>
      <c r="M42" s="1270"/>
      <c r="N42" s="1270"/>
      <c r="O42" s="1270"/>
      <c r="P42" s="1270"/>
      <c r="Q42" s="1270"/>
      <c r="R42" s="1270"/>
      <c r="S42" s="1270"/>
      <c r="T42" s="1270"/>
      <c r="U42" s="1270"/>
      <c r="V42" s="1270"/>
      <c r="W42" s="1270"/>
      <c r="X42" s="1270"/>
      <c r="Y42" s="1270"/>
      <c r="Z42" s="1270"/>
      <c r="AA42" s="1270"/>
      <c r="AB42" s="1270"/>
      <c r="AC42" s="1270"/>
      <c r="AD42" s="1270"/>
      <c r="AE42" s="1270"/>
      <c r="AF42" s="1270"/>
      <c r="AG42" s="1270"/>
      <c r="AH42" s="1270"/>
      <c r="AI42" s="1270"/>
      <c r="AJ42" s="1270"/>
      <c r="AK42" s="1270"/>
      <c r="AL42" s="1270"/>
      <c r="AM42" s="1270"/>
      <c r="AN42" s="1270"/>
      <c r="AO42" s="1270"/>
      <c r="AP42" s="1270"/>
      <c r="AQ42" s="1270"/>
      <c r="AR42" s="1270"/>
      <c r="AS42" s="1270"/>
      <c r="AT42" s="1270"/>
      <c r="AZ42" s="20"/>
    </row>
    <row r="43" spans="1:52" ht="12.95" customHeight="1">
      <c r="A43" s="1270"/>
      <c r="B43" s="1270"/>
      <c r="C43" s="1270"/>
      <c r="D43" s="1270"/>
      <c r="E43" s="1270"/>
      <c r="F43" s="1270"/>
      <c r="G43" s="1270"/>
      <c r="H43" s="1270"/>
      <c r="I43" s="1270"/>
      <c r="J43" s="1270"/>
      <c r="K43" s="1270"/>
      <c r="L43" s="1270"/>
      <c r="M43" s="1270"/>
      <c r="N43" s="1270"/>
      <c r="O43" s="1270"/>
      <c r="P43" s="1270"/>
      <c r="Q43" s="1270"/>
      <c r="R43" s="1270"/>
      <c r="S43" s="1270"/>
      <c r="T43" s="1270"/>
      <c r="U43" s="1270"/>
      <c r="V43" s="1270"/>
      <c r="W43" s="1270"/>
      <c r="X43" s="1270"/>
      <c r="Y43" s="1270"/>
      <c r="Z43" s="1270"/>
      <c r="AA43" s="1270"/>
      <c r="AB43" s="1270"/>
      <c r="AC43" s="1270"/>
      <c r="AD43" s="1270"/>
      <c r="AE43" s="1270"/>
      <c r="AF43" s="1270"/>
      <c r="AG43" s="1270"/>
      <c r="AH43" s="1270"/>
      <c r="AI43" s="1270"/>
      <c r="AJ43" s="1270"/>
      <c r="AK43" s="1270"/>
      <c r="AL43" s="1270"/>
      <c r="AM43" s="1270"/>
      <c r="AN43" s="1270"/>
      <c r="AO43" s="1270"/>
      <c r="AP43" s="1270"/>
      <c r="AQ43" s="1270"/>
      <c r="AR43" s="1270"/>
      <c r="AS43" s="1270"/>
      <c r="AT43" s="1270"/>
      <c r="AU43" s="20"/>
      <c r="AV43" s="20"/>
      <c r="AW43" s="20"/>
      <c r="AX43" s="20"/>
      <c r="AY43" s="20"/>
      <c r="AZ43" s="20"/>
    </row>
    <row r="44" spans="1:52" ht="12.95" customHeight="1">
      <c r="A44" s="1270"/>
      <c r="B44" s="1270"/>
      <c r="C44" s="1270"/>
      <c r="D44" s="1270"/>
      <c r="E44" s="1270"/>
      <c r="F44" s="1270"/>
      <c r="G44" s="1270"/>
      <c r="H44" s="1270"/>
      <c r="I44" s="1270"/>
      <c r="J44" s="1270"/>
      <c r="K44" s="1270"/>
      <c r="L44" s="1270"/>
      <c r="M44" s="1270"/>
      <c r="N44" s="1270"/>
      <c r="O44" s="1270"/>
      <c r="P44" s="1270"/>
      <c r="Q44" s="1270"/>
      <c r="R44" s="1270"/>
      <c r="S44" s="1270"/>
      <c r="T44" s="1270"/>
      <c r="U44" s="1270"/>
      <c r="V44" s="1270"/>
      <c r="W44" s="1270"/>
      <c r="X44" s="1270"/>
      <c r="Y44" s="1270"/>
      <c r="Z44" s="1270"/>
      <c r="AA44" s="1270"/>
      <c r="AB44" s="1270"/>
      <c r="AC44" s="1270"/>
      <c r="AD44" s="1270"/>
      <c r="AE44" s="1270"/>
      <c r="AF44" s="1270"/>
      <c r="AG44" s="1270"/>
      <c r="AH44" s="1270"/>
      <c r="AI44" s="1270"/>
      <c r="AJ44" s="1270"/>
      <c r="AK44" s="1270"/>
      <c r="AL44" s="1270"/>
      <c r="AM44" s="1270"/>
      <c r="AN44" s="1270"/>
      <c r="AO44" s="1270"/>
      <c r="AP44" s="1270"/>
      <c r="AQ44" s="1270"/>
      <c r="AR44" s="1270"/>
      <c r="AS44" s="1270"/>
      <c r="AT44" s="1270"/>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32" t="s">
        <v>2510</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332"/>
      <c r="AK46" s="1332"/>
      <c r="AL46" s="1332"/>
      <c r="AM46" s="1332"/>
      <c r="AN46" s="1332"/>
      <c r="AO46" s="1332"/>
      <c r="AP46" s="1332"/>
      <c r="AQ46" s="1332"/>
      <c r="AR46" s="1332"/>
      <c r="AS46" s="1332"/>
      <c r="AT46" s="1332"/>
      <c r="AU46" s="20"/>
      <c r="AV46" s="20"/>
      <c r="AW46" s="20"/>
      <c r="AX46" s="20"/>
      <c r="AY46" s="20"/>
      <c r="AZ46" s="20"/>
    </row>
    <row r="47" spans="1:52" ht="12.95" customHeight="1">
      <c r="A47" s="1332"/>
      <c r="B47" s="1332"/>
      <c r="C47" s="1332"/>
      <c r="D47" s="1332"/>
      <c r="E47" s="1332"/>
      <c r="F47" s="1332"/>
      <c r="G47" s="1332"/>
      <c r="H47" s="1332"/>
      <c r="I47" s="1332"/>
      <c r="J47" s="1332"/>
      <c r="K47" s="1332"/>
      <c r="L47" s="1332"/>
      <c r="M47" s="1332"/>
      <c r="N47" s="1332"/>
      <c r="O47" s="1332"/>
      <c r="P47" s="1332"/>
      <c r="Q47" s="1332"/>
      <c r="R47" s="1332"/>
      <c r="S47" s="1332"/>
      <c r="T47" s="1332"/>
      <c r="U47" s="1332"/>
      <c r="V47" s="1332"/>
      <c r="W47" s="1332"/>
      <c r="X47" s="1332"/>
      <c r="Y47" s="1332"/>
      <c r="Z47" s="1332"/>
      <c r="AA47" s="1332"/>
      <c r="AB47" s="1332"/>
      <c r="AC47" s="1332"/>
      <c r="AD47" s="1332"/>
      <c r="AE47" s="1332"/>
      <c r="AF47" s="1332"/>
      <c r="AG47" s="1332"/>
      <c r="AH47" s="1332"/>
      <c r="AI47" s="1332"/>
      <c r="AJ47" s="1332"/>
      <c r="AK47" s="1332"/>
      <c r="AL47" s="1332"/>
      <c r="AM47" s="1332"/>
      <c r="AN47" s="1332"/>
      <c r="AO47" s="1332"/>
      <c r="AP47" s="1332"/>
      <c r="AQ47" s="1332"/>
      <c r="AR47" s="1332"/>
      <c r="AS47" s="1332"/>
      <c r="AT47" s="1332"/>
      <c r="AU47" s="20"/>
      <c r="AV47" s="20"/>
      <c r="AW47" s="20"/>
      <c r="AX47" s="20"/>
      <c r="AY47" s="20"/>
      <c r="AZ47" s="20"/>
    </row>
    <row r="48" spans="1:52" ht="12.95" customHeight="1">
      <c r="A48" s="1332"/>
      <c r="B48" s="1332"/>
      <c r="C48" s="1332"/>
      <c r="D48" s="1332"/>
      <c r="E48" s="1332"/>
      <c r="F48" s="1332"/>
      <c r="G48" s="1332"/>
      <c r="H48" s="1332"/>
      <c r="I48" s="1332"/>
      <c r="J48" s="1332"/>
      <c r="K48" s="1332"/>
      <c r="L48" s="1332"/>
      <c r="M48" s="1332"/>
      <c r="N48" s="1332"/>
      <c r="O48" s="1332"/>
      <c r="P48" s="1332"/>
      <c r="Q48" s="1332"/>
      <c r="R48" s="1332"/>
      <c r="S48" s="1332"/>
      <c r="T48" s="1332"/>
      <c r="U48" s="1332"/>
      <c r="V48" s="1332"/>
      <c r="W48" s="1332"/>
      <c r="X48" s="1332"/>
      <c r="Y48" s="1332"/>
      <c r="Z48" s="1332"/>
      <c r="AA48" s="1332"/>
      <c r="AB48" s="1332"/>
      <c r="AC48" s="1332"/>
      <c r="AD48" s="1332"/>
      <c r="AE48" s="1332"/>
      <c r="AF48" s="1332"/>
      <c r="AG48" s="1332"/>
      <c r="AH48" s="1332"/>
      <c r="AI48" s="1332"/>
      <c r="AJ48" s="1332"/>
      <c r="AK48" s="1332"/>
      <c r="AL48" s="1332"/>
      <c r="AM48" s="1332"/>
      <c r="AN48" s="1332"/>
      <c r="AO48" s="1332"/>
      <c r="AP48" s="1332"/>
      <c r="AQ48" s="1332"/>
      <c r="AR48" s="1332"/>
      <c r="AS48" s="1332"/>
      <c r="AT48" s="1332"/>
      <c r="AU48" s="20"/>
      <c r="AV48" s="20"/>
      <c r="AW48" s="20"/>
      <c r="AX48" s="20"/>
      <c r="AY48" s="20"/>
      <c r="AZ48" s="20"/>
    </row>
    <row r="49" spans="1:52" ht="12.95" customHeight="1">
      <c r="A49" s="1332"/>
      <c r="B49" s="1332"/>
      <c r="C49" s="1332"/>
      <c r="D49" s="1332"/>
      <c r="E49" s="1332"/>
      <c r="F49" s="1332"/>
      <c r="G49" s="1332"/>
      <c r="H49" s="1332"/>
      <c r="I49" s="1332"/>
      <c r="J49" s="1332"/>
      <c r="K49" s="1332"/>
      <c r="L49" s="1332"/>
      <c r="M49" s="1332"/>
      <c r="N49" s="1332"/>
      <c r="O49" s="1332"/>
      <c r="P49" s="1332"/>
      <c r="Q49" s="1332"/>
      <c r="R49" s="1332"/>
      <c r="S49" s="1332"/>
      <c r="T49" s="1332"/>
      <c r="U49" s="1332"/>
      <c r="V49" s="1332"/>
      <c r="W49" s="1332"/>
      <c r="X49" s="1332"/>
      <c r="Y49" s="1332"/>
      <c r="Z49" s="1332"/>
      <c r="AA49" s="1332"/>
      <c r="AB49" s="1332"/>
      <c r="AC49" s="1332"/>
      <c r="AD49" s="1332"/>
      <c r="AE49" s="1332"/>
      <c r="AF49" s="1332"/>
      <c r="AG49" s="1332"/>
      <c r="AH49" s="1332"/>
      <c r="AI49" s="1332"/>
      <c r="AJ49" s="1332"/>
      <c r="AK49" s="1332"/>
      <c r="AL49" s="1332"/>
      <c r="AM49" s="1332"/>
      <c r="AN49" s="1332"/>
      <c r="AO49" s="1332"/>
      <c r="AP49" s="1332"/>
      <c r="AQ49" s="1332"/>
      <c r="AR49" s="1332"/>
      <c r="AS49" s="1332"/>
      <c r="AT49" s="1332"/>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70" t="s">
        <v>2511</v>
      </c>
      <c r="B51" s="1270"/>
      <c r="C51" s="1270"/>
      <c r="D51" s="1270"/>
      <c r="E51" s="1270"/>
      <c r="F51" s="1270"/>
      <c r="G51" s="1270"/>
      <c r="H51" s="1270"/>
      <c r="I51" s="1270"/>
      <c r="J51" s="1270"/>
      <c r="K51" s="1270"/>
      <c r="L51" s="1270"/>
      <c r="M51" s="1270"/>
      <c r="N51" s="1270"/>
      <c r="O51" s="1270"/>
      <c r="P51" s="1270"/>
      <c r="Q51" s="1270"/>
      <c r="R51" s="1270"/>
      <c r="S51" s="1270"/>
      <c r="T51" s="1270"/>
      <c r="U51" s="1270"/>
      <c r="V51" s="1270"/>
      <c r="W51" s="1270"/>
      <c r="X51" s="1270"/>
      <c r="Y51" s="1270"/>
      <c r="Z51" s="1270"/>
      <c r="AA51" s="1270"/>
      <c r="AB51" s="1270"/>
      <c r="AC51" s="1270"/>
      <c r="AD51" s="1270"/>
      <c r="AE51" s="1270"/>
      <c r="AF51" s="1270"/>
      <c r="AG51" s="1270"/>
      <c r="AH51" s="1270"/>
      <c r="AI51" s="1270"/>
      <c r="AJ51" s="1270"/>
      <c r="AK51" s="1270"/>
      <c r="AL51" s="1270"/>
      <c r="AM51" s="1270"/>
      <c r="AN51" s="1270"/>
      <c r="AO51" s="1270"/>
      <c r="AP51" s="1270"/>
      <c r="AQ51" s="1270"/>
      <c r="AR51" s="1270"/>
      <c r="AS51" s="1270"/>
      <c r="AT51" s="1270"/>
      <c r="AU51" s="20"/>
      <c r="AV51" s="20"/>
      <c r="AW51" s="20"/>
      <c r="AX51" s="20"/>
      <c r="AY51" s="20"/>
      <c r="AZ51" s="20"/>
    </row>
    <row r="52" spans="1:52" ht="12.95" customHeight="1">
      <c r="A52" s="1270"/>
      <c r="B52" s="1270"/>
      <c r="C52" s="1270"/>
      <c r="D52" s="1270"/>
      <c r="E52" s="1270"/>
      <c r="F52" s="1270"/>
      <c r="G52" s="1270"/>
      <c r="H52" s="1270"/>
      <c r="I52" s="1270"/>
      <c r="J52" s="1270"/>
      <c r="K52" s="1270"/>
      <c r="L52" s="1270"/>
      <c r="M52" s="1270"/>
      <c r="N52" s="1270"/>
      <c r="O52" s="1270"/>
      <c r="P52" s="1270"/>
      <c r="Q52" s="1270"/>
      <c r="R52" s="1270"/>
      <c r="S52" s="1270"/>
      <c r="T52" s="1270"/>
      <c r="U52" s="1270"/>
      <c r="V52" s="1270"/>
      <c r="W52" s="1270"/>
      <c r="X52" s="1270"/>
      <c r="Y52" s="1270"/>
      <c r="Z52" s="1270"/>
      <c r="AA52" s="1270"/>
      <c r="AB52" s="1270"/>
      <c r="AC52" s="1270"/>
      <c r="AD52" s="1270"/>
      <c r="AE52" s="1270"/>
      <c r="AF52" s="1270"/>
      <c r="AG52" s="1270"/>
      <c r="AH52" s="1270"/>
      <c r="AI52" s="1270"/>
      <c r="AJ52" s="1270"/>
      <c r="AK52" s="1270"/>
      <c r="AL52" s="1270"/>
      <c r="AM52" s="1270"/>
      <c r="AN52" s="1270"/>
      <c r="AO52" s="1270"/>
      <c r="AP52" s="1270"/>
      <c r="AQ52" s="1270"/>
      <c r="AR52" s="1270"/>
      <c r="AS52" s="1270"/>
      <c r="AT52" s="1270"/>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70" t="s">
        <v>2512</v>
      </c>
      <c r="B54" s="1270"/>
      <c r="C54" s="1270"/>
      <c r="D54" s="1270"/>
      <c r="E54" s="1270"/>
      <c r="F54" s="1270"/>
      <c r="G54" s="1270"/>
      <c r="H54" s="1270"/>
      <c r="I54" s="1270"/>
      <c r="J54" s="1270"/>
      <c r="K54" s="1270"/>
      <c r="L54" s="1270"/>
      <c r="M54" s="1270"/>
      <c r="N54" s="1270"/>
      <c r="O54" s="1270"/>
      <c r="P54" s="1270"/>
      <c r="Q54" s="1270"/>
      <c r="R54" s="1270"/>
      <c r="S54" s="1270"/>
      <c r="T54" s="1270"/>
      <c r="U54" s="1270"/>
      <c r="V54" s="1270"/>
      <c r="W54" s="1270"/>
      <c r="X54" s="1270"/>
      <c r="Y54" s="1270"/>
      <c r="Z54" s="1270"/>
      <c r="AA54" s="1270"/>
      <c r="AB54" s="1270"/>
      <c r="AC54" s="1270"/>
      <c r="AD54" s="1270"/>
      <c r="AE54" s="1270"/>
      <c r="AF54" s="1270"/>
      <c r="AG54" s="1270"/>
      <c r="AH54" s="1270"/>
      <c r="AI54" s="1270"/>
      <c r="AJ54" s="1270"/>
      <c r="AK54" s="1270"/>
      <c r="AL54" s="1270"/>
      <c r="AM54" s="1270"/>
      <c r="AN54" s="1270"/>
      <c r="AO54" s="1270"/>
      <c r="AP54" s="1270"/>
      <c r="AQ54" s="1270"/>
      <c r="AR54" s="1270"/>
      <c r="AS54" s="1270"/>
      <c r="AT54" s="1270"/>
      <c r="AU54" s="20"/>
      <c r="AV54" s="20"/>
      <c r="AW54" s="20"/>
      <c r="AX54" s="20"/>
      <c r="AY54" s="20"/>
      <c r="AZ54" s="21"/>
    </row>
    <row r="55" spans="1:52" ht="12.95" customHeight="1">
      <c r="A55" s="1270"/>
      <c r="B55" s="1270"/>
      <c r="C55" s="1270"/>
      <c r="D55" s="1270"/>
      <c r="E55" s="1270"/>
      <c r="F55" s="1270"/>
      <c r="G55" s="1270"/>
      <c r="H55" s="1270"/>
      <c r="I55" s="1270"/>
      <c r="J55" s="1270"/>
      <c r="K55" s="1270"/>
      <c r="L55" s="1270"/>
      <c r="M55" s="1270"/>
      <c r="N55" s="1270"/>
      <c r="O55" s="1270"/>
      <c r="P55" s="1270"/>
      <c r="Q55" s="1270"/>
      <c r="R55" s="1270"/>
      <c r="S55" s="1270"/>
      <c r="T55" s="1270"/>
      <c r="U55" s="1270"/>
      <c r="V55" s="1270"/>
      <c r="W55" s="1270"/>
      <c r="X55" s="1270"/>
      <c r="Y55" s="1270"/>
      <c r="Z55" s="1270"/>
      <c r="AA55" s="1270"/>
      <c r="AB55" s="1270"/>
      <c r="AC55" s="1270"/>
      <c r="AD55" s="1270"/>
      <c r="AE55" s="1270"/>
      <c r="AF55" s="1270"/>
      <c r="AG55" s="1270"/>
      <c r="AH55" s="1270"/>
      <c r="AI55" s="1270"/>
      <c r="AJ55" s="1270"/>
      <c r="AK55" s="1270"/>
      <c r="AL55" s="1270"/>
      <c r="AM55" s="1270"/>
      <c r="AN55" s="1270"/>
      <c r="AO55" s="1270"/>
      <c r="AP55" s="1270"/>
      <c r="AQ55" s="1270"/>
      <c r="AR55" s="1270"/>
      <c r="AS55" s="1270"/>
      <c r="AT55" s="1270"/>
      <c r="AZ55" s="21"/>
    </row>
    <row r="56" spans="1:52" ht="12.95" customHeight="1">
      <c r="A56" s="1270"/>
      <c r="B56" s="1270"/>
      <c r="C56" s="1270"/>
      <c r="D56" s="1270"/>
      <c r="E56" s="1270"/>
      <c r="F56" s="1270"/>
      <c r="G56" s="1270"/>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1270"/>
      <c r="AM56" s="1270"/>
      <c r="AN56" s="1270"/>
      <c r="AO56" s="1270"/>
      <c r="AP56" s="1270"/>
      <c r="AQ56" s="1270"/>
      <c r="AR56" s="1270"/>
      <c r="AS56" s="1270"/>
      <c r="AT56" s="1270"/>
    </row>
    <row r="57" spans="1:52" ht="12.95" customHeight="1">
      <c r="A57" s="1270"/>
      <c r="B57" s="1270"/>
      <c r="C57" s="1270"/>
      <c r="D57" s="1270"/>
      <c r="E57" s="1270"/>
      <c r="F57" s="1270"/>
      <c r="G57" s="1270"/>
      <c r="H57" s="1270"/>
      <c r="I57" s="1270"/>
      <c r="J57" s="1270"/>
      <c r="K57" s="1270"/>
      <c r="L57" s="1270"/>
      <c r="M57" s="1270"/>
      <c r="N57" s="1270"/>
      <c r="O57" s="1270"/>
      <c r="P57" s="1270"/>
      <c r="Q57" s="1270"/>
      <c r="R57" s="1270"/>
      <c r="S57" s="1270"/>
      <c r="T57" s="1270"/>
      <c r="U57" s="1270"/>
      <c r="V57" s="1270"/>
      <c r="W57" s="1270"/>
      <c r="X57" s="1270"/>
      <c r="Y57" s="1270"/>
      <c r="Z57" s="1270"/>
      <c r="AA57" s="1270"/>
      <c r="AB57" s="1270"/>
      <c r="AC57" s="1270"/>
      <c r="AD57" s="1270"/>
      <c r="AE57" s="1270"/>
      <c r="AF57" s="1270"/>
      <c r="AG57" s="1270"/>
      <c r="AH57" s="1270"/>
      <c r="AI57" s="1270"/>
      <c r="AJ57" s="1270"/>
      <c r="AK57" s="1270"/>
      <c r="AL57" s="1270"/>
      <c r="AM57" s="1270"/>
      <c r="AN57" s="1270"/>
      <c r="AO57" s="1270"/>
      <c r="AP57" s="1270"/>
      <c r="AQ57" s="1270"/>
      <c r="AR57" s="1270"/>
      <c r="AS57" s="1270"/>
      <c r="AT57" s="1270"/>
    </row>
    <row r="58" spans="1:52" ht="12.95" customHeight="1">
      <c r="A58" s="1270"/>
      <c r="B58" s="1270"/>
      <c r="C58" s="1270"/>
      <c r="D58" s="1270"/>
      <c r="E58" s="1270"/>
      <c r="F58" s="1270"/>
      <c r="G58" s="1270"/>
      <c r="H58" s="1270"/>
      <c r="I58" s="1270"/>
      <c r="J58" s="1270"/>
      <c r="K58" s="1270"/>
      <c r="L58" s="1270"/>
      <c r="M58" s="1270"/>
      <c r="N58" s="1270"/>
      <c r="O58" s="1270"/>
      <c r="P58" s="1270"/>
      <c r="Q58" s="1270"/>
      <c r="R58" s="1270"/>
      <c r="S58" s="1270"/>
      <c r="T58" s="1270"/>
      <c r="U58" s="1270"/>
      <c r="V58" s="1270"/>
      <c r="W58" s="1270"/>
      <c r="X58" s="1270"/>
      <c r="Y58" s="1270"/>
      <c r="Z58" s="1270"/>
      <c r="AA58" s="1270"/>
      <c r="AB58" s="1270"/>
      <c r="AC58" s="1270"/>
      <c r="AD58" s="1270"/>
      <c r="AE58" s="1270"/>
      <c r="AF58" s="1270"/>
      <c r="AG58" s="1270"/>
      <c r="AH58" s="1270"/>
      <c r="AI58" s="1270"/>
      <c r="AJ58" s="1270"/>
      <c r="AK58" s="1270"/>
      <c r="AL58" s="1270"/>
      <c r="AM58" s="1270"/>
      <c r="AN58" s="1270"/>
      <c r="AO58" s="1270"/>
      <c r="AP58" s="1270"/>
      <c r="AQ58" s="1270"/>
      <c r="AR58" s="1270"/>
      <c r="AS58" s="1270"/>
      <c r="AT58" s="1270"/>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70" t="s">
        <v>2513</v>
      </c>
      <c r="B60" s="1270"/>
      <c r="C60" s="1270"/>
      <c r="D60" s="1270"/>
      <c r="E60" s="1270"/>
      <c r="F60" s="127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270"/>
      <c r="AS60" s="1270"/>
      <c r="AT60" s="1270"/>
      <c r="AU60" s="20"/>
      <c r="AV60" s="20"/>
      <c r="AW60" s="20"/>
      <c r="AX60" s="20"/>
      <c r="AY60" s="20"/>
      <c r="AZ60" s="20"/>
    </row>
    <row r="61" spans="1:52" ht="12.95" customHeight="1">
      <c r="A61" s="1270"/>
      <c r="B61" s="1270"/>
      <c r="C61" s="1270"/>
      <c r="D61" s="1270"/>
      <c r="E61" s="1270"/>
      <c r="F61" s="1270"/>
      <c r="G61" s="1270"/>
      <c r="H61" s="1270"/>
      <c r="I61" s="1270"/>
      <c r="J61" s="1270"/>
      <c r="K61" s="1270"/>
      <c r="L61" s="1270"/>
      <c r="M61" s="1270"/>
      <c r="N61" s="1270"/>
      <c r="O61" s="1270"/>
      <c r="P61" s="1270"/>
      <c r="Q61" s="1270"/>
      <c r="R61" s="1270"/>
      <c r="S61" s="1270"/>
      <c r="T61" s="1270"/>
      <c r="U61" s="1270"/>
      <c r="V61" s="1270"/>
      <c r="W61" s="1270"/>
      <c r="X61" s="1270"/>
      <c r="Y61" s="1270"/>
      <c r="Z61" s="1270"/>
      <c r="AA61" s="1270"/>
      <c r="AB61" s="1270"/>
      <c r="AC61" s="1270"/>
      <c r="AD61" s="1270"/>
      <c r="AE61" s="1270"/>
      <c r="AF61" s="1270"/>
      <c r="AG61" s="1270"/>
      <c r="AH61" s="1270"/>
      <c r="AI61" s="1270"/>
      <c r="AJ61" s="1270"/>
      <c r="AK61" s="1270"/>
      <c r="AL61" s="1270"/>
      <c r="AM61" s="1270"/>
      <c r="AN61" s="1270"/>
      <c r="AO61" s="1270"/>
      <c r="AP61" s="1270"/>
      <c r="AQ61" s="1270"/>
      <c r="AR61" s="1270"/>
      <c r="AS61" s="1270"/>
      <c r="AT61" s="1270"/>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50" t="s">
        <v>2515</v>
      </c>
      <c r="B65" s="1450"/>
      <c r="C65" s="1450"/>
      <c r="D65" s="1450"/>
      <c r="E65" s="1450"/>
      <c r="F65" s="1450"/>
      <c r="G65" s="1450"/>
      <c r="H65" s="1450"/>
      <c r="I65" s="1450"/>
      <c r="J65" s="1450"/>
      <c r="K65" s="1450"/>
      <c r="L65" s="1450"/>
      <c r="M65" s="1450"/>
      <c r="N65" s="1450"/>
      <c r="O65" s="1450"/>
      <c r="P65" s="1450"/>
      <c r="Q65" s="1450"/>
      <c r="R65" s="1450"/>
      <c r="S65" s="1450"/>
      <c r="T65" s="1450"/>
      <c r="U65" s="1450"/>
      <c r="V65" s="1450"/>
      <c r="W65" s="1450"/>
      <c r="X65" s="1450"/>
      <c r="Y65" s="1450"/>
      <c r="Z65" s="1450"/>
      <c r="AA65" s="1450"/>
      <c r="AB65" s="1450"/>
      <c r="AC65" s="1450"/>
      <c r="AD65" s="1450"/>
      <c r="AE65" s="1450"/>
      <c r="AF65" s="1450"/>
      <c r="AG65" s="1450"/>
      <c r="AH65" s="1450"/>
      <c r="AI65" s="1450"/>
      <c r="AJ65" s="1450"/>
      <c r="AK65" s="1450"/>
      <c r="AL65" s="1450"/>
      <c r="AM65" s="1450"/>
      <c r="AN65" s="1450"/>
      <c r="AO65" s="1450"/>
      <c r="AP65" s="1450"/>
      <c r="AQ65" s="1450"/>
      <c r="AR65" s="1450"/>
      <c r="AS65" s="1450"/>
      <c r="AT65" s="1450"/>
      <c r="AU65" s="21"/>
      <c r="AV65" s="21"/>
      <c r="AW65" s="21"/>
      <c r="AX65" s="21"/>
      <c r="AY65" s="21"/>
      <c r="AZ65" s="20"/>
    </row>
    <row r="66" spans="1:52" ht="12.95" customHeight="1">
      <c r="A66" s="1450"/>
      <c r="B66" s="1450"/>
      <c r="C66" s="1450"/>
      <c r="D66" s="1450"/>
      <c r="E66" s="1450"/>
      <c r="F66" s="1450"/>
      <c r="G66" s="1450"/>
      <c r="H66" s="1450"/>
      <c r="I66" s="1450"/>
      <c r="J66" s="1450"/>
      <c r="K66" s="1450"/>
      <c r="L66" s="1450"/>
      <c r="M66" s="1450"/>
      <c r="N66" s="1450"/>
      <c r="O66" s="1450"/>
      <c r="P66" s="1450"/>
      <c r="Q66" s="1450"/>
      <c r="R66" s="1450"/>
      <c r="S66" s="1450"/>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21"/>
      <c r="AV66" s="21"/>
      <c r="AW66" s="21"/>
      <c r="AX66" s="21"/>
      <c r="AY66" s="21"/>
      <c r="AZ66" s="20"/>
    </row>
    <row r="67" spans="1:52" ht="12.95" customHeight="1">
      <c r="A67" s="1450"/>
      <c r="B67" s="1450"/>
      <c r="C67" s="1450"/>
      <c r="D67" s="1450"/>
      <c r="E67" s="1450"/>
      <c r="F67" s="1450"/>
      <c r="G67" s="1450"/>
      <c r="H67" s="1450"/>
      <c r="I67" s="1450"/>
      <c r="J67" s="1450"/>
      <c r="K67" s="1450"/>
      <c r="L67" s="1450"/>
      <c r="M67" s="1450"/>
      <c r="N67" s="1450"/>
      <c r="O67" s="1450"/>
      <c r="P67" s="1450"/>
      <c r="Q67" s="1450"/>
      <c r="R67" s="1450"/>
      <c r="S67" s="1450"/>
      <c r="T67" s="1450"/>
      <c r="U67" s="1450"/>
      <c r="V67" s="1450"/>
      <c r="W67" s="1450"/>
      <c r="X67" s="1450"/>
      <c r="Y67" s="1450"/>
      <c r="Z67" s="1450"/>
      <c r="AA67" s="1450"/>
      <c r="AB67" s="1450"/>
      <c r="AC67" s="1450"/>
      <c r="AD67" s="1450"/>
      <c r="AE67" s="1450"/>
      <c r="AF67" s="1450"/>
      <c r="AG67" s="1450"/>
      <c r="AH67" s="1450"/>
      <c r="AI67" s="1450"/>
      <c r="AJ67" s="1450"/>
      <c r="AK67" s="1450"/>
      <c r="AL67" s="1450"/>
      <c r="AM67" s="1450"/>
      <c r="AN67" s="1450"/>
      <c r="AO67" s="1450"/>
      <c r="AP67" s="1450"/>
      <c r="AQ67" s="1450"/>
      <c r="AR67" s="1450"/>
      <c r="AS67" s="1450"/>
      <c r="AT67" s="145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50" t="s">
        <v>2516</v>
      </c>
      <c r="B69" s="1450"/>
      <c r="C69" s="1450"/>
      <c r="D69" s="1450"/>
      <c r="E69" s="1450"/>
      <c r="F69" s="1450"/>
      <c r="G69" s="1450"/>
      <c r="H69" s="1450"/>
      <c r="I69" s="1450"/>
      <c r="J69" s="1450"/>
      <c r="K69" s="1450"/>
      <c r="L69" s="1450"/>
      <c r="M69" s="1450"/>
      <c r="N69" s="1450"/>
      <c r="O69" s="1450"/>
      <c r="P69" s="1450"/>
      <c r="Q69" s="1450"/>
      <c r="R69" s="1450"/>
      <c r="S69" s="1450"/>
      <c r="T69" s="1450"/>
      <c r="U69" s="1450"/>
      <c r="V69" s="1450"/>
      <c r="W69" s="1450"/>
      <c r="X69" s="1450"/>
      <c r="Y69" s="1450"/>
      <c r="Z69" s="1450"/>
      <c r="AA69" s="1450"/>
      <c r="AB69" s="1450"/>
      <c r="AC69" s="1450"/>
      <c r="AD69" s="1450"/>
      <c r="AE69" s="1450"/>
      <c r="AF69" s="1450"/>
      <c r="AG69" s="1450"/>
      <c r="AH69" s="1450"/>
      <c r="AI69" s="1450"/>
      <c r="AJ69" s="1450"/>
      <c r="AK69" s="1450"/>
      <c r="AL69" s="1450"/>
      <c r="AM69" s="1450"/>
      <c r="AN69" s="1450"/>
      <c r="AO69" s="1450"/>
      <c r="AP69" s="1450"/>
      <c r="AQ69" s="1450"/>
      <c r="AR69" s="1450"/>
      <c r="AS69" s="1450"/>
      <c r="AT69" s="1450"/>
      <c r="AZ69" s="20"/>
    </row>
    <row r="70" spans="1:52" ht="12.95" customHeight="1">
      <c r="A70" s="1450"/>
      <c r="B70" s="1450"/>
      <c r="C70" s="1450"/>
      <c r="D70" s="1450"/>
      <c r="E70" s="1450"/>
      <c r="F70" s="1450"/>
      <c r="G70" s="1450"/>
      <c r="H70" s="1450"/>
      <c r="I70" s="1450"/>
      <c r="J70" s="1450"/>
      <c r="K70" s="1450"/>
      <c r="L70" s="1450"/>
      <c r="M70" s="1450"/>
      <c r="N70" s="1450"/>
      <c r="O70" s="1450"/>
      <c r="P70" s="1450"/>
      <c r="Q70" s="1450"/>
      <c r="R70" s="1450"/>
      <c r="S70" s="1450"/>
      <c r="T70" s="1450"/>
      <c r="U70" s="1450"/>
      <c r="V70" s="1450"/>
      <c r="W70" s="1450"/>
      <c r="X70" s="1450"/>
      <c r="Y70" s="1450"/>
      <c r="Z70" s="1450"/>
      <c r="AA70" s="1450"/>
      <c r="AB70" s="1450"/>
      <c r="AC70" s="1450"/>
      <c r="AD70" s="1450"/>
      <c r="AE70" s="1450"/>
      <c r="AF70" s="1450"/>
      <c r="AG70" s="1450"/>
      <c r="AH70" s="1450"/>
      <c r="AI70" s="1450"/>
      <c r="AJ70" s="1450"/>
      <c r="AK70" s="1450"/>
      <c r="AL70" s="1450"/>
      <c r="AM70" s="1450"/>
      <c r="AN70" s="1450"/>
      <c r="AO70" s="1450"/>
      <c r="AP70" s="1450"/>
      <c r="AQ70" s="1450"/>
      <c r="AR70" s="1450"/>
      <c r="AS70" s="1450"/>
      <c r="AT70" s="1450"/>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48" t="s">
        <v>2517</v>
      </c>
      <c r="B72" s="1448"/>
      <c r="C72" s="1448"/>
      <c r="D72" s="1448"/>
      <c r="E72" s="1448"/>
      <c r="F72" s="1448"/>
      <c r="G72" s="1448"/>
      <c r="H72" s="1448"/>
      <c r="I72" s="1448"/>
      <c r="J72" s="1448"/>
      <c r="K72" s="1448"/>
      <c r="L72" s="1448"/>
      <c r="M72" s="1448"/>
      <c r="N72" s="1448"/>
      <c r="O72" s="1448"/>
      <c r="P72" s="1448"/>
      <c r="Q72" s="1448"/>
      <c r="R72" s="1448"/>
      <c r="S72" s="1448"/>
      <c r="T72" s="1448"/>
      <c r="U72" s="1448"/>
      <c r="V72" s="1448"/>
      <c r="W72" s="1448"/>
      <c r="X72" s="1448"/>
      <c r="Y72" s="1448"/>
      <c r="Z72" s="1448"/>
      <c r="AA72" s="1448"/>
      <c r="AB72" s="1448"/>
      <c r="AC72" s="1448"/>
      <c r="AD72" s="1448"/>
      <c r="AE72" s="1448"/>
      <c r="AF72" s="1448"/>
      <c r="AG72" s="1448"/>
      <c r="AH72" s="1448"/>
      <c r="AI72" s="1448"/>
      <c r="AJ72" s="1448"/>
      <c r="AK72" s="1448"/>
      <c r="AL72" s="1448"/>
      <c r="AM72" s="1448"/>
      <c r="AN72" s="1448"/>
      <c r="AO72" s="1448"/>
      <c r="AP72" s="1448"/>
      <c r="AQ72" s="1448"/>
      <c r="AR72" s="1448"/>
      <c r="AS72" s="1448"/>
      <c r="AT72" s="1448"/>
      <c r="AU72" s="20"/>
      <c r="AV72" s="20"/>
      <c r="AW72" s="20"/>
      <c r="AX72" s="20"/>
      <c r="AY72" s="20"/>
      <c r="AZ72" s="20"/>
    </row>
    <row r="73" spans="1:52" ht="12.95" customHeight="1">
      <c r="A73" s="1448"/>
      <c r="B73" s="1448"/>
      <c r="C73" s="1448"/>
      <c r="D73" s="1448"/>
      <c r="E73" s="1448"/>
      <c r="F73" s="1448"/>
      <c r="G73" s="1448"/>
      <c r="H73" s="1448"/>
      <c r="I73" s="1448"/>
      <c r="J73" s="1448"/>
      <c r="K73" s="1448"/>
      <c r="L73" s="1448"/>
      <c r="M73" s="1448"/>
      <c r="N73" s="1448"/>
      <c r="O73" s="1448"/>
      <c r="P73" s="1448"/>
      <c r="Q73" s="1448"/>
      <c r="R73" s="1448"/>
      <c r="S73" s="1448"/>
      <c r="T73" s="1448"/>
      <c r="U73" s="1448"/>
      <c r="V73" s="1448"/>
      <c r="W73" s="1448"/>
      <c r="X73" s="1448"/>
      <c r="Y73" s="1448"/>
      <c r="Z73" s="1448"/>
      <c r="AA73" s="1448"/>
      <c r="AB73" s="1448"/>
      <c r="AC73" s="1448"/>
      <c r="AD73" s="1448"/>
      <c r="AE73" s="1448"/>
      <c r="AF73" s="1448"/>
      <c r="AG73" s="1448"/>
      <c r="AH73" s="1448"/>
      <c r="AI73" s="1448"/>
      <c r="AJ73" s="1448"/>
      <c r="AK73" s="1448"/>
      <c r="AL73" s="1448"/>
      <c r="AM73" s="1448"/>
      <c r="AN73" s="1448"/>
      <c r="AO73" s="1448"/>
      <c r="AP73" s="1448"/>
      <c r="AQ73" s="1448"/>
      <c r="AR73" s="1448"/>
      <c r="AS73" s="1448"/>
      <c r="AT73" s="144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2" t="s">
        <v>2518</v>
      </c>
      <c r="B75" s="1802"/>
      <c r="C75" s="1802"/>
      <c r="D75" s="1802"/>
      <c r="E75" s="1802"/>
      <c r="F75" s="1802"/>
      <c r="G75" s="1802"/>
      <c r="H75" s="1802"/>
      <c r="I75" s="1802"/>
      <c r="J75" s="1802"/>
      <c r="K75" s="1802"/>
      <c r="L75" s="1802"/>
      <c r="M75" s="1802"/>
      <c r="N75" s="1802"/>
      <c r="O75" s="1802"/>
      <c r="P75" s="1802"/>
      <c r="Q75" s="1802"/>
      <c r="R75" s="1802"/>
      <c r="S75" s="1802"/>
      <c r="T75" s="1802"/>
      <c r="U75" s="1802"/>
      <c r="V75" s="1802"/>
      <c r="W75" s="1802"/>
      <c r="X75" s="1802"/>
      <c r="Y75" s="1802"/>
      <c r="Z75" s="1802"/>
      <c r="AA75" s="1802"/>
      <c r="AB75" s="1802"/>
      <c r="AC75" s="1802"/>
      <c r="AD75" s="1802"/>
      <c r="AE75" s="1802"/>
      <c r="AF75" s="1802"/>
      <c r="AG75" s="1802"/>
      <c r="AH75" s="1802"/>
      <c r="AI75" s="1802"/>
      <c r="AJ75" s="1802"/>
      <c r="AK75" s="1802"/>
      <c r="AL75" s="1802"/>
      <c r="AM75" s="1802"/>
      <c r="AN75" s="1802"/>
      <c r="AO75" s="1802"/>
      <c r="AP75" s="1802"/>
      <c r="AQ75" s="1802"/>
      <c r="AR75" s="1802"/>
      <c r="AS75" s="1802"/>
      <c r="AT75" s="1802"/>
      <c r="AU75" s="20"/>
      <c r="AV75" s="20"/>
      <c r="AW75" s="20"/>
      <c r="AX75" s="20"/>
      <c r="AY75" s="20"/>
      <c r="AZ75" s="20"/>
    </row>
    <row r="76" spans="1:52" ht="12.95" customHeight="1">
      <c r="A76" s="1802"/>
      <c r="B76" s="1802"/>
      <c r="C76" s="1802"/>
      <c r="D76" s="1802"/>
      <c r="E76" s="1802"/>
      <c r="F76" s="1802"/>
      <c r="G76" s="1802"/>
      <c r="H76" s="1802"/>
      <c r="I76" s="1802"/>
      <c r="J76" s="1802"/>
      <c r="K76" s="1802"/>
      <c r="L76" s="1802"/>
      <c r="M76" s="1802"/>
      <c r="N76" s="1802"/>
      <c r="O76" s="1802"/>
      <c r="P76" s="1802"/>
      <c r="Q76" s="1802"/>
      <c r="R76" s="1802"/>
      <c r="S76" s="1802"/>
      <c r="T76" s="1802"/>
      <c r="U76" s="1802"/>
      <c r="V76" s="1802"/>
      <c r="W76" s="1802"/>
      <c r="X76" s="1802"/>
      <c r="Y76" s="1802"/>
      <c r="Z76" s="1802"/>
      <c r="AA76" s="1802"/>
      <c r="AB76" s="1802"/>
      <c r="AC76" s="1802"/>
      <c r="AD76" s="1802"/>
      <c r="AE76" s="1802"/>
      <c r="AF76" s="1802"/>
      <c r="AG76" s="1802"/>
      <c r="AH76" s="1802"/>
      <c r="AI76" s="1802"/>
      <c r="AJ76" s="1802"/>
      <c r="AK76" s="1802"/>
      <c r="AL76" s="1802"/>
      <c r="AM76" s="1802"/>
      <c r="AN76" s="1802"/>
      <c r="AO76" s="1802"/>
      <c r="AP76" s="1802"/>
      <c r="AQ76" s="1802"/>
      <c r="AR76" s="1802"/>
      <c r="AS76" s="1802"/>
      <c r="AT76" s="1802"/>
      <c r="AU76" s="20"/>
      <c r="AV76" s="20"/>
      <c r="AW76" s="20"/>
      <c r="AX76" s="20"/>
      <c r="AY76" s="20"/>
      <c r="AZ76" s="17"/>
    </row>
    <row r="77" spans="1:52" ht="12.95" customHeight="1">
      <c r="A77" s="1802"/>
      <c r="B77" s="1802"/>
      <c r="C77" s="1802"/>
      <c r="D77" s="1802"/>
      <c r="E77" s="1802"/>
      <c r="F77" s="1802"/>
      <c r="G77" s="1802"/>
      <c r="H77" s="1802"/>
      <c r="I77" s="1802"/>
      <c r="J77" s="1802"/>
      <c r="K77" s="1802"/>
      <c r="L77" s="1802"/>
      <c r="M77" s="1802"/>
      <c r="N77" s="1802"/>
      <c r="O77" s="1802"/>
      <c r="P77" s="1802"/>
      <c r="Q77" s="1802"/>
      <c r="R77" s="1802"/>
      <c r="S77" s="1802"/>
      <c r="T77" s="1802"/>
      <c r="U77" s="1802"/>
      <c r="V77" s="1802"/>
      <c r="W77" s="1802"/>
      <c r="X77" s="1802"/>
      <c r="Y77" s="1802"/>
      <c r="Z77" s="1802"/>
      <c r="AA77" s="1802"/>
      <c r="AB77" s="1802"/>
      <c r="AC77" s="1802"/>
      <c r="AD77" s="1802"/>
      <c r="AE77" s="1802"/>
      <c r="AF77" s="1802"/>
      <c r="AG77" s="1802"/>
      <c r="AH77" s="1802"/>
      <c r="AI77" s="1802"/>
      <c r="AJ77" s="1802"/>
      <c r="AK77" s="1802"/>
      <c r="AL77" s="1802"/>
      <c r="AM77" s="1802"/>
      <c r="AN77" s="1802"/>
      <c r="AO77" s="1802"/>
      <c r="AP77" s="1802"/>
      <c r="AQ77" s="1802"/>
      <c r="AR77" s="1802"/>
      <c r="AS77" s="1802"/>
      <c r="AT77" s="1802"/>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50" t="s">
        <v>2519</v>
      </c>
      <c r="B79" s="1450"/>
      <c r="C79" s="1450"/>
      <c r="D79" s="1450"/>
      <c r="E79" s="1450"/>
      <c r="F79" s="1450"/>
      <c r="G79" s="1450"/>
      <c r="H79" s="1450"/>
      <c r="I79" s="1450"/>
      <c r="J79" s="1450"/>
      <c r="K79" s="1450"/>
      <c r="L79" s="1450"/>
      <c r="M79" s="1450"/>
      <c r="N79" s="1450"/>
      <c r="O79" s="1450"/>
      <c r="P79" s="1450"/>
      <c r="Q79" s="1450"/>
      <c r="R79" s="1450"/>
      <c r="S79" s="1450"/>
      <c r="T79" s="1450"/>
      <c r="U79" s="1450"/>
      <c r="V79" s="1450"/>
      <c r="W79" s="1450"/>
      <c r="X79" s="1450"/>
      <c r="Y79" s="1450"/>
      <c r="Z79" s="1450"/>
      <c r="AA79" s="1450"/>
      <c r="AB79" s="1450"/>
      <c r="AC79" s="1450"/>
      <c r="AD79" s="1450"/>
      <c r="AE79" s="1450"/>
      <c r="AF79" s="1450"/>
      <c r="AG79" s="1450"/>
      <c r="AH79" s="1450"/>
      <c r="AI79" s="1450"/>
      <c r="AJ79" s="1450"/>
      <c r="AK79" s="1450"/>
      <c r="AL79" s="1450"/>
      <c r="AM79" s="1450"/>
      <c r="AN79" s="1450"/>
      <c r="AO79" s="1450"/>
      <c r="AP79" s="1450"/>
      <c r="AQ79" s="1450"/>
      <c r="AR79" s="1450"/>
      <c r="AS79" s="1450"/>
      <c r="AT79" s="1450"/>
      <c r="AU79" s="20"/>
      <c r="AV79" s="20"/>
      <c r="AW79" s="20"/>
      <c r="AX79" s="20"/>
      <c r="AY79" s="20"/>
      <c r="AZ79" s="20"/>
    </row>
    <row r="80" spans="1:52" ht="12.95" customHeight="1">
      <c r="A80" s="1450"/>
      <c r="B80" s="1450"/>
      <c r="C80" s="1450"/>
      <c r="D80" s="1450"/>
      <c r="E80" s="1450"/>
      <c r="F80" s="1450"/>
      <c r="G80" s="1450"/>
      <c r="H80" s="1450"/>
      <c r="I80" s="1450"/>
      <c r="J80" s="1450"/>
      <c r="K80" s="1450"/>
      <c r="L80" s="1450"/>
      <c r="M80" s="1450"/>
      <c r="N80" s="1450"/>
      <c r="O80" s="1450"/>
      <c r="P80" s="1450"/>
      <c r="Q80" s="1450"/>
      <c r="R80" s="1450"/>
      <c r="S80" s="1450"/>
      <c r="T80" s="1450"/>
      <c r="U80" s="1450"/>
      <c r="V80" s="1450"/>
      <c r="W80" s="1450"/>
      <c r="X80" s="1450"/>
      <c r="Y80" s="1450"/>
      <c r="Z80" s="1450"/>
      <c r="AA80" s="1450"/>
      <c r="AB80" s="1450"/>
      <c r="AC80" s="1450"/>
      <c r="AD80" s="1450"/>
      <c r="AE80" s="1450"/>
      <c r="AF80" s="1450"/>
      <c r="AG80" s="1450"/>
      <c r="AH80" s="1450"/>
      <c r="AI80" s="1450"/>
      <c r="AJ80" s="1450"/>
      <c r="AK80" s="1450"/>
      <c r="AL80" s="1450"/>
      <c r="AM80" s="1450"/>
      <c r="AN80" s="1450"/>
      <c r="AO80" s="1450"/>
      <c r="AP80" s="1450"/>
      <c r="AQ80" s="1450"/>
      <c r="AR80" s="1450"/>
      <c r="AS80" s="1450"/>
      <c r="AT80" s="1450"/>
      <c r="AU80" s="20"/>
      <c r="AV80" s="20"/>
      <c r="AW80" s="20"/>
      <c r="AX80" s="20"/>
      <c r="AY80" s="20"/>
      <c r="AZ80" s="20"/>
    </row>
    <row r="81" spans="1:52" ht="12.95" customHeight="1">
      <c r="A81" s="1450"/>
      <c r="B81" s="1450"/>
      <c r="C81" s="1450"/>
      <c r="D81" s="1450"/>
      <c r="E81" s="1450"/>
      <c r="F81" s="1450"/>
      <c r="G81" s="1450"/>
      <c r="H81" s="1450"/>
      <c r="I81" s="1450"/>
      <c r="J81" s="1450"/>
      <c r="K81" s="1450"/>
      <c r="L81" s="1450"/>
      <c r="M81" s="1450"/>
      <c r="N81" s="1450"/>
      <c r="O81" s="1450"/>
      <c r="P81" s="1450"/>
      <c r="Q81" s="1450"/>
      <c r="R81" s="1450"/>
      <c r="S81" s="1450"/>
      <c r="T81" s="1450"/>
      <c r="U81" s="1450"/>
      <c r="V81" s="1450"/>
      <c r="W81" s="1450"/>
      <c r="X81" s="1450"/>
      <c r="Y81" s="1450"/>
      <c r="Z81" s="1450"/>
      <c r="AA81" s="1450"/>
      <c r="AB81" s="1450"/>
      <c r="AC81" s="1450"/>
      <c r="AD81" s="1450"/>
      <c r="AE81" s="1450"/>
      <c r="AF81" s="1450"/>
      <c r="AG81" s="1450"/>
      <c r="AH81" s="1450"/>
      <c r="AI81" s="1450"/>
      <c r="AJ81" s="1450"/>
      <c r="AK81" s="1450"/>
      <c r="AL81" s="1450"/>
      <c r="AM81" s="1450"/>
      <c r="AN81" s="1450"/>
      <c r="AO81" s="1450"/>
      <c r="AP81" s="1450"/>
      <c r="AQ81" s="1450"/>
      <c r="AR81" s="1450"/>
      <c r="AS81" s="1450"/>
      <c r="AT81" s="1450"/>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70" t="s">
        <v>2520</v>
      </c>
      <c r="B83" s="1270"/>
      <c r="C83" s="1270"/>
      <c r="D83" s="1270"/>
      <c r="E83" s="1270"/>
      <c r="F83" s="1270"/>
      <c r="G83" s="1270"/>
      <c r="H83" s="1270"/>
      <c r="I83" s="1270"/>
      <c r="J83" s="1270"/>
      <c r="K83" s="1270"/>
      <c r="L83" s="1270"/>
      <c r="M83" s="1270"/>
      <c r="N83" s="1270"/>
      <c r="O83" s="1270"/>
      <c r="P83" s="1270"/>
      <c r="Q83" s="1270"/>
      <c r="R83" s="1270"/>
      <c r="S83" s="1270"/>
      <c r="T83" s="1270"/>
      <c r="U83" s="1270"/>
      <c r="V83" s="1270"/>
      <c r="W83" s="1270"/>
      <c r="X83" s="1270"/>
      <c r="Y83" s="1270"/>
      <c r="Z83" s="1270"/>
      <c r="AA83" s="1270"/>
      <c r="AB83" s="1270"/>
      <c r="AC83" s="1270"/>
      <c r="AD83" s="1270"/>
      <c r="AE83" s="1270"/>
      <c r="AF83" s="1270"/>
      <c r="AG83" s="1270"/>
      <c r="AH83" s="1270"/>
      <c r="AI83" s="1270"/>
      <c r="AJ83" s="1270"/>
      <c r="AK83" s="1270"/>
      <c r="AL83" s="1270"/>
      <c r="AM83" s="1270"/>
      <c r="AN83" s="1270"/>
      <c r="AO83" s="1270"/>
      <c r="AP83" s="1270"/>
      <c r="AQ83" s="1270"/>
      <c r="AR83" s="1270"/>
      <c r="AS83" s="1270"/>
      <c r="AT83" s="1270"/>
      <c r="AU83" s="20"/>
      <c r="AV83" s="20"/>
      <c r="AW83" s="20"/>
      <c r="AX83" s="20"/>
      <c r="AY83" s="20"/>
      <c r="AZ83" s="20"/>
    </row>
    <row r="84" spans="1:52" ht="12.95" customHeight="1">
      <c r="A84" s="1270"/>
      <c r="B84" s="1270"/>
      <c r="C84" s="1270"/>
      <c r="D84" s="1270"/>
      <c r="E84" s="1270"/>
      <c r="F84" s="1270"/>
      <c r="G84" s="1270"/>
      <c r="H84" s="1270"/>
      <c r="I84" s="1270"/>
      <c r="J84" s="1270"/>
      <c r="K84" s="1270"/>
      <c r="L84" s="1270"/>
      <c r="M84" s="1270"/>
      <c r="N84" s="1270"/>
      <c r="O84" s="1270"/>
      <c r="P84" s="1270"/>
      <c r="Q84" s="1270"/>
      <c r="R84" s="1270"/>
      <c r="S84" s="1270"/>
      <c r="T84" s="1270"/>
      <c r="U84" s="1270"/>
      <c r="V84" s="1270"/>
      <c r="W84" s="1270"/>
      <c r="X84" s="1270"/>
      <c r="Y84" s="1270"/>
      <c r="Z84" s="1270"/>
      <c r="AA84" s="1270"/>
      <c r="AB84" s="1270"/>
      <c r="AC84" s="1270"/>
      <c r="AD84" s="1270"/>
      <c r="AE84" s="1270"/>
      <c r="AF84" s="1270"/>
      <c r="AG84" s="1270"/>
      <c r="AH84" s="1270"/>
      <c r="AI84" s="1270"/>
      <c r="AJ84" s="1270"/>
      <c r="AK84" s="1270"/>
      <c r="AL84" s="1270"/>
      <c r="AM84" s="1270"/>
      <c r="AN84" s="1270"/>
      <c r="AO84" s="1270"/>
      <c r="AP84" s="1270"/>
      <c r="AQ84" s="1270"/>
      <c r="AR84" s="1270"/>
      <c r="AS84" s="1270"/>
      <c r="AT84" s="1270"/>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70" t="s">
        <v>2521</v>
      </c>
      <c r="B86" s="1270"/>
      <c r="C86" s="1270"/>
      <c r="D86" s="1270"/>
      <c r="E86" s="1270"/>
      <c r="F86" s="1270"/>
      <c r="G86" s="1270"/>
      <c r="H86" s="1270"/>
      <c r="I86" s="1270"/>
      <c r="J86" s="1270"/>
      <c r="K86" s="1270"/>
      <c r="L86" s="1270"/>
      <c r="M86" s="1270"/>
      <c r="N86" s="1270"/>
      <c r="O86" s="1270"/>
      <c r="P86" s="1270"/>
      <c r="Q86" s="1270"/>
      <c r="R86" s="1270"/>
      <c r="S86" s="1270"/>
      <c r="T86" s="1270"/>
      <c r="U86" s="1270"/>
      <c r="V86" s="1270"/>
      <c r="W86" s="1270"/>
      <c r="X86" s="1270"/>
      <c r="Y86" s="1270"/>
      <c r="Z86" s="1270"/>
      <c r="AA86" s="1270"/>
      <c r="AB86" s="1270"/>
      <c r="AC86" s="1270"/>
      <c r="AD86" s="1270"/>
      <c r="AE86" s="1270"/>
      <c r="AF86" s="1270"/>
      <c r="AG86" s="1270"/>
      <c r="AH86" s="1270"/>
      <c r="AI86" s="1270"/>
      <c r="AJ86" s="1270"/>
      <c r="AK86" s="1270"/>
      <c r="AL86" s="1270"/>
      <c r="AM86" s="1270"/>
      <c r="AN86" s="1270"/>
      <c r="AO86" s="1270"/>
      <c r="AP86" s="1270"/>
      <c r="AQ86" s="1270"/>
      <c r="AR86" s="1270"/>
      <c r="AS86" s="1270"/>
      <c r="AT86" s="1270"/>
      <c r="AU86" s="20"/>
      <c r="AV86" s="20"/>
      <c r="AW86" s="20"/>
      <c r="AX86" s="20"/>
      <c r="AY86" s="20"/>
      <c r="AZ86" s="20"/>
    </row>
    <row r="87" spans="1:52" ht="12.95" customHeight="1">
      <c r="A87" s="1270"/>
      <c r="B87" s="1270"/>
      <c r="C87" s="1270"/>
      <c r="D87" s="1270"/>
      <c r="E87" s="1270"/>
      <c r="F87" s="1270"/>
      <c r="G87" s="1270"/>
      <c r="H87" s="1270"/>
      <c r="I87" s="1270"/>
      <c r="J87" s="1270"/>
      <c r="K87" s="1270"/>
      <c r="L87" s="1270"/>
      <c r="M87" s="1270"/>
      <c r="N87" s="1270"/>
      <c r="O87" s="1270"/>
      <c r="P87" s="1270"/>
      <c r="Q87" s="1270"/>
      <c r="R87" s="1270"/>
      <c r="S87" s="1270"/>
      <c r="T87" s="1270"/>
      <c r="U87" s="1270"/>
      <c r="V87" s="1270"/>
      <c r="W87" s="1270"/>
      <c r="X87" s="1270"/>
      <c r="Y87" s="1270"/>
      <c r="Z87" s="1270"/>
      <c r="AA87" s="1270"/>
      <c r="AB87" s="1270"/>
      <c r="AC87" s="1270"/>
      <c r="AD87" s="1270"/>
      <c r="AE87" s="1270"/>
      <c r="AF87" s="1270"/>
      <c r="AG87" s="1270"/>
      <c r="AH87" s="1270"/>
      <c r="AI87" s="1270"/>
      <c r="AJ87" s="1270"/>
      <c r="AK87" s="1270"/>
      <c r="AL87" s="1270"/>
      <c r="AM87" s="1270"/>
      <c r="AN87" s="1270"/>
      <c r="AO87" s="1270"/>
      <c r="AP87" s="1270"/>
      <c r="AQ87" s="1270"/>
      <c r="AR87" s="1270"/>
      <c r="AS87" s="1270"/>
      <c r="AT87" s="1270"/>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1" t="s">
        <v>2522</v>
      </c>
      <c r="B89" s="1801"/>
      <c r="C89" s="1801"/>
      <c r="D89" s="1801"/>
      <c r="E89" s="1801"/>
      <c r="F89" s="1801"/>
      <c r="G89" s="1801"/>
      <c r="H89" s="1801"/>
      <c r="I89" s="1801"/>
      <c r="J89" s="1801"/>
      <c r="K89" s="1801"/>
      <c r="L89" s="1801"/>
      <c r="M89" s="1801"/>
      <c r="N89" s="1801"/>
      <c r="O89" s="1801"/>
      <c r="P89" s="1801"/>
      <c r="Q89" s="1801"/>
      <c r="R89" s="1801"/>
      <c r="S89" s="1801"/>
      <c r="T89" s="1801"/>
      <c r="U89" s="1801"/>
      <c r="V89" s="1801"/>
      <c r="W89" s="1801"/>
      <c r="X89" s="1801"/>
      <c r="Y89" s="1801"/>
      <c r="Z89" s="1801"/>
      <c r="AA89" s="1801"/>
      <c r="AB89" s="1801"/>
      <c r="AC89" s="1801"/>
      <c r="AD89" s="1801"/>
      <c r="AE89" s="1801"/>
      <c r="AF89" s="1801"/>
      <c r="AG89" s="1801"/>
      <c r="AH89" s="1801"/>
      <c r="AI89" s="1801"/>
      <c r="AJ89" s="1801"/>
      <c r="AK89" s="1801"/>
      <c r="AL89" s="1801"/>
      <c r="AM89" s="1801"/>
      <c r="AN89" s="1801"/>
      <c r="AO89" s="1801"/>
      <c r="AP89" s="1801"/>
      <c r="AQ89" s="1801"/>
      <c r="AR89" s="1801"/>
      <c r="AS89" s="1801"/>
      <c r="AT89" s="1801"/>
      <c r="AU89" s="17"/>
      <c r="AV89" s="17"/>
      <c r="AW89" s="17"/>
      <c r="AX89" s="17"/>
      <c r="AY89" s="17"/>
      <c r="AZ89" s="20"/>
    </row>
    <row r="90" spans="1:52" ht="12.95" customHeight="1">
      <c r="A90" s="1801"/>
      <c r="B90" s="1801"/>
      <c r="C90" s="1801"/>
      <c r="D90" s="1801"/>
      <c r="E90" s="1801"/>
      <c r="F90" s="1801"/>
      <c r="G90" s="1801"/>
      <c r="H90" s="1801"/>
      <c r="I90" s="1801"/>
      <c r="J90" s="1801"/>
      <c r="K90" s="1801"/>
      <c r="L90" s="1801"/>
      <c r="M90" s="1801"/>
      <c r="N90" s="1801"/>
      <c r="O90" s="1801"/>
      <c r="P90" s="1801"/>
      <c r="Q90" s="1801"/>
      <c r="R90" s="1801"/>
      <c r="S90" s="1801"/>
      <c r="T90" s="1801"/>
      <c r="U90" s="1801"/>
      <c r="V90" s="1801"/>
      <c r="W90" s="1801"/>
      <c r="X90" s="1801"/>
      <c r="Y90" s="1801"/>
      <c r="Z90" s="1801"/>
      <c r="AA90" s="1801"/>
      <c r="AB90" s="1801"/>
      <c r="AC90" s="1801"/>
      <c r="AD90" s="1801"/>
      <c r="AE90" s="1801"/>
      <c r="AF90" s="1801"/>
      <c r="AG90" s="1801"/>
      <c r="AH90" s="1801"/>
      <c r="AI90" s="1801"/>
      <c r="AJ90" s="1801"/>
      <c r="AK90" s="1801"/>
      <c r="AL90" s="1801"/>
      <c r="AM90" s="1801"/>
      <c r="AN90" s="1801"/>
      <c r="AO90" s="1801"/>
      <c r="AP90" s="1801"/>
      <c r="AQ90" s="1801"/>
      <c r="AR90" s="1801"/>
      <c r="AS90" s="1801"/>
      <c r="AT90" s="1801"/>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2" t="s">
        <v>2523</v>
      </c>
      <c r="B92" s="1802"/>
      <c r="C92" s="1802"/>
      <c r="D92" s="1802"/>
      <c r="E92" s="1802"/>
      <c r="F92" s="1802"/>
      <c r="G92" s="1802"/>
      <c r="H92" s="1802"/>
      <c r="I92" s="1802"/>
      <c r="J92" s="1802"/>
      <c r="K92" s="1802"/>
      <c r="L92" s="1802"/>
      <c r="M92" s="1802"/>
      <c r="N92" s="1802"/>
      <c r="O92" s="1802"/>
      <c r="P92" s="1802"/>
      <c r="Q92" s="1802"/>
      <c r="R92" s="1802"/>
      <c r="S92" s="1802"/>
      <c r="T92" s="1802"/>
      <c r="U92" s="1802"/>
      <c r="V92" s="1802"/>
      <c r="W92" s="1802"/>
      <c r="X92" s="1802"/>
      <c r="Y92" s="1802"/>
      <c r="Z92" s="1802"/>
      <c r="AA92" s="1802"/>
      <c r="AB92" s="1802"/>
      <c r="AC92" s="1802"/>
      <c r="AD92" s="1802"/>
      <c r="AE92" s="1802"/>
      <c r="AF92" s="1802"/>
      <c r="AG92" s="1802"/>
      <c r="AH92" s="1802"/>
      <c r="AI92" s="1802"/>
      <c r="AJ92" s="1802"/>
      <c r="AK92" s="1802"/>
      <c r="AL92" s="1802"/>
      <c r="AM92" s="1802"/>
      <c r="AN92" s="1802"/>
      <c r="AO92" s="1802"/>
      <c r="AP92" s="1802"/>
      <c r="AQ92" s="1802"/>
      <c r="AR92" s="1802"/>
      <c r="AS92" s="1802"/>
      <c r="AT92" s="1802"/>
      <c r="AU92" s="20"/>
      <c r="AV92" s="20"/>
      <c r="AW92" s="20"/>
      <c r="AX92" s="20"/>
      <c r="AY92" s="20"/>
      <c r="AZ92" s="20"/>
    </row>
    <row r="93" spans="1:52" ht="12.95" customHeight="1">
      <c r="A93" s="1802"/>
      <c r="B93" s="1802"/>
      <c r="C93" s="1802"/>
      <c r="D93" s="1802"/>
      <c r="E93" s="1802"/>
      <c r="F93" s="1802"/>
      <c r="G93" s="1802"/>
      <c r="H93" s="1802"/>
      <c r="I93" s="1802"/>
      <c r="J93" s="1802"/>
      <c r="K93" s="1802"/>
      <c r="L93" s="1802"/>
      <c r="M93" s="1802"/>
      <c r="N93" s="1802"/>
      <c r="O93" s="1802"/>
      <c r="P93" s="1802"/>
      <c r="Q93" s="1802"/>
      <c r="R93" s="1802"/>
      <c r="S93" s="1802"/>
      <c r="T93" s="1802"/>
      <c r="U93" s="1802"/>
      <c r="V93" s="1802"/>
      <c r="W93" s="1802"/>
      <c r="X93" s="1802"/>
      <c r="Y93" s="1802"/>
      <c r="Z93" s="1802"/>
      <c r="AA93" s="1802"/>
      <c r="AB93" s="1802"/>
      <c r="AC93" s="1802"/>
      <c r="AD93" s="1802"/>
      <c r="AE93" s="1802"/>
      <c r="AF93" s="1802"/>
      <c r="AG93" s="1802"/>
      <c r="AH93" s="1802"/>
      <c r="AI93" s="1802"/>
      <c r="AJ93" s="1802"/>
      <c r="AK93" s="1802"/>
      <c r="AL93" s="1802"/>
      <c r="AM93" s="1802"/>
      <c r="AN93" s="1802"/>
      <c r="AO93" s="1802"/>
      <c r="AP93" s="1802"/>
      <c r="AQ93" s="1802"/>
      <c r="AR93" s="1802"/>
      <c r="AS93" s="1802"/>
      <c r="AT93" s="1802"/>
      <c r="AU93" s="20"/>
      <c r="AV93" s="20"/>
      <c r="AW93" s="20"/>
      <c r="AX93" s="20"/>
      <c r="AY93" s="20"/>
      <c r="AZ93" s="20"/>
    </row>
    <row r="94" spans="1:52" ht="12.95" customHeight="1">
      <c r="A94" s="1802"/>
      <c r="B94" s="1802"/>
      <c r="C94" s="1802"/>
      <c r="D94" s="1802"/>
      <c r="E94" s="1802"/>
      <c r="F94" s="1802"/>
      <c r="G94" s="1802"/>
      <c r="H94" s="1802"/>
      <c r="I94" s="1802"/>
      <c r="J94" s="1802"/>
      <c r="K94" s="1802"/>
      <c r="L94" s="1802"/>
      <c r="M94" s="1802"/>
      <c r="N94" s="1802"/>
      <c r="O94" s="1802"/>
      <c r="P94" s="1802"/>
      <c r="Q94" s="1802"/>
      <c r="R94" s="1802"/>
      <c r="S94" s="1802"/>
      <c r="T94" s="1802"/>
      <c r="U94" s="1802"/>
      <c r="V94" s="1802"/>
      <c r="W94" s="1802"/>
      <c r="X94" s="1802"/>
      <c r="Y94" s="1802"/>
      <c r="Z94" s="1802"/>
      <c r="AA94" s="1802"/>
      <c r="AB94" s="1802"/>
      <c r="AC94" s="1802"/>
      <c r="AD94" s="1802"/>
      <c r="AE94" s="1802"/>
      <c r="AF94" s="1802"/>
      <c r="AG94" s="1802"/>
      <c r="AH94" s="1802"/>
      <c r="AI94" s="1802"/>
      <c r="AJ94" s="1802"/>
      <c r="AK94" s="1802"/>
      <c r="AL94" s="1802"/>
      <c r="AM94" s="1802"/>
      <c r="AN94" s="1802"/>
      <c r="AO94" s="1802"/>
      <c r="AP94" s="1802"/>
      <c r="AQ94" s="1802"/>
      <c r="AR94" s="1802"/>
      <c r="AS94" s="1802"/>
      <c r="AT94" s="1802"/>
      <c r="AU94" s="20"/>
      <c r="AV94" s="20"/>
      <c r="AW94" s="20"/>
      <c r="AX94" s="20"/>
      <c r="AY94" s="20"/>
      <c r="AZ94" s="20"/>
    </row>
    <row r="95" spans="1:52" ht="12.95" customHeight="1">
      <c r="A95" s="1802"/>
      <c r="B95" s="1802"/>
      <c r="C95" s="1802"/>
      <c r="D95" s="1802"/>
      <c r="E95" s="1802"/>
      <c r="F95" s="1802"/>
      <c r="G95" s="1802"/>
      <c r="H95" s="1802"/>
      <c r="I95" s="1802"/>
      <c r="J95" s="1802"/>
      <c r="K95" s="1802"/>
      <c r="L95" s="1802"/>
      <c r="M95" s="1802"/>
      <c r="N95" s="1802"/>
      <c r="O95" s="1802"/>
      <c r="P95" s="1802"/>
      <c r="Q95" s="1802"/>
      <c r="R95" s="1802"/>
      <c r="S95" s="1802"/>
      <c r="T95" s="1802"/>
      <c r="U95" s="1802"/>
      <c r="V95" s="1802"/>
      <c r="W95" s="1802"/>
      <c r="X95" s="1802"/>
      <c r="Y95" s="1802"/>
      <c r="Z95" s="1802"/>
      <c r="AA95" s="1802"/>
      <c r="AB95" s="1802"/>
      <c r="AC95" s="1802"/>
      <c r="AD95" s="1802"/>
      <c r="AE95" s="1802"/>
      <c r="AF95" s="1802"/>
      <c r="AG95" s="1802"/>
      <c r="AH95" s="1802"/>
      <c r="AI95" s="1802"/>
      <c r="AJ95" s="1802"/>
      <c r="AK95" s="1802"/>
      <c r="AL95" s="1802"/>
      <c r="AM95" s="1802"/>
      <c r="AN95" s="1802"/>
      <c r="AO95" s="1802"/>
      <c r="AP95" s="1802"/>
      <c r="AQ95" s="1802"/>
      <c r="AR95" s="1802"/>
      <c r="AS95" s="1802"/>
      <c r="AT95" s="1802"/>
      <c r="AU95" s="20"/>
      <c r="AV95" s="20"/>
      <c r="AW95" s="20"/>
      <c r="AX95" s="20"/>
      <c r="AY95" s="20"/>
      <c r="AZ95" s="20"/>
    </row>
    <row r="96" spans="1:52" ht="12.95" customHeight="1">
      <c r="A96" s="1802"/>
      <c r="B96" s="1802"/>
      <c r="C96" s="1802"/>
      <c r="D96" s="1802"/>
      <c r="E96" s="1802"/>
      <c r="F96" s="1802"/>
      <c r="G96" s="1802"/>
      <c r="H96" s="1802"/>
      <c r="I96" s="1802"/>
      <c r="J96" s="1802"/>
      <c r="K96" s="1802"/>
      <c r="L96" s="1802"/>
      <c r="M96" s="1802"/>
      <c r="N96" s="1802"/>
      <c r="O96" s="1802"/>
      <c r="P96" s="1802"/>
      <c r="Q96" s="1802"/>
      <c r="R96" s="1802"/>
      <c r="S96" s="1802"/>
      <c r="T96" s="1802"/>
      <c r="U96" s="1802"/>
      <c r="V96" s="1802"/>
      <c r="W96" s="1802"/>
      <c r="X96" s="1802"/>
      <c r="Y96" s="1802"/>
      <c r="Z96" s="1802"/>
      <c r="AA96" s="1802"/>
      <c r="AB96" s="1802"/>
      <c r="AC96" s="1802"/>
      <c r="AD96" s="1802"/>
      <c r="AE96" s="1802"/>
      <c r="AF96" s="1802"/>
      <c r="AG96" s="1802"/>
      <c r="AH96" s="1802"/>
      <c r="AI96" s="1802"/>
      <c r="AJ96" s="1802"/>
      <c r="AK96" s="1802"/>
      <c r="AL96" s="1802"/>
      <c r="AM96" s="1802"/>
      <c r="AN96" s="1802"/>
      <c r="AO96" s="1802"/>
      <c r="AP96" s="1802"/>
      <c r="AQ96" s="1802"/>
      <c r="AR96" s="1802"/>
      <c r="AS96" s="1802"/>
      <c r="AT96" s="1802"/>
      <c r="AU96" s="20"/>
      <c r="AV96" s="20"/>
      <c r="AW96" s="20"/>
      <c r="AX96" s="20"/>
      <c r="AY96" s="20"/>
      <c r="AZ96" s="20"/>
    </row>
    <row r="97" spans="1:52" ht="12.95" customHeight="1">
      <c r="A97" s="1802"/>
      <c r="B97" s="1802"/>
      <c r="C97" s="1802"/>
      <c r="D97" s="1802"/>
      <c r="E97" s="1802"/>
      <c r="F97" s="1802"/>
      <c r="G97" s="1802"/>
      <c r="H97" s="1802"/>
      <c r="I97" s="1802"/>
      <c r="J97" s="1802"/>
      <c r="K97" s="1802"/>
      <c r="L97" s="1802"/>
      <c r="M97" s="1802"/>
      <c r="N97" s="1802"/>
      <c r="O97" s="1802"/>
      <c r="P97" s="1802"/>
      <c r="Q97" s="1802"/>
      <c r="R97" s="1802"/>
      <c r="S97" s="1802"/>
      <c r="T97" s="1802"/>
      <c r="U97" s="1802"/>
      <c r="V97" s="1802"/>
      <c r="W97" s="1802"/>
      <c r="X97" s="1802"/>
      <c r="Y97" s="1802"/>
      <c r="Z97" s="1802"/>
      <c r="AA97" s="1802"/>
      <c r="AB97" s="1802"/>
      <c r="AC97" s="1802"/>
      <c r="AD97" s="1802"/>
      <c r="AE97" s="1802"/>
      <c r="AF97" s="1802"/>
      <c r="AG97" s="1802"/>
      <c r="AH97" s="1802"/>
      <c r="AI97" s="1802"/>
      <c r="AJ97" s="1802"/>
      <c r="AK97" s="1802"/>
      <c r="AL97" s="1802"/>
      <c r="AM97" s="1802"/>
      <c r="AN97" s="1802"/>
      <c r="AO97" s="1802"/>
      <c r="AP97" s="1802"/>
      <c r="AQ97" s="1802"/>
      <c r="AR97" s="1802"/>
      <c r="AS97" s="1802"/>
      <c r="AT97" s="1802"/>
      <c r="AU97" s="20"/>
      <c r="AV97" s="20"/>
      <c r="AW97" s="20"/>
      <c r="AX97" s="20"/>
      <c r="AY97" s="20"/>
      <c r="AZ97" s="20"/>
    </row>
    <row r="98" spans="1:52" ht="12.95" customHeight="1">
      <c r="A98" s="1802"/>
      <c r="B98" s="1802"/>
      <c r="C98" s="1802"/>
      <c r="D98" s="1802"/>
      <c r="E98" s="1802"/>
      <c r="F98" s="1802"/>
      <c r="G98" s="1802"/>
      <c r="H98" s="1802"/>
      <c r="I98" s="1802"/>
      <c r="J98" s="1802"/>
      <c r="K98" s="1802"/>
      <c r="L98" s="1802"/>
      <c r="M98" s="1802"/>
      <c r="N98" s="1802"/>
      <c r="O98" s="1802"/>
      <c r="P98" s="1802"/>
      <c r="Q98" s="1802"/>
      <c r="R98" s="1802"/>
      <c r="S98" s="1802"/>
      <c r="T98" s="1802"/>
      <c r="U98" s="1802"/>
      <c r="V98" s="1802"/>
      <c r="W98" s="1802"/>
      <c r="X98" s="1802"/>
      <c r="Y98" s="1802"/>
      <c r="Z98" s="1802"/>
      <c r="AA98" s="1802"/>
      <c r="AB98" s="1802"/>
      <c r="AC98" s="1802"/>
      <c r="AD98" s="1802"/>
      <c r="AE98" s="1802"/>
      <c r="AF98" s="1802"/>
      <c r="AG98" s="1802"/>
      <c r="AH98" s="1802"/>
      <c r="AI98" s="1802"/>
      <c r="AJ98" s="1802"/>
      <c r="AK98" s="1802"/>
      <c r="AL98" s="1802"/>
      <c r="AM98" s="1802"/>
      <c r="AN98" s="1802"/>
      <c r="AO98" s="1802"/>
      <c r="AP98" s="1802"/>
      <c r="AQ98" s="1802"/>
      <c r="AR98" s="1802"/>
      <c r="AS98" s="1802"/>
      <c r="AT98" s="1802"/>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1" t="s">
        <v>2524</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2.95"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2.95"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2.95"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1" t="s">
        <v>2525</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2.95"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92"/>
      <c r="H113" s="1792"/>
      <c r="I113" s="3" t="s">
        <v>182</v>
      </c>
      <c r="L113" s="1792"/>
      <c r="M113" s="1792"/>
      <c r="N113" s="1792"/>
      <c r="O113" s="1792"/>
      <c r="P113" s="1788" t="s">
        <v>2527</v>
      </c>
      <c r="Q113" s="1788"/>
      <c r="R113" s="1788"/>
      <c r="S113" s="1788"/>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6"/>
      <c r="D115" s="1806"/>
      <c r="E115" s="1806"/>
      <c r="F115" s="1806"/>
      <c r="G115" s="1806"/>
      <c r="H115" s="1806"/>
      <c r="I115" s="1806"/>
      <c r="J115" s="1806"/>
      <c r="K115" s="1806"/>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792"/>
      <c r="Z117" s="1792"/>
      <c r="AA117" s="1792"/>
      <c r="AB117" s="1792"/>
      <c r="AC117" s="1792"/>
      <c r="AD117" s="1792"/>
      <c r="AE117" s="1792"/>
      <c r="AF117" s="1792"/>
      <c r="AG117" s="1792"/>
      <c r="AH117" s="1792"/>
      <c r="AI117" s="1792"/>
      <c r="AJ117" s="1792"/>
      <c r="AK117" s="1792"/>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92"/>
      <c r="Z120" s="1792"/>
      <c r="AA120" s="1792"/>
      <c r="AB120" s="1792"/>
      <c r="AC120" s="1792"/>
      <c r="AD120" s="1792"/>
      <c r="AE120" s="1792"/>
      <c r="AF120" s="1792"/>
      <c r="AG120" s="1792"/>
      <c r="AH120" s="1792"/>
      <c r="AI120" s="1792"/>
      <c r="AJ120" s="1792"/>
      <c r="AK120" s="1792"/>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92"/>
      <c r="Z123" s="1792"/>
      <c r="AA123" s="1792"/>
      <c r="AB123" s="1792"/>
      <c r="AC123" s="1792"/>
      <c r="AD123" s="1792"/>
      <c r="AE123" s="1792"/>
      <c r="AF123" s="1792"/>
      <c r="AG123" s="1792"/>
      <c r="AH123" s="1792"/>
      <c r="AI123" s="1792"/>
      <c r="AJ123" s="1792"/>
      <c r="AK123" s="1792"/>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5"/>
      <c r="G150" s="1305"/>
      <c r="H150" s="1305"/>
      <c r="I150" s="1305"/>
      <c r="J150" s="1305"/>
      <c r="K150" s="1305"/>
      <c r="L150" s="1305"/>
      <c r="M150" s="1305"/>
      <c r="N150" s="1305"/>
      <c r="O150" s="1305"/>
      <c r="P150" s="1305"/>
      <c r="Q150" s="1305"/>
      <c r="R150" s="1305"/>
      <c r="S150" s="1305"/>
      <c r="T150" s="13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451" t="s">
        <v>2645</v>
      </c>
      <c r="P153" s="1452"/>
      <c r="Q153" s="1452"/>
      <c r="R153" s="1452"/>
      <c r="S153" s="1452"/>
      <c r="T153" s="1452"/>
      <c r="U153" s="1452"/>
      <c r="V153" s="1452"/>
      <c r="W153" s="1452"/>
      <c r="X153" s="1452"/>
      <c r="Y153" s="1452"/>
      <c r="Z153" s="1452"/>
      <c r="AA153" s="1452"/>
      <c r="AB153" s="1452"/>
      <c r="AC153" s="1452"/>
      <c r="AD153" s="1452"/>
      <c r="AE153" s="1452"/>
      <c r="AF153" s="1452"/>
      <c r="AG153" s="1452"/>
      <c r="AH153" s="1452"/>
    </row>
    <row r="154" spans="1:72" ht="12.95" customHeight="1">
      <c r="D154" s="325" t="s">
        <v>442</v>
      </c>
      <c r="O154" s="1591" t="s">
        <v>2646</v>
      </c>
      <c r="P154" s="1472"/>
      <c r="Q154" s="1472"/>
      <c r="R154" s="1472"/>
      <c r="S154" s="1472"/>
      <c r="T154" s="1472"/>
      <c r="U154" s="1472"/>
      <c r="V154" s="1472"/>
      <c r="W154" s="1472"/>
      <c r="X154" s="1472"/>
      <c r="Y154" s="1472"/>
      <c r="Z154" s="1472"/>
      <c r="AA154" s="1472"/>
      <c r="AB154" s="1472"/>
      <c r="AC154" s="1472"/>
      <c r="AD154" s="1472"/>
      <c r="AE154" s="1472"/>
      <c r="AF154" s="1472"/>
      <c r="AG154" s="1472"/>
      <c r="AH154" s="1472"/>
    </row>
    <row r="155" spans="1:72" ht="12.95" customHeight="1">
      <c r="D155" s="8" t="s">
        <v>443</v>
      </c>
      <c r="F155" s="8"/>
      <c r="G155" s="8"/>
      <c r="H155" s="8"/>
      <c r="I155" s="8"/>
      <c r="J155" s="8"/>
      <c r="K155" s="8"/>
      <c r="L155" s="8"/>
      <c r="M155" s="8"/>
      <c r="N155" s="8"/>
      <c r="O155" s="1809" t="s">
        <v>2647</v>
      </c>
      <c r="P155" s="1809"/>
      <c r="Q155" s="1809"/>
      <c r="R155" s="1809"/>
      <c r="S155" s="1809"/>
      <c r="T155" s="1809"/>
      <c r="U155" s="1809"/>
      <c r="V155" s="1809"/>
      <c r="W155" s="1809"/>
      <c r="X155" s="1809"/>
      <c r="Y155" s="1809"/>
      <c r="Z155" s="1809"/>
      <c r="AA155" s="1809"/>
      <c r="AB155" s="1809"/>
      <c r="AC155" s="1809"/>
      <c r="AD155" s="1809"/>
      <c r="AE155" s="1809"/>
      <c r="AF155" s="1809"/>
      <c r="AG155" s="1809"/>
      <c r="AH155" s="1809"/>
    </row>
    <row r="156" spans="1:72" ht="12.95" customHeight="1">
      <c r="D156" t="s">
        <v>314</v>
      </c>
      <c r="O156" s="1384" t="s">
        <v>2648</v>
      </c>
      <c r="P156" s="1384"/>
      <c r="Q156" s="1384"/>
      <c r="R156" s="1384"/>
      <c r="S156" s="1384"/>
      <c r="T156" s="1384"/>
      <c r="U156" s="1384"/>
      <c r="V156" s="1384"/>
      <c r="W156" s="1384"/>
      <c r="X156" s="1384"/>
      <c r="Y156" s="1384"/>
      <c r="Z156" s="1384"/>
      <c r="AA156" s="1384"/>
      <c r="AB156" s="1384"/>
      <c r="AC156" s="1384"/>
      <c r="AD156" s="1384"/>
      <c r="AE156" s="1384"/>
      <c r="AF156" s="1384"/>
      <c r="AG156" s="1384"/>
      <c r="AH156" s="1384"/>
      <c r="BT156" t="s">
        <v>308</v>
      </c>
    </row>
    <row r="157" spans="1:72" ht="12.95" customHeight="1">
      <c r="D157" t="s">
        <v>315</v>
      </c>
      <c r="O157" s="1451" t="s">
        <v>67</v>
      </c>
      <c r="P157" s="1451"/>
      <c r="Q157" s="1451"/>
      <c r="R157" s="1451"/>
      <c r="S157" s="1451"/>
      <c r="T157" s="1451"/>
      <c r="U157" s="1451"/>
      <c r="V157" s="1451"/>
      <c r="W157" s="1451"/>
      <c r="X157" s="1451"/>
      <c r="Y157" s="8"/>
      <c r="Z157" s="8"/>
      <c r="AA157" s="8"/>
      <c r="AB157" s="8"/>
      <c r="AC157" s="8"/>
      <c r="AD157" s="8"/>
      <c r="AE157" s="8"/>
      <c r="AF157" s="8"/>
      <c r="BN157" s="23" t="s">
        <v>644</v>
      </c>
      <c r="BT157" t="s">
        <v>484</v>
      </c>
    </row>
    <row r="158" spans="1:72" ht="12.95" customHeight="1">
      <c r="D158" t="s">
        <v>316</v>
      </c>
      <c r="O158" s="1785">
        <v>92522</v>
      </c>
      <c r="P158" s="1785"/>
      <c r="Q158" s="1785"/>
      <c r="R158" s="1785"/>
      <c r="S158" s="9"/>
      <c r="T158" s="9"/>
      <c r="U158" s="9"/>
      <c r="V158" s="9"/>
      <c r="W158" s="9"/>
      <c r="X158" s="9"/>
      <c r="Y158" s="9"/>
      <c r="Z158" s="9"/>
      <c r="AA158" s="9"/>
      <c r="AB158" s="9"/>
      <c r="AC158" s="9"/>
      <c r="AD158" s="9"/>
      <c r="AE158" s="9"/>
      <c r="AF158" s="9"/>
      <c r="BN158" s="23" t="s">
        <v>645</v>
      </c>
      <c r="BT158" t="s">
        <v>485</v>
      </c>
    </row>
    <row r="159" spans="1:72" ht="12.95" customHeight="1">
      <c r="D159" t="s">
        <v>317</v>
      </c>
      <c r="O159" s="1799" t="s">
        <v>2649</v>
      </c>
      <c r="P159" s="1799"/>
      <c r="Q159" s="1799"/>
      <c r="R159" s="1799"/>
      <c r="S159" s="1799"/>
      <c r="T159" s="1799"/>
      <c r="V159" s="97" t="s">
        <v>272</v>
      </c>
      <c r="W159" s="1786"/>
      <c r="X159" s="1786"/>
      <c r="Y159" s="10"/>
      <c r="Z159" s="10"/>
      <c r="AA159" s="10"/>
      <c r="AB159" s="10"/>
      <c r="AC159" s="10"/>
      <c r="AD159" s="10"/>
      <c r="AE159" s="10"/>
      <c r="AF159" s="10"/>
      <c r="BN159" s="23" t="s">
        <v>340</v>
      </c>
      <c r="BT159" t="s">
        <v>486</v>
      </c>
    </row>
    <row r="160" spans="1:72" ht="12.95" customHeight="1">
      <c r="D160" t="s">
        <v>318</v>
      </c>
      <c r="O160" s="1799" t="s">
        <v>2650</v>
      </c>
      <c r="P160" s="1799"/>
      <c r="Q160" s="1799"/>
      <c r="R160" s="1799"/>
      <c r="S160" s="1799"/>
      <c r="T160" s="1799"/>
      <c r="U160" s="10"/>
      <c r="V160" s="10"/>
      <c r="W160" s="10"/>
      <c r="X160" s="10"/>
      <c r="Y160" s="10"/>
      <c r="Z160" s="10"/>
      <c r="AA160" s="10"/>
      <c r="AB160" s="10"/>
      <c r="AC160" s="10"/>
      <c r="AD160" s="10"/>
      <c r="AE160" s="10"/>
      <c r="AF160" s="10"/>
      <c r="BN160" s="23" t="s">
        <v>668</v>
      </c>
      <c r="BT160" t="s">
        <v>487</v>
      </c>
    </row>
    <row r="161" spans="1:72" ht="12.95" customHeight="1">
      <c r="D161" t="s">
        <v>319</v>
      </c>
      <c r="O161" s="1778" t="s">
        <v>2651</v>
      </c>
      <c r="P161" s="1778"/>
      <c r="Q161" s="1778"/>
      <c r="R161" s="1778"/>
      <c r="S161" s="1778"/>
      <c r="T161" s="1778"/>
      <c r="U161" s="1778"/>
      <c r="V161" s="1778"/>
      <c r="W161" s="1778"/>
      <c r="X161" s="1778"/>
      <c r="Y161" s="1778"/>
      <c r="Z161" s="1778"/>
      <c r="AA161" s="1778"/>
      <c r="AB161" s="1778"/>
      <c r="AC161" s="1778"/>
      <c r="AD161" s="1778"/>
      <c r="AE161" s="1778"/>
      <c r="AF161" s="1778"/>
      <c r="AG161" s="1778"/>
      <c r="AH161" s="1778"/>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807" t="s">
        <v>2622</v>
      </c>
      <c r="E164" s="1807"/>
      <c r="F164" s="1807"/>
      <c r="G164" s="1807"/>
      <c r="H164" s="1807"/>
      <c r="I164" s="1807"/>
      <c r="J164" s="1807"/>
      <c r="K164" s="1807"/>
      <c r="L164" s="1807"/>
      <c r="M164" s="1807"/>
      <c r="N164" s="1807"/>
      <c r="O164" s="1807"/>
      <c r="P164" s="1807"/>
      <c r="Q164" s="1807"/>
      <c r="R164" s="1807"/>
      <c r="S164" s="1807"/>
      <c r="T164" s="1807"/>
      <c r="U164" s="1807"/>
      <c r="V164" s="1807"/>
      <c r="W164" s="1807"/>
      <c r="X164" s="1807"/>
      <c r="Y164" s="1807"/>
      <c r="Z164" s="1807"/>
      <c r="AA164" s="1807"/>
      <c r="AB164" s="1807"/>
      <c r="AC164" s="1807"/>
      <c r="AD164" s="1807"/>
      <c r="AE164" s="1807"/>
      <c r="AF164" s="1807"/>
      <c r="AG164" s="1807"/>
      <c r="AH164" s="1807"/>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456" t="s">
        <v>547</v>
      </c>
      <c r="B169" s="1456"/>
      <c r="C169" s="1456"/>
      <c r="D169" s="1456"/>
      <c r="E169" s="1456"/>
      <c r="F169" s="1456"/>
      <c r="G169" s="1456"/>
      <c r="H169" s="1456"/>
      <c r="I169" s="1456"/>
      <c r="J169" s="1456"/>
      <c r="K169" s="1456"/>
      <c r="L169" s="1456"/>
      <c r="M169" s="1456"/>
      <c r="N169" s="1456"/>
      <c r="O169" s="1456"/>
      <c r="P169" s="1456"/>
      <c r="Q169" s="1456"/>
      <c r="R169" s="1456"/>
      <c r="S169" s="1456"/>
      <c r="T169" s="1456"/>
      <c r="U169" s="1456"/>
      <c r="V169" s="1456"/>
      <c r="W169" s="1456"/>
      <c r="X169" s="1456"/>
      <c r="Y169" s="1456"/>
      <c r="Z169" s="1456"/>
      <c r="AA169" s="1456"/>
      <c r="AB169" s="1456"/>
      <c r="AC169" s="1456"/>
      <c r="AD169" s="1456"/>
      <c r="AE169" s="1456"/>
      <c r="AF169" s="1456"/>
      <c r="AG169" s="1456"/>
      <c r="AH169" s="1456"/>
      <c r="AI169" s="1456"/>
      <c r="AJ169" s="1456"/>
      <c r="AK169" s="1456"/>
      <c r="AL169" s="1456"/>
      <c r="AM169" s="1456"/>
      <c r="AN169" s="1456"/>
      <c r="AO169" s="1456"/>
      <c r="AP169" s="1456"/>
      <c r="AQ169" s="1456"/>
      <c r="AR169" s="1456"/>
      <c r="AS169" s="1456"/>
      <c r="AT169" s="1456"/>
      <c r="AU169" s="95"/>
      <c r="AV169" s="95"/>
      <c r="AW169" s="95"/>
      <c r="AX169" s="95"/>
      <c r="AY169" s="95"/>
      <c r="BN169" s="23" t="s">
        <v>681</v>
      </c>
      <c r="BT169" t="s">
        <v>496</v>
      </c>
    </row>
    <row r="170" spans="1:72" ht="12.95" customHeight="1">
      <c r="A170" s="1456"/>
      <c r="B170" s="1456"/>
      <c r="C170" s="1456"/>
      <c r="D170" s="1456"/>
      <c r="E170" s="1456"/>
      <c r="F170" s="1456"/>
      <c r="G170" s="1456"/>
      <c r="H170" s="1456"/>
      <c r="I170" s="1456"/>
      <c r="J170" s="1456"/>
      <c r="K170" s="1456"/>
      <c r="L170" s="1456"/>
      <c r="M170" s="1456"/>
      <c r="N170" s="1456"/>
      <c r="O170" s="1456"/>
      <c r="P170" s="1456"/>
      <c r="Q170" s="1456"/>
      <c r="R170" s="1456"/>
      <c r="S170" s="1456"/>
      <c r="T170" s="1456"/>
      <c r="U170" s="1456"/>
      <c r="V170" s="1456"/>
      <c r="W170" s="1456"/>
      <c r="X170" s="1456"/>
      <c r="Y170" s="1456"/>
      <c r="Z170" s="1456"/>
      <c r="AA170" s="1456"/>
      <c r="AB170" s="1456"/>
      <c r="AC170" s="1456"/>
      <c r="AD170" s="1456"/>
      <c r="AE170" s="1456"/>
      <c r="AF170" s="1456"/>
      <c r="AG170" s="1456"/>
      <c r="AH170" s="1456"/>
      <c r="AI170" s="1456"/>
      <c r="AJ170" s="1456"/>
      <c r="AK170" s="1456"/>
      <c r="AL170" s="1456"/>
      <c r="AM170" s="1456"/>
      <c r="AN170" s="1456"/>
      <c r="AO170" s="1456"/>
      <c r="AP170" s="1456"/>
      <c r="AQ170" s="1456"/>
      <c r="AR170" s="1456"/>
      <c r="AS170" s="1456"/>
      <c r="AT170" s="1456"/>
      <c r="AU170" s="95"/>
      <c r="AV170" s="95"/>
      <c r="AW170" s="95"/>
      <c r="AX170" s="95"/>
      <c r="AY170" s="95"/>
      <c r="BN170" s="23" t="s">
        <v>682</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84" t="s">
        <v>372</v>
      </c>
      <c r="K173" s="1784"/>
      <c r="L173" s="1784"/>
      <c r="M173" s="1784"/>
      <c r="N173" s="1784"/>
      <c r="O173" s="1784"/>
      <c r="P173" s="1784"/>
      <c r="Q173" s="1784"/>
      <c r="R173" s="1784"/>
      <c r="S173" s="1784"/>
      <c r="U173" s="25"/>
      <c r="X173" s="25"/>
      <c r="BB173" s="3" t="s">
        <v>308</v>
      </c>
      <c r="BN173" s="23" t="s">
        <v>215</v>
      </c>
      <c r="BT173" t="s">
        <v>500</v>
      </c>
    </row>
    <row r="174" spans="1:72" ht="12.95" customHeight="1">
      <c r="C174" s="24"/>
      <c r="D174" s="3" t="s">
        <v>1308</v>
      </c>
      <c r="J174" s="1384" t="s">
        <v>2419</v>
      </c>
      <c r="K174" s="1384"/>
      <c r="L174" s="1384"/>
      <c r="M174" s="1384"/>
      <c r="N174" s="1384"/>
      <c r="O174" s="1384"/>
      <c r="P174" s="1384"/>
      <c r="Q174" s="1384"/>
      <c r="R174" s="1384"/>
      <c r="S174" s="1384"/>
      <c r="T174" s="1384"/>
      <c r="U174" s="1384"/>
      <c r="V174" s="1384"/>
      <c r="W174" s="1384"/>
      <c r="X174" s="1384"/>
      <c r="Y174" s="1384"/>
      <c r="Z174" s="1384"/>
      <c r="AA174" s="1384"/>
      <c r="AB174" s="1384"/>
      <c r="BB174" t="s">
        <v>2272</v>
      </c>
      <c r="BN174" s="23" t="s">
        <v>217</v>
      </c>
      <c r="BT174" t="s">
        <v>501</v>
      </c>
    </row>
    <row r="175" spans="1:72" ht="12.95" customHeight="1">
      <c r="C175" s="8"/>
      <c r="D175" s="3" t="s">
        <v>323</v>
      </c>
      <c r="O175" s="27"/>
      <c r="U175" s="1383" t="s">
        <v>553</v>
      </c>
      <c r="V175" s="1383"/>
      <c r="BB175" t="s">
        <v>2236</v>
      </c>
      <c r="BN175" s="23" t="s">
        <v>218</v>
      </c>
      <c r="BT175" t="s">
        <v>502</v>
      </c>
    </row>
    <row r="176" spans="1:72" ht="12.95" customHeight="1">
      <c r="C176" s="8"/>
      <c r="D176" s="26"/>
      <c r="E176" t="s">
        <v>305</v>
      </c>
      <c r="O176" s="27"/>
      <c r="P176" t="s">
        <v>2394</v>
      </c>
      <c r="T176" s="27" t="s">
        <v>306</v>
      </c>
      <c r="U176" s="1460"/>
      <c r="V176" s="1460"/>
      <c r="W176" s="1" t="s">
        <v>307</v>
      </c>
      <c r="X176" s="1803"/>
      <c r="Y176" s="1803"/>
      <c r="BB176" t="s">
        <v>2273</v>
      </c>
      <c r="BN176" s="23" t="s">
        <v>220</v>
      </c>
      <c r="BT176" t="s">
        <v>503</v>
      </c>
    </row>
    <row r="177" spans="1:72" ht="12.95" customHeight="1">
      <c r="C177" s="24"/>
      <c r="D177" t="s">
        <v>250</v>
      </c>
      <c r="R177" s="1383" t="s">
        <v>677</v>
      </c>
      <c r="S177" s="1383"/>
      <c r="BB177" t="s">
        <v>2576</v>
      </c>
      <c r="BN177" s="23" t="s">
        <v>221</v>
      </c>
      <c r="BT177" t="s">
        <v>504</v>
      </c>
    </row>
    <row r="178" spans="1:72" ht="12.95" customHeight="1">
      <c r="C178" s="24"/>
      <c r="D178" s="3" t="s">
        <v>1309</v>
      </c>
      <c r="AA178" t="s">
        <v>2394</v>
      </c>
      <c r="AE178" s="27" t="s">
        <v>306</v>
      </c>
      <c r="AF178" s="1791"/>
      <c r="AG178" s="1791"/>
      <c r="AH178" s="1" t="s">
        <v>307</v>
      </c>
      <c r="AI178" s="1690"/>
      <c r="AJ178" s="1690"/>
      <c r="AK178" s="1690"/>
      <c r="BB178" t="s">
        <v>2577</v>
      </c>
      <c r="BN178" s="23" t="s">
        <v>222</v>
      </c>
      <c r="BT178" t="s">
        <v>53</v>
      </c>
    </row>
    <row r="179" spans="1:72" ht="12.95" customHeight="1">
      <c r="C179" s="24"/>
      <c r="BN179" s="23" t="s">
        <v>223</v>
      </c>
      <c r="BT179" t="s">
        <v>54</v>
      </c>
    </row>
    <row r="180" spans="1:72" ht="12.95" customHeight="1">
      <c r="C180" s="24"/>
      <c r="D180" t="s">
        <v>2395</v>
      </c>
      <c r="X180" s="1383" t="s">
        <v>553</v>
      </c>
      <c r="Y180" s="1383"/>
      <c r="BN180" s="23" t="s">
        <v>225</v>
      </c>
      <c r="BT180" t="s">
        <v>55</v>
      </c>
    </row>
    <row r="181" spans="1:72" ht="12.95" customHeight="1">
      <c r="C181" s="8"/>
      <c r="E181" s="4" t="s">
        <v>995</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71" t="str">
        <f>H18</f>
        <v>Brandon Place Apartments</v>
      </c>
      <c r="J184" s="1471"/>
      <c r="K184" s="1471"/>
      <c r="L184" s="1471"/>
      <c r="M184" s="1471"/>
      <c r="N184" s="1471"/>
      <c r="O184" s="1471"/>
      <c r="P184" s="1471"/>
      <c r="Q184" s="1471"/>
      <c r="R184" s="1471"/>
      <c r="S184" s="1471"/>
      <c r="T184" s="1471"/>
      <c r="U184" s="1471"/>
      <c r="V184" s="1471"/>
      <c r="W184" s="1471"/>
      <c r="X184" s="1471"/>
      <c r="Y184" s="1471"/>
      <c r="Z184" s="1471"/>
      <c r="AA184" s="1471"/>
      <c r="AB184" s="1471"/>
      <c r="AC184" s="1471"/>
      <c r="AD184" s="1471"/>
      <c r="AE184" s="1471"/>
      <c r="BC184" t="s">
        <v>595</v>
      </c>
      <c r="BN184" s="23" t="s">
        <v>231</v>
      </c>
      <c r="BT184" t="s">
        <v>62</v>
      </c>
    </row>
    <row r="185" spans="1:72" ht="12.95" customHeight="1">
      <c r="C185" s="21"/>
      <c r="D185" t="s">
        <v>587</v>
      </c>
      <c r="I185" s="1441" t="s">
        <v>2652</v>
      </c>
      <c r="J185" s="1441"/>
      <c r="K185" s="1441"/>
      <c r="L185" s="1441"/>
      <c r="M185" s="1441"/>
      <c r="N185" s="1441"/>
      <c r="O185" s="1441"/>
      <c r="P185" s="1441"/>
      <c r="Q185" s="1441"/>
      <c r="R185" s="1441"/>
      <c r="S185" s="1441"/>
      <c r="T185" s="1441"/>
      <c r="U185" s="1441"/>
      <c r="V185" s="1441"/>
      <c r="W185" s="1441"/>
      <c r="X185" s="1441"/>
      <c r="Y185" s="1441"/>
      <c r="Z185" s="1441"/>
      <c r="AA185" s="1441"/>
      <c r="AB185" s="1441"/>
      <c r="AC185" s="1441"/>
      <c r="AD185" s="1441"/>
      <c r="AE185" s="1441"/>
      <c r="BC185" t="s">
        <v>596</v>
      </c>
      <c r="BN185" s="23" t="s">
        <v>232</v>
      </c>
      <c r="BT185" t="s">
        <v>63</v>
      </c>
    </row>
    <row r="186" spans="1:72" ht="12.95" customHeight="1">
      <c r="C186" s="21"/>
      <c r="E186" t="s">
        <v>168</v>
      </c>
      <c r="BN186" s="23" t="s">
        <v>233</v>
      </c>
      <c r="BT186" t="s">
        <v>64</v>
      </c>
    </row>
    <row r="187" spans="1:72" ht="12.95" customHeight="1">
      <c r="C187" s="21"/>
      <c r="E187" s="1794"/>
      <c r="F187" s="1794"/>
      <c r="G187" s="1794"/>
      <c r="H187" s="1794"/>
      <c r="I187" s="1794"/>
      <c r="J187" s="1794"/>
      <c r="K187" s="1794"/>
      <c r="L187" s="1794"/>
      <c r="M187" s="1794"/>
      <c r="N187" s="1794"/>
      <c r="O187" s="1794"/>
      <c r="P187" s="1794"/>
      <c r="Q187" s="1794"/>
      <c r="R187" s="1794"/>
      <c r="S187" s="1794"/>
      <c r="T187" s="1794"/>
      <c r="U187" s="1794"/>
      <c r="V187" s="1794"/>
      <c r="W187" s="1794"/>
      <c r="X187" s="1794"/>
      <c r="Y187" s="1794"/>
      <c r="Z187" s="1794"/>
      <c r="AA187" s="1794"/>
      <c r="AB187" s="1794"/>
      <c r="AC187" s="1794"/>
      <c r="AD187" s="1794"/>
      <c r="AE187" s="1794"/>
      <c r="BN187" s="23" t="s">
        <v>234</v>
      </c>
      <c r="BT187" t="s">
        <v>65</v>
      </c>
    </row>
    <row r="188" spans="1:72" ht="12.95" customHeight="1">
      <c r="C188" s="21"/>
      <c r="E188" s="1795"/>
      <c r="F188" s="1795"/>
      <c r="G188" s="1795"/>
      <c r="H188" s="1795"/>
      <c r="I188" s="1795"/>
      <c r="J188" s="1795"/>
      <c r="K188" s="1795"/>
      <c r="L188" s="1795"/>
      <c r="M188" s="1795"/>
      <c r="N188" s="1795"/>
      <c r="O188" s="1795"/>
      <c r="P188" s="1795"/>
      <c r="Q188" s="1795"/>
      <c r="R188" s="1795"/>
      <c r="S188" s="1795"/>
      <c r="T188" s="1795"/>
      <c r="U188" s="1795"/>
      <c r="V188" s="1795"/>
      <c r="W188" s="1795"/>
      <c r="X188" s="1795"/>
      <c r="Y188" s="1795"/>
      <c r="Z188" s="1795"/>
      <c r="AA188" s="1795"/>
      <c r="AB188" s="1795"/>
      <c r="AC188" s="1795"/>
      <c r="AD188" s="1795"/>
      <c r="AE188" s="1795"/>
      <c r="BN188" s="23" t="s">
        <v>236</v>
      </c>
      <c r="BT188" t="s">
        <v>66</v>
      </c>
    </row>
    <row r="189" spans="1:72" ht="12.95" customHeight="1">
      <c r="C189" s="21"/>
      <c r="D189" t="s">
        <v>588</v>
      </c>
      <c r="I189" s="1384" t="s">
        <v>67</v>
      </c>
      <c r="J189" s="1384"/>
      <c r="K189" s="1384"/>
      <c r="L189" s="1384"/>
      <c r="M189" s="1384"/>
      <c r="N189" s="1384"/>
      <c r="O189" s="1384"/>
      <c r="P189" s="1384"/>
      <c r="Q189" t="s">
        <v>590</v>
      </c>
      <c r="T189" s="1384" t="s">
        <v>67</v>
      </c>
      <c r="U189" s="1384"/>
      <c r="V189" s="1384"/>
      <c r="W189" s="1384"/>
      <c r="X189" s="1384"/>
      <c r="Y189" s="1384"/>
      <c r="Z189" s="1384"/>
      <c r="AA189" s="1384"/>
      <c r="AB189" s="1384"/>
      <c r="AC189" s="1384"/>
      <c r="AD189" s="1384"/>
      <c r="AE189" s="1384"/>
      <c r="BC189" t="s">
        <v>308</v>
      </c>
      <c r="BH189" s="3" t="s">
        <v>599</v>
      </c>
      <c r="BN189" s="23" t="s">
        <v>237</v>
      </c>
      <c r="BT189" t="s">
        <v>67</v>
      </c>
    </row>
    <row r="190" spans="1:72" ht="12.95" customHeight="1">
      <c r="C190" s="21"/>
      <c r="D190" t="s">
        <v>591</v>
      </c>
      <c r="I190" s="1441">
        <v>92505</v>
      </c>
      <c r="J190" s="1441"/>
      <c r="K190" s="1441"/>
      <c r="L190" s="1441"/>
      <c r="M190" s="1441"/>
      <c r="N190" s="1441"/>
      <c r="O190" t="s">
        <v>593</v>
      </c>
      <c r="T190" s="1800">
        <v>414.07</v>
      </c>
      <c r="U190" s="1800"/>
      <c r="V190" s="1800"/>
      <c r="W190" s="1800"/>
      <c r="X190" s="1800"/>
      <c r="Y190" s="1800"/>
      <c r="Z190" s="1800"/>
      <c r="AA190" s="1800"/>
      <c r="AB190" s="1800"/>
      <c r="AC190" s="1800"/>
      <c r="AD190" s="1800"/>
      <c r="AE190" s="1800"/>
      <c r="BC190" t="s">
        <v>1065</v>
      </c>
      <c r="BH190" t="s">
        <v>1065</v>
      </c>
      <c r="BN190" s="23" t="s">
        <v>643</v>
      </c>
      <c r="BT190" t="s">
        <v>68</v>
      </c>
    </row>
    <row r="191" spans="1:72" ht="12.95" customHeight="1">
      <c r="C191" s="21"/>
      <c r="D191" t="s">
        <v>470</v>
      </c>
      <c r="N191" s="1794" t="s">
        <v>2653</v>
      </c>
      <c r="O191" s="1794"/>
      <c r="P191" s="1794"/>
      <c r="Q191" s="1794"/>
      <c r="R191" s="1794"/>
      <c r="S191" s="1794"/>
      <c r="T191" s="1794"/>
      <c r="U191" s="1794"/>
      <c r="V191" s="1794"/>
      <c r="W191" s="1794"/>
      <c r="X191" s="1794"/>
      <c r="Y191" s="1794"/>
      <c r="Z191" s="1794"/>
      <c r="AA191" s="1794"/>
      <c r="AB191" s="1794"/>
      <c r="AC191" s="1794"/>
      <c r="AD191" s="1794"/>
      <c r="AE191" s="1794"/>
      <c r="BC191" t="s">
        <v>1064</v>
      </c>
      <c r="BH191" t="s">
        <v>1064</v>
      </c>
      <c r="BN191" s="23" t="s">
        <v>697</v>
      </c>
      <c r="BT191" t="s">
        <v>736</v>
      </c>
    </row>
    <row r="192" spans="1:72" ht="12.95" customHeight="1">
      <c r="C192" s="21"/>
      <c r="M192" s="40"/>
      <c r="N192" s="1795"/>
      <c r="O192" s="1795"/>
      <c r="P192" s="1795"/>
      <c r="Q192" s="1795"/>
      <c r="R192" s="1795"/>
      <c r="S192" s="1795"/>
      <c r="T192" s="1795"/>
      <c r="U192" s="1795"/>
      <c r="V192" s="1795"/>
      <c r="W192" s="1795"/>
      <c r="X192" s="1795"/>
      <c r="Y192" s="1795"/>
      <c r="Z192" s="1795"/>
      <c r="AA192" s="1795"/>
      <c r="AB192" s="1795"/>
      <c r="AC192" s="1795"/>
      <c r="AD192" s="1795"/>
      <c r="AE192" s="1795"/>
      <c r="BC192" t="s">
        <v>1067</v>
      </c>
      <c r="BH192" s="3" t="s">
        <v>1473</v>
      </c>
      <c r="BN192" s="23" t="s">
        <v>698</v>
      </c>
      <c r="BT192" t="s">
        <v>737</v>
      </c>
    </row>
    <row r="193" spans="1:74" ht="12.95" customHeight="1">
      <c r="C193" s="21"/>
      <c r="D193" t="s">
        <v>2396</v>
      </c>
      <c r="M193" s="40"/>
      <c r="N193" s="928"/>
      <c r="O193" s="928"/>
      <c r="P193" s="928"/>
      <c r="Q193" s="928"/>
      <c r="R193" s="928"/>
      <c r="S193" s="928"/>
      <c r="T193" s="1798" t="s">
        <v>2273</v>
      </c>
      <c r="U193" s="1798"/>
      <c r="V193" s="1798"/>
      <c r="W193" s="1798"/>
      <c r="X193" s="1798"/>
      <c r="Y193" s="1798"/>
      <c r="Z193" s="1798"/>
      <c r="AA193" s="1798"/>
      <c r="AB193" s="1798"/>
      <c r="AC193" s="1798"/>
      <c r="AD193" s="1798"/>
      <c r="AE193" s="1798"/>
      <c r="AF193" s="1798"/>
      <c r="AG193" s="1798"/>
      <c r="AH193" s="1798"/>
      <c r="AI193" s="1798"/>
      <c r="BC193" t="s">
        <v>1066</v>
      </c>
      <c r="BH193" s="3" t="s">
        <v>1740</v>
      </c>
      <c r="BN193" s="23" t="s">
        <v>699</v>
      </c>
      <c r="BT193" t="s">
        <v>738</v>
      </c>
    </row>
    <row r="194" spans="1:74" ht="12.95" customHeight="1">
      <c r="C194" s="21"/>
      <c r="D194" s="3" t="s">
        <v>2578</v>
      </c>
      <c r="M194" s="40"/>
      <c r="N194" s="928"/>
      <c r="O194" s="928"/>
      <c r="P194" s="928"/>
      <c r="Q194" s="928"/>
      <c r="R194" s="928"/>
      <c r="S194" s="928"/>
      <c r="AH194" s="1383" t="s">
        <v>677</v>
      </c>
      <c r="AI194" s="1383"/>
      <c r="BC194" t="s">
        <v>1473</v>
      </c>
      <c r="BN194" s="23" t="s">
        <v>700</v>
      </c>
      <c r="BT194" t="s">
        <v>739</v>
      </c>
    </row>
    <row r="195" spans="1:74" ht="12.95" customHeight="1">
      <c r="C195" s="21"/>
      <c r="D195" t="s">
        <v>332</v>
      </c>
      <c r="T195" s="1383" t="s">
        <v>553</v>
      </c>
      <c r="U195" s="1383"/>
      <c r="W195" t="s">
        <v>693</v>
      </c>
      <c r="AH195" s="1383">
        <v>39</v>
      </c>
      <c r="AI195" s="1383"/>
      <c r="BC195" t="s">
        <v>2046</v>
      </c>
      <c r="BN195" s="23" t="s">
        <v>243</v>
      </c>
      <c r="BT195" t="s">
        <v>740</v>
      </c>
    </row>
    <row r="196" spans="1:74" ht="12.95" customHeight="1">
      <c r="C196" s="21"/>
      <c r="D196" t="s">
        <v>387</v>
      </c>
      <c r="T196" s="1433" t="s">
        <v>677</v>
      </c>
      <c r="U196" s="1433"/>
      <c r="W196" t="s">
        <v>694</v>
      </c>
      <c r="AH196" s="1383">
        <v>58</v>
      </c>
      <c r="AI196" s="1383"/>
      <c r="BN196" s="23" t="s">
        <v>244</v>
      </c>
      <c r="BT196" t="s">
        <v>69</v>
      </c>
    </row>
    <row r="197" spans="1:74" ht="12.95" customHeight="1">
      <c r="C197" s="21"/>
      <c r="D197" s="3" t="s">
        <v>169</v>
      </c>
      <c r="T197" s="1433" t="s">
        <v>677</v>
      </c>
      <c r="U197" s="1433"/>
      <c r="W197" t="s">
        <v>695</v>
      </c>
      <c r="AH197" s="1383">
        <v>31</v>
      </c>
      <c r="AI197" s="1383"/>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433"/>
      <c r="U198" s="143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83" t="s">
        <v>677</v>
      </c>
      <c r="AA199" s="1383"/>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193</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194</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195</v>
      </c>
      <c r="BU201"/>
    </row>
    <row r="202" spans="1:74" ht="12.95" customHeight="1">
      <c r="C202" s="21"/>
      <c r="D202" s="546"/>
      <c r="BC202" t="s">
        <v>1091</v>
      </c>
      <c r="BD202" s="469"/>
      <c r="BN202" s="23" t="s">
        <v>710</v>
      </c>
      <c r="BO202" s="14"/>
      <c r="BP202" s="32"/>
      <c r="BQ202" s="32"/>
      <c r="BR202" s="32"/>
      <c r="BS202" s="32"/>
      <c r="BT202" s="32" t="s">
        <v>196</v>
      </c>
    </row>
    <row r="203" spans="1:74" ht="12.95" customHeight="1">
      <c r="A203" s="2" t="s">
        <v>594</v>
      </c>
      <c r="C203" s="2" t="s">
        <v>136</v>
      </c>
      <c r="BC203" t="s">
        <v>1092</v>
      </c>
      <c r="BN203" s="23" t="s">
        <v>711</v>
      </c>
      <c r="BO203" s="14"/>
      <c r="BP203" s="32"/>
      <c r="BQ203" s="32"/>
      <c r="BR203" s="32"/>
      <c r="BS203" s="32"/>
      <c r="BT203" s="32" t="s">
        <v>197</v>
      </c>
    </row>
    <row r="204" spans="1:74" ht="12.95" customHeight="1">
      <c r="D204" s="1471" t="s">
        <v>386</v>
      </c>
      <c r="E204" s="1471"/>
      <c r="F204" s="1471"/>
      <c r="G204" s="1471"/>
      <c r="H204" s="1471"/>
      <c r="I204" s="1471"/>
      <c r="J204" s="1471"/>
      <c r="K204" s="1471"/>
      <c r="L204" s="1471"/>
      <c r="M204" s="1471"/>
      <c r="P204" s="1808">
        <f>M26</f>
        <v>2215168</v>
      </c>
      <c r="Q204" s="1790"/>
      <c r="R204" s="1790"/>
      <c r="S204" s="1790"/>
      <c r="T204" s="1790"/>
      <c r="U204" s="1790"/>
      <c r="BC204" t="s">
        <v>618</v>
      </c>
      <c r="BN204" s="23" t="s">
        <v>712</v>
      </c>
      <c r="BT204" s="32" t="s">
        <v>198</v>
      </c>
      <c r="BU204" s="14"/>
    </row>
    <row r="205" spans="1:74" ht="12.95" customHeight="1">
      <c r="C205" s="21"/>
      <c r="D205" s="1789" t="s">
        <v>1355</v>
      </c>
      <c r="E205" s="1471"/>
      <c r="F205" s="1471"/>
      <c r="G205" s="1471"/>
      <c r="H205" s="1471"/>
      <c r="I205" s="1471"/>
      <c r="J205" s="1471"/>
      <c r="K205" s="1471"/>
      <c r="L205" s="1471"/>
      <c r="M205" s="1471"/>
      <c r="P205" s="1790">
        <f>M27</f>
        <v>0</v>
      </c>
      <c r="Q205" s="1790"/>
      <c r="R205" s="1790"/>
      <c r="S205" s="1790"/>
      <c r="T205" s="1790"/>
      <c r="U205" s="1790"/>
      <c r="V205" s="28"/>
      <c r="W205" s="3" t="s">
        <v>1908</v>
      </c>
      <c r="Z205" s="1779" t="s">
        <v>1290</v>
      </c>
      <c r="AA205" s="1779"/>
      <c r="AB205" s="1779"/>
      <c r="AC205" s="1779"/>
      <c r="AD205" s="1779"/>
      <c r="AE205" s="1779"/>
      <c r="AF205" s="1779"/>
      <c r="AG205" s="1779"/>
      <c r="AH205" s="1779"/>
      <c r="AI205" s="1779"/>
      <c r="AJ205" s="1779"/>
      <c r="AK205" s="1779"/>
      <c r="AL205" s="1779"/>
      <c r="AM205" s="1779"/>
      <c r="AN205" s="1779"/>
      <c r="AP205" s="1305"/>
      <c r="AQ205" s="1305"/>
      <c r="BC205" t="s">
        <v>1050</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52" t="s">
        <v>2654</v>
      </c>
      <c r="E208" s="1452"/>
      <c r="F208" s="1452"/>
      <c r="G208" s="1452"/>
      <c r="H208" s="1452"/>
      <c r="I208" s="1452"/>
      <c r="J208" s="1452"/>
      <c r="K208" s="1452"/>
      <c r="L208" s="1452"/>
      <c r="M208" s="1452"/>
      <c r="BC208" t="s">
        <v>1094</v>
      </c>
      <c r="BN208" s="23" t="s">
        <v>46</v>
      </c>
      <c r="BT208" s="32" t="s">
        <v>201</v>
      </c>
    </row>
    <row r="209" spans="1:72" ht="12.95" customHeight="1">
      <c r="BC209" t="s">
        <v>667</v>
      </c>
      <c r="BN209" s="23" t="s">
        <v>47</v>
      </c>
      <c r="BT209" s="32" t="s">
        <v>202</v>
      </c>
    </row>
    <row r="210" spans="1:72" ht="12.95" customHeight="1">
      <c r="A210" s="2" t="s">
        <v>598</v>
      </c>
      <c r="C210" s="2" t="s">
        <v>389</v>
      </c>
      <c r="BN210" s="23" t="s">
        <v>48</v>
      </c>
      <c r="BT210" s="32" t="s">
        <v>203</v>
      </c>
    </row>
    <row r="211" spans="1:72" ht="12.95" customHeight="1">
      <c r="C211" s="21"/>
      <c r="D211" s="1452" t="s">
        <v>1066</v>
      </c>
      <c r="E211" s="1452"/>
      <c r="F211" s="1452"/>
      <c r="G211" s="1452"/>
      <c r="H211" s="1452"/>
      <c r="I211" s="1452"/>
      <c r="J211" s="1452"/>
      <c r="K211" s="1452"/>
      <c r="L211" s="1452"/>
      <c r="M211" s="1452"/>
      <c r="BN211" s="23" t="s">
        <v>129</v>
      </c>
      <c r="BT211" s="32" t="s">
        <v>130</v>
      </c>
    </row>
    <row r="212" spans="1:72" ht="12.95" customHeight="1">
      <c r="C212" s="21"/>
      <c r="D212" t="s">
        <v>1352</v>
      </c>
      <c r="Y212" s="1383"/>
      <c r="Z212" s="1383"/>
      <c r="AB212" s="1796">
        <f>IFERROR(Y212/AG440,"")</f>
        <v>0</v>
      </c>
      <c r="AC212" s="1797"/>
      <c r="BC212" t="s">
        <v>308</v>
      </c>
      <c r="BI212" t="s">
        <v>1290</v>
      </c>
      <c r="BN212" s="23" t="s">
        <v>49</v>
      </c>
      <c r="BT212" s="32" t="s">
        <v>204</v>
      </c>
    </row>
    <row r="213" spans="1:72" ht="12.95" customHeight="1">
      <c r="D213" s="1189" t="s">
        <v>1739</v>
      </c>
      <c r="BC213" t="s">
        <v>534</v>
      </c>
      <c r="BI213" t="s">
        <v>2626</v>
      </c>
      <c r="BN213" s="23" t="s">
        <v>50</v>
      </c>
      <c r="BT213" s="32" t="s">
        <v>205</v>
      </c>
    </row>
    <row r="214" spans="1:72" ht="12.95" customHeight="1">
      <c r="D214" s="1805" t="s">
        <v>599</v>
      </c>
      <c r="E214" s="1805"/>
      <c r="F214" s="1805"/>
      <c r="G214" s="1805"/>
      <c r="H214" s="1805"/>
      <c r="I214" s="1805"/>
      <c r="J214" s="1805"/>
      <c r="K214" s="1805"/>
      <c r="L214" s="1805"/>
      <c r="M214" s="1805"/>
      <c r="N214" s="1805"/>
      <c r="O214" s="1805"/>
      <c r="P214" s="1805"/>
      <c r="Q214" s="1805"/>
      <c r="R214" s="1805"/>
      <c r="S214" s="1805"/>
      <c r="T214" s="1805"/>
      <c r="U214" s="1805"/>
      <c r="V214" s="1805"/>
      <c r="W214" s="1805"/>
      <c r="X214" s="1805"/>
      <c r="Y214" s="1805"/>
      <c r="Z214" s="1805"/>
      <c r="AU214" s="21"/>
      <c r="AV214" s="21"/>
      <c r="AW214" s="21"/>
      <c r="AX214" s="21"/>
      <c r="AY214" s="21"/>
      <c r="BC214" t="s">
        <v>538</v>
      </c>
      <c r="BI214" t="s">
        <v>2632</v>
      </c>
      <c r="BN214" s="23" t="s">
        <v>327</v>
      </c>
      <c r="BT214" s="32" t="s">
        <v>206</v>
      </c>
    </row>
    <row r="215" spans="1:72" ht="12.95" customHeight="1">
      <c r="D215" s="3" t="s">
        <v>1764</v>
      </c>
      <c r="Z215" s="40"/>
      <c r="AB215" s="1804"/>
      <c r="AC215" s="1804"/>
      <c r="AD215" s="1804"/>
      <c r="AE215" s="1804"/>
      <c r="AF215" s="1804"/>
      <c r="AG215" s="1804"/>
      <c r="AH215" s="1804"/>
      <c r="AI215" s="1804"/>
      <c r="AJ215" s="1804"/>
      <c r="AK215" s="1804"/>
      <c r="AL215" s="1804"/>
      <c r="AM215" s="21"/>
      <c r="AN215" s="21"/>
      <c r="AO215" s="21"/>
      <c r="AP215" s="21"/>
      <c r="AQ215" s="21"/>
      <c r="AR215" s="21"/>
      <c r="AS215" s="21"/>
      <c r="AT215" s="21"/>
      <c r="AU215" s="21"/>
      <c r="AV215" s="21"/>
      <c r="AW215" s="21"/>
      <c r="AX215" s="21"/>
      <c r="AY215" s="21"/>
      <c r="BC215" t="s">
        <v>535</v>
      </c>
      <c r="BI215" s="3" t="s">
        <v>2638</v>
      </c>
    </row>
    <row r="216" spans="1:72" ht="12.95" customHeight="1">
      <c r="D216" s="3" t="s">
        <v>1762</v>
      </c>
      <c r="Z216" s="40"/>
      <c r="AB216" s="1804">
        <v>2027</v>
      </c>
      <c r="AC216" s="1804"/>
      <c r="AD216" s="1804"/>
      <c r="AE216" s="1804"/>
      <c r="AF216" s="1804"/>
      <c r="AG216" s="1804"/>
      <c r="AH216" s="1804"/>
      <c r="AI216" s="1804"/>
      <c r="AJ216" s="1804"/>
      <c r="AK216" s="1804"/>
      <c r="AL216" s="1804"/>
      <c r="AM216" s="21"/>
      <c r="AN216" s="21"/>
      <c r="AO216" s="21"/>
      <c r="AP216" s="21"/>
      <c r="AQ216" s="21"/>
      <c r="AR216" s="21"/>
      <c r="AS216" s="21"/>
      <c r="AT216" s="21"/>
      <c r="AU216" s="21"/>
      <c r="AV216" s="21"/>
      <c r="AW216" s="21"/>
      <c r="AX216" s="21"/>
      <c r="AY216" s="21"/>
      <c r="BC216" t="s">
        <v>574</v>
      </c>
      <c r="BI216" s="3" t="s">
        <v>2627</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2628</v>
      </c>
    </row>
    <row r="218" spans="1:72" ht="12.95" customHeight="1">
      <c r="A218" s="2" t="s">
        <v>600</v>
      </c>
      <c r="C218" s="2" t="s">
        <v>1328</v>
      </c>
      <c r="D218" s="28"/>
      <c r="BC218" t="s">
        <v>537</v>
      </c>
    </row>
    <row r="219" spans="1:72" ht="12.95" customHeight="1">
      <c r="A219" s="2"/>
      <c r="C219" s="2"/>
      <c r="D219" s="4" t="s">
        <v>1008</v>
      </c>
      <c r="AZ219" s="3"/>
      <c r="BA219" s="3"/>
      <c r="BC219" t="s">
        <v>378</v>
      </c>
    </row>
    <row r="220" spans="1:72" ht="12.95" customHeight="1">
      <c r="A220" s="2"/>
      <c r="C220" s="2"/>
      <c r="D220" s="1452" t="s">
        <v>1091</v>
      </c>
      <c r="E220" s="1452"/>
      <c r="F220" s="1452"/>
      <c r="G220" s="1452"/>
      <c r="H220" s="1452"/>
      <c r="I220" s="1452"/>
      <c r="J220" s="1452"/>
      <c r="K220" s="1452"/>
      <c r="L220" s="1452"/>
      <c r="M220" s="1452"/>
      <c r="N220" s="1452"/>
      <c r="O220" s="1452"/>
      <c r="P220" s="1452"/>
      <c r="Q220" s="1452"/>
      <c r="R220" s="1452"/>
      <c r="S220" s="1452"/>
      <c r="T220" s="1452"/>
      <c r="U220" s="1452"/>
      <c r="V220" s="1452"/>
      <c r="W220" s="1452"/>
      <c r="X220" s="1452"/>
      <c r="Y220" s="1452"/>
      <c r="Z220" s="1452"/>
      <c r="BA220" s="3"/>
      <c r="BC220" t="s">
        <v>301</v>
      </c>
    </row>
    <row r="221" spans="1:72" ht="12.95" customHeight="1">
      <c r="A221" s="2"/>
      <c r="B221" s="14"/>
      <c r="C221" s="2"/>
      <c r="AU221" s="95"/>
      <c r="AV221" s="95"/>
      <c r="AW221" s="95"/>
      <c r="AX221" s="95"/>
      <c r="AY221" s="95"/>
      <c r="BA221" s="3"/>
    </row>
    <row r="222" spans="1:72" ht="12.95" customHeight="1">
      <c r="A222" s="1456" t="s">
        <v>548</v>
      </c>
      <c r="B222" s="1456"/>
      <c r="C222" s="1456"/>
      <c r="D222" s="1456"/>
      <c r="E222" s="1456"/>
      <c r="F222" s="1456"/>
      <c r="G222" s="1456"/>
      <c r="H222" s="1456"/>
      <c r="I222" s="1456"/>
      <c r="J222" s="1456"/>
      <c r="K222" s="1456"/>
      <c r="L222" s="1456"/>
      <c r="M222" s="1456"/>
      <c r="N222" s="1456"/>
      <c r="O222" s="1456"/>
      <c r="P222" s="1456"/>
      <c r="Q222" s="1456"/>
      <c r="R222" s="1456"/>
      <c r="S222" s="1456"/>
      <c r="T222" s="1456"/>
      <c r="U222" s="1456"/>
      <c r="V222" s="1456"/>
      <c r="W222" s="1456"/>
      <c r="X222" s="1456"/>
      <c r="Y222" s="1456"/>
      <c r="Z222" s="1456"/>
      <c r="AA222" s="1456"/>
      <c r="AB222" s="1456"/>
      <c r="AC222" s="1456"/>
      <c r="AD222" s="1456"/>
      <c r="AE222" s="1456"/>
      <c r="AF222" s="1456"/>
      <c r="AG222" s="1456"/>
      <c r="AH222" s="1456"/>
      <c r="AI222" s="1456"/>
      <c r="AJ222" s="1456"/>
      <c r="AK222" s="1456"/>
      <c r="AL222" s="1456"/>
      <c r="AM222" s="1456"/>
      <c r="AN222" s="1456"/>
      <c r="AO222" s="1456"/>
      <c r="AP222" s="1456"/>
      <c r="AQ222" s="1456"/>
      <c r="AR222" s="1456"/>
      <c r="AS222" s="1456"/>
      <c r="AT222" s="1456"/>
      <c r="AU222" s="95"/>
      <c r="AV222" s="95"/>
      <c r="AW222" s="95"/>
      <c r="AX222" s="95"/>
      <c r="AY222" s="95"/>
      <c r="AZ222" s="3"/>
      <c r="BA222" s="3"/>
      <c r="BP222" s="34"/>
    </row>
    <row r="223" spans="1:72" ht="12.95" customHeight="1">
      <c r="A223" s="1456"/>
      <c r="B223" s="1456"/>
      <c r="C223" s="1456"/>
      <c r="D223" s="1456"/>
      <c r="E223" s="1456"/>
      <c r="F223" s="1456"/>
      <c r="G223" s="1456"/>
      <c r="H223" s="1456"/>
      <c r="I223" s="1456"/>
      <c r="J223" s="1456"/>
      <c r="K223" s="1456"/>
      <c r="L223" s="1456"/>
      <c r="M223" s="1456"/>
      <c r="N223" s="1456"/>
      <c r="O223" s="1456"/>
      <c r="P223" s="1456"/>
      <c r="Q223" s="1456"/>
      <c r="R223" s="1456"/>
      <c r="S223" s="1456"/>
      <c r="T223" s="1456"/>
      <c r="U223" s="1456"/>
      <c r="V223" s="1456"/>
      <c r="W223" s="1456"/>
      <c r="X223" s="1456"/>
      <c r="Y223" s="1456"/>
      <c r="Z223" s="1456"/>
      <c r="AA223" s="1456"/>
      <c r="AB223" s="1456"/>
      <c r="AC223" s="1456"/>
      <c r="AD223" s="1456"/>
      <c r="AE223" s="1456"/>
      <c r="AF223" s="1456"/>
      <c r="AG223" s="1456"/>
      <c r="AH223" s="1456"/>
      <c r="AI223" s="1456"/>
      <c r="AJ223" s="1456"/>
      <c r="AK223" s="1456"/>
      <c r="AL223" s="1456"/>
      <c r="AM223" s="1456"/>
      <c r="AN223" s="1456"/>
      <c r="AO223" s="1456"/>
      <c r="AP223" s="1456"/>
      <c r="AQ223" s="1456"/>
      <c r="AR223" s="1456"/>
      <c r="AS223" s="1456"/>
      <c r="AT223" s="1456"/>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3" t="s">
        <v>599</v>
      </c>
      <c r="AJ226" s="1383"/>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3" t="s">
        <v>599</v>
      </c>
      <c r="AJ227" s="1383"/>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3" t="s">
        <v>599</v>
      </c>
      <c r="AJ228" s="1383"/>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3" t="s">
        <v>599</v>
      </c>
      <c r="AJ229" s="1383"/>
      <c r="AL229" s="3"/>
      <c r="AM229" s="3"/>
      <c r="AN229" s="3"/>
      <c r="AO229" s="3"/>
      <c r="AP229" s="3"/>
      <c r="AQ229" s="3"/>
      <c r="AR229" s="3"/>
      <c r="AS229" s="3"/>
      <c r="AT229" s="3"/>
      <c r="AU229" s="3"/>
      <c r="AV229" s="3"/>
      <c r="AW229" s="3"/>
      <c r="AX229" s="3"/>
      <c r="AY229" s="3"/>
      <c r="BA229" s="3"/>
      <c r="BB229" s="218" t="s">
        <v>546</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93" t="str">
        <f>H16</f>
        <v>Brandon Place, LP</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51" t="s">
        <v>2655</v>
      </c>
      <c r="N233" s="1451"/>
      <c r="O233" s="1451"/>
      <c r="P233" s="1451"/>
      <c r="Q233" s="1451"/>
      <c r="R233" s="1451"/>
      <c r="S233" s="1451"/>
      <c r="T233" s="1451"/>
      <c r="U233" s="1451"/>
      <c r="V233" s="1451"/>
      <c r="W233" s="1451"/>
      <c r="X233" s="1451"/>
      <c r="Y233" s="1451"/>
      <c r="Z233" s="1451"/>
      <c r="AA233" s="1451"/>
      <c r="AB233" s="1451"/>
      <c r="AC233" s="1451"/>
      <c r="AD233" s="1451"/>
      <c r="AE233" s="1451"/>
      <c r="BB233" s="219" t="s">
        <v>546</v>
      </c>
      <c r="BG233" s="259">
        <f>IF(AND(AND($M$249="nonprofit",$M$257="for profit",$M$265="nonprofit")),2,0)</f>
        <v>0</v>
      </c>
    </row>
    <row r="234" spans="1:69" ht="12.95" customHeight="1">
      <c r="D234" s="4" t="s">
        <v>588</v>
      </c>
      <c r="E234" s="4"/>
      <c r="M234" s="1451" t="s">
        <v>739</v>
      </c>
      <c r="N234" s="1451"/>
      <c r="O234" s="1451"/>
      <c r="P234" s="1451"/>
      <c r="Q234" s="1451"/>
      <c r="R234" s="1451"/>
      <c r="S234" s="1451"/>
      <c r="T234" s="1451"/>
      <c r="V234" s="33" t="s">
        <v>86</v>
      </c>
      <c r="W234" s="1591" t="s">
        <v>2656</v>
      </c>
      <c r="X234" s="1472"/>
      <c r="Y234" s="4" t="s">
        <v>591</v>
      </c>
      <c r="AC234" s="1452">
        <v>94115</v>
      </c>
      <c r="AD234" s="1452"/>
      <c r="AE234" s="1452"/>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51" t="s">
        <v>2657</v>
      </c>
      <c r="N235" s="1451"/>
      <c r="O235" s="1451"/>
      <c r="P235" s="1451"/>
      <c r="Q235" s="1451"/>
      <c r="R235" s="1451"/>
      <c r="S235" s="1451"/>
      <c r="T235" s="1451"/>
      <c r="U235" s="1451"/>
      <c r="V235" s="1451"/>
      <c r="W235" s="1451"/>
      <c r="X235" s="1451"/>
      <c r="Y235" s="1451"/>
      <c r="Z235" s="1451"/>
      <c r="AA235" s="1451"/>
      <c r="AB235" s="1451"/>
      <c r="AC235" s="1451"/>
      <c r="AD235" s="1451"/>
      <c r="AE235" s="1451"/>
      <c r="AI235" s="4"/>
      <c r="AJ235" s="4"/>
      <c r="AK235" s="4"/>
      <c r="AL235" s="4"/>
      <c r="AM235" s="4"/>
      <c r="AN235" s="4"/>
      <c r="AO235" s="4"/>
      <c r="AP235" s="4"/>
      <c r="AQ235" s="4"/>
      <c r="AR235" s="4"/>
      <c r="AS235" s="4"/>
      <c r="AT235" s="4"/>
      <c r="BB235" s="219"/>
      <c r="BG235" s="218"/>
    </row>
    <row r="236" spans="1:69" ht="12.95" customHeight="1">
      <c r="D236" s="4" t="s">
        <v>88</v>
      </c>
      <c r="E236" s="4"/>
      <c r="F236" s="4"/>
      <c r="M236" s="1394" t="s">
        <v>2658</v>
      </c>
      <c r="N236" s="1394"/>
      <c r="O236" s="1394"/>
      <c r="P236" s="1394"/>
      <c r="Q236" s="1394"/>
      <c r="R236" s="1394"/>
      <c r="S236" s="4" t="s">
        <v>207</v>
      </c>
      <c r="T236" s="4"/>
      <c r="U236" s="1472"/>
      <c r="V236" s="1472"/>
      <c r="W236" s="1472"/>
      <c r="X236" s="4" t="s">
        <v>89</v>
      </c>
      <c r="Z236" s="1395"/>
      <c r="AA236" s="1395"/>
      <c r="AB236" s="1395"/>
      <c r="AC236" s="1395"/>
      <c r="AD236" s="1395"/>
      <c r="AE236" s="1395"/>
      <c r="AU236" s="4"/>
      <c r="AV236" s="4"/>
      <c r="AW236" s="4"/>
      <c r="AX236" s="4"/>
      <c r="AY236" s="4"/>
      <c r="AZ236" s="4"/>
      <c r="BB236" s="218" t="s">
        <v>545</v>
      </c>
      <c r="BG236" s="259">
        <f>IF(AND(AND($M$249="nonprofit",$M$257="nonprofit",$M$265="(select one)")),1,0)</f>
        <v>0</v>
      </c>
    </row>
    <row r="237" spans="1:69" ht="12.95" customHeight="1">
      <c r="D237" s="4" t="s">
        <v>90</v>
      </c>
      <c r="E237" s="4"/>
      <c r="F237" s="4"/>
      <c r="M237" s="1267" t="s">
        <v>2659</v>
      </c>
      <c r="N237" s="1267"/>
      <c r="O237" s="1267"/>
      <c r="P237" s="1267"/>
      <c r="Q237" s="1267"/>
      <c r="R237" s="1267"/>
      <c r="S237" s="1267"/>
      <c r="T237" s="1267"/>
      <c r="U237" s="1267"/>
      <c r="V237" s="1267"/>
      <c r="W237" s="1267"/>
      <c r="X237" s="1267"/>
      <c r="Y237" s="1267"/>
      <c r="Z237" s="1267"/>
      <c r="AA237" s="1267"/>
      <c r="AB237" s="1267"/>
      <c r="AC237" s="1267"/>
      <c r="AD237" s="1267"/>
      <c r="AE237" s="1267"/>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41" t="s">
        <v>536</v>
      </c>
      <c r="N238" s="1441"/>
      <c r="O238" s="1441"/>
      <c r="P238" s="1441"/>
      <c r="Q238" s="1441"/>
      <c r="R238" s="1441"/>
      <c r="S238" s="1441"/>
      <c r="T238" s="1441"/>
      <c r="U238" s="218" t="s">
        <v>921</v>
      </c>
      <c r="V238" s="218"/>
      <c r="W238" s="218"/>
      <c r="X238" s="218"/>
      <c r="Y238" s="218"/>
      <c r="Z238" s="218"/>
      <c r="AA238" s="1265" t="s">
        <v>2660</v>
      </c>
      <c r="AB238" s="1265"/>
      <c r="AC238" s="1265"/>
      <c r="AD238" s="1265"/>
      <c r="AE238" s="1265"/>
      <c r="AF238" s="1265"/>
      <c r="AG238" s="1265"/>
      <c r="AH238" s="1265"/>
      <c r="AI238" s="1265"/>
      <c r="AJ238" s="1265"/>
      <c r="AK238" s="1265"/>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384" t="s">
        <v>599</v>
      </c>
      <c r="N239" s="1384"/>
      <c r="O239" s="1384"/>
      <c r="P239" s="1384"/>
      <c r="Q239" s="1384"/>
      <c r="R239" s="1384"/>
      <c r="S239" s="1384"/>
      <c r="T239" s="1384"/>
      <c r="U239" s="1384"/>
      <c r="V239" s="1384"/>
      <c r="W239" s="1384"/>
      <c r="X239" s="1384"/>
      <c r="Y239" s="1384"/>
      <c r="Z239" s="1384"/>
      <c r="AA239" s="1384"/>
      <c r="AB239" s="1384"/>
      <c r="AC239" s="1384"/>
      <c r="AD239" s="1384"/>
      <c r="AE239" s="1384"/>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780" t="s">
        <v>2661</v>
      </c>
      <c r="N243" s="1781"/>
      <c r="O243" s="1781"/>
      <c r="P243" s="1781"/>
      <c r="Q243" s="1781"/>
      <c r="R243" s="1781"/>
      <c r="S243" s="1781"/>
      <c r="T243" s="1781"/>
      <c r="U243" s="1781"/>
      <c r="V243" s="1781"/>
      <c r="W243" s="1781"/>
      <c r="X243" s="1781"/>
      <c r="Y243" s="1781"/>
      <c r="Z243" s="1781"/>
      <c r="AA243" s="1781"/>
      <c r="AB243" s="1781"/>
      <c r="AC243" s="1781"/>
      <c r="AD243" s="1781"/>
      <c r="AE243" s="1781"/>
      <c r="AF243" s="1781" t="s">
        <v>2662</v>
      </c>
      <c r="AG243" s="1781"/>
      <c r="AH243" s="1781"/>
      <c r="AI243" s="1781"/>
      <c r="AJ243" s="1781"/>
      <c r="AK243" s="178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266" t="s">
        <v>2655</v>
      </c>
      <c r="N244" s="1264"/>
      <c r="O244" s="1264"/>
      <c r="P244" s="1264"/>
      <c r="Q244" s="1264"/>
      <c r="R244" s="1264"/>
      <c r="S244" s="1264"/>
      <c r="T244" s="1264"/>
      <c r="U244" s="1264"/>
      <c r="V244" s="1264"/>
      <c r="W244" s="1264"/>
      <c r="X244" s="1264"/>
      <c r="Y244" s="1264"/>
      <c r="Z244" s="1264"/>
      <c r="AA244" s="1264"/>
      <c r="AB244" s="1264"/>
      <c r="AC244" s="1264"/>
      <c r="AD244" s="1264"/>
      <c r="AE244" s="1264"/>
      <c r="AF244" s="3" t="s">
        <v>1285</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51" t="s">
        <v>739</v>
      </c>
      <c r="N245" s="1452"/>
      <c r="O245" s="1452"/>
      <c r="P245" s="1452"/>
      <c r="Q245" s="1452"/>
      <c r="R245" s="1452"/>
      <c r="S245" s="1452"/>
      <c r="T245" s="1452"/>
      <c r="V245" s="33" t="s">
        <v>86</v>
      </c>
      <c r="W245" s="1591" t="s">
        <v>2656</v>
      </c>
      <c r="X245" s="1472"/>
      <c r="Y245" s="4" t="s">
        <v>591</v>
      </c>
      <c r="AC245" s="1452">
        <v>94115</v>
      </c>
      <c r="AD245" s="1452"/>
      <c r="AE245" s="1452"/>
      <c r="AF245" s="3" t="s">
        <v>1286</v>
      </c>
      <c r="AU245" s="4"/>
      <c r="AV245" s="4"/>
      <c r="AW245" s="4"/>
      <c r="AX245" s="4"/>
      <c r="AY245" s="4"/>
      <c r="BB245" s="4" t="s">
        <v>281</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451" t="s">
        <v>2657</v>
      </c>
      <c r="N246" s="1452"/>
      <c r="O246" s="1452"/>
      <c r="P246" s="1452"/>
      <c r="Q246" s="1452"/>
      <c r="R246" s="1452"/>
      <c r="S246" s="1452"/>
      <c r="T246" s="1452"/>
      <c r="U246" s="1452"/>
      <c r="V246" s="1452"/>
      <c r="W246" s="1452"/>
      <c r="X246" s="1452"/>
      <c r="Y246" s="1452"/>
      <c r="Z246" s="1452"/>
      <c r="AA246" s="1452"/>
      <c r="AB246" s="1452"/>
      <c r="AC246" s="1452"/>
      <c r="AD246" s="1452"/>
      <c r="AE246" s="1452"/>
      <c r="AH246" s="1787">
        <v>8.9999999999999993E-3</v>
      </c>
      <c r="AI246" s="1787"/>
      <c r="AJ246" s="1787"/>
      <c r="AK246" s="1787"/>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94" t="s">
        <v>2658</v>
      </c>
      <c r="N247" s="1395"/>
      <c r="O247" s="1395"/>
      <c r="P247" s="1395"/>
      <c r="Q247" s="1395"/>
      <c r="R247" s="1395"/>
      <c r="S247" s="4" t="s">
        <v>207</v>
      </c>
      <c r="T247" s="4"/>
      <c r="U247" s="1472"/>
      <c r="V247" s="1472"/>
      <c r="W247" s="1472"/>
      <c r="X247" s="4" t="s">
        <v>89</v>
      </c>
      <c r="Z247" s="1395"/>
      <c r="AA247" s="1395"/>
      <c r="AB247" s="1395"/>
      <c r="AC247" s="1395"/>
      <c r="AD247" s="1395"/>
      <c r="AE247" s="1395"/>
      <c r="AU247" s="4"/>
      <c r="AV247" s="4"/>
      <c r="AW247" s="4"/>
      <c r="AX247" s="4"/>
      <c r="AY247" s="4"/>
      <c r="BG247">
        <v>0</v>
      </c>
      <c r="BH247" s="3"/>
      <c r="BN247" s="34"/>
    </row>
    <row r="248" spans="1:71" ht="12.95" customHeight="1">
      <c r="A248" s="19"/>
      <c r="B248" s="4"/>
      <c r="C248" s="4"/>
      <c r="D248" s="4" t="s">
        <v>90</v>
      </c>
      <c r="E248" s="4"/>
      <c r="F248" s="4"/>
      <c r="M248" s="1778" t="s">
        <v>2663</v>
      </c>
      <c r="N248" s="1778"/>
      <c r="O248" s="1778"/>
      <c r="P248" s="1778"/>
      <c r="Q248" s="1778"/>
      <c r="R248" s="1778"/>
      <c r="S248" s="1778"/>
      <c r="T248" s="1778"/>
      <c r="U248" s="1778"/>
      <c r="V248" s="1778"/>
      <c r="W248" s="1778"/>
      <c r="X248" s="1778"/>
      <c r="Y248" s="1778"/>
      <c r="Z248" s="1778"/>
      <c r="AA248" s="1778"/>
      <c r="AB248" s="1778"/>
      <c r="AC248" s="1778"/>
      <c r="AD248" s="1778"/>
      <c r="AE248" s="1778"/>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41" t="s">
        <v>544</v>
      </c>
      <c r="N249" s="1441"/>
      <c r="O249" s="1441"/>
      <c r="P249" s="1441"/>
      <c r="Q249" s="1441"/>
      <c r="R249" s="1441"/>
      <c r="S249" s="1441"/>
      <c r="T249" s="1441"/>
      <c r="U249" s="218" t="s">
        <v>921</v>
      </c>
      <c r="V249" s="218"/>
      <c r="W249" s="218"/>
      <c r="X249" s="218"/>
      <c r="Y249" s="218"/>
      <c r="Z249" s="218"/>
      <c r="AA249" s="1810" t="s">
        <v>2664</v>
      </c>
      <c r="AB249" s="1810"/>
      <c r="AC249" s="1810"/>
      <c r="AD249" s="1810"/>
      <c r="AE249" s="1810"/>
      <c r="AF249" s="1810"/>
      <c r="AG249" s="1810"/>
      <c r="AH249" s="1810"/>
      <c r="AI249" s="1810"/>
      <c r="AJ249" s="1810"/>
      <c r="AK249" s="1810"/>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780" t="s">
        <v>2665</v>
      </c>
      <c r="N251" s="1781"/>
      <c r="O251" s="1781"/>
      <c r="P251" s="1781"/>
      <c r="Q251" s="1781"/>
      <c r="R251" s="1781"/>
      <c r="S251" s="1781"/>
      <c r="T251" s="1781"/>
      <c r="U251" s="1781"/>
      <c r="V251" s="1781"/>
      <c r="W251" s="1781"/>
      <c r="X251" s="1781"/>
      <c r="Y251" s="1781"/>
      <c r="Z251" s="1781"/>
      <c r="AA251" s="1781"/>
      <c r="AB251" s="1781"/>
      <c r="AC251" s="1781"/>
      <c r="AD251" s="1781"/>
      <c r="AE251" s="1781"/>
      <c r="AF251" s="1781" t="s">
        <v>2666</v>
      </c>
      <c r="AG251" s="1781"/>
      <c r="AH251" s="1781"/>
      <c r="AI251" s="1781"/>
      <c r="AJ251" s="1781"/>
      <c r="AK251" s="1781"/>
      <c r="AU251" s="4"/>
      <c r="AV251" s="4"/>
      <c r="AW251" s="4"/>
      <c r="AX251" s="4"/>
      <c r="AY251" s="4"/>
      <c r="BN251" s="34"/>
    </row>
    <row r="252" spans="1:71" ht="12.95" customHeight="1">
      <c r="A252" s="19"/>
      <c r="B252" s="4"/>
      <c r="C252" s="4"/>
      <c r="D252" s="4" t="s">
        <v>85</v>
      </c>
      <c r="E252" s="4"/>
      <c r="F252" s="4"/>
      <c r="G252" s="4"/>
      <c r="H252" s="4"/>
      <c r="I252" s="4"/>
      <c r="J252" s="4"/>
      <c r="K252" s="4"/>
      <c r="L252" s="4"/>
      <c r="M252" s="1451" t="s">
        <v>2667</v>
      </c>
      <c r="N252" s="1452"/>
      <c r="O252" s="1452"/>
      <c r="P252" s="1452"/>
      <c r="Q252" s="1452"/>
      <c r="R252" s="1452"/>
      <c r="S252" s="1452"/>
      <c r="T252" s="1452"/>
      <c r="U252" s="1452"/>
      <c r="V252" s="1452"/>
      <c r="W252" s="1452"/>
      <c r="X252" s="1452"/>
      <c r="Y252" s="1452"/>
      <c r="Z252" s="1452"/>
      <c r="AA252" s="1452"/>
      <c r="AB252" s="1452"/>
      <c r="AC252" s="1452"/>
      <c r="AD252" s="1452"/>
      <c r="AE252" s="1452"/>
      <c r="AF252" s="3" t="s">
        <v>1285</v>
      </c>
      <c r="AL252" s="4"/>
      <c r="AM252" s="4"/>
      <c r="AN252" s="4"/>
      <c r="AO252" s="4"/>
      <c r="AP252" s="4"/>
      <c r="AQ252" s="4"/>
      <c r="AR252" s="4"/>
      <c r="AS252" s="4"/>
      <c r="AT252" s="4"/>
      <c r="BN252" s="34"/>
    </row>
    <row r="253" spans="1:71" ht="12.95" customHeight="1">
      <c r="A253" s="19"/>
      <c r="B253" s="4"/>
      <c r="C253" s="4"/>
      <c r="D253" s="4" t="s">
        <v>588</v>
      </c>
      <c r="E253" s="4"/>
      <c r="M253" s="1266" t="s">
        <v>2668</v>
      </c>
      <c r="N253" s="1264"/>
      <c r="O253" s="1264"/>
      <c r="P253" s="1264"/>
      <c r="Q253" s="1264"/>
      <c r="R253" s="1264"/>
      <c r="S253" s="1264"/>
      <c r="T253" s="1264"/>
      <c r="V253" s="33" t="s">
        <v>86</v>
      </c>
      <c r="W253" s="1591" t="s">
        <v>1731</v>
      </c>
      <c r="X253" s="1472"/>
      <c r="Y253" s="4" t="s">
        <v>591</v>
      </c>
      <c r="AC253" s="1452">
        <v>97703</v>
      </c>
      <c r="AD253" s="1452"/>
      <c r="AE253" s="1452"/>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451" t="s">
        <v>2669</v>
      </c>
      <c r="N254" s="1452"/>
      <c r="O254" s="1452"/>
      <c r="P254" s="1452"/>
      <c r="Q254" s="1452"/>
      <c r="R254" s="1452"/>
      <c r="S254" s="1452"/>
      <c r="T254" s="1452"/>
      <c r="U254" s="1452"/>
      <c r="V254" s="1452"/>
      <c r="W254" s="1452"/>
      <c r="X254" s="1452"/>
      <c r="Y254" s="1452"/>
      <c r="Z254" s="1452"/>
      <c r="AA254" s="1452"/>
      <c r="AB254" s="1452"/>
      <c r="AC254" s="1452"/>
      <c r="AD254" s="1452"/>
      <c r="AE254" s="1452"/>
      <c r="AH254" s="1787">
        <v>1E-3</v>
      </c>
      <c r="AI254" s="1787"/>
      <c r="AJ254" s="1787"/>
      <c r="AK254" s="1787"/>
      <c r="AL254" s="4"/>
      <c r="AM254" s="4"/>
      <c r="AN254" s="4"/>
      <c r="AO254" s="4"/>
      <c r="AP254" s="4"/>
      <c r="AQ254" s="4"/>
      <c r="AR254" s="4"/>
      <c r="AS254" s="4"/>
      <c r="AT254" s="4"/>
    </row>
    <row r="255" spans="1:71" ht="12.95" customHeight="1">
      <c r="A255" s="19"/>
      <c r="B255" s="4"/>
      <c r="C255" s="4"/>
      <c r="D255" s="4" t="s">
        <v>88</v>
      </c>
      <c r="E255" s="4"/>
      <c r="F255" s="4"/>
      <c r="M255" s="1394" t="s">
        <v>2670</v>
      </c>
      <c r="N255" s="1395"/>
      <c r="O255" s="1395"/>
      <c r="P255" s="1395"/>
      <c r="Q255" s="1395"/>
      <c r="R255" s="1395"/>
      <c r="S255" s="4" t="s">
        <v>207</v>
      </c>
      <c r="T255" s="4"/>
      <c r="U255" s="1472"/>
      <c r="V255" s="1472"/>
      <c r="W255" s="1472"/>
      <c r="X255" s="4" t="s">
        <v>89</v>
      </c>
      <c r="Z255" s="1395"/>
      <c r="AA255" s="1395"/>
      <c r="AB255" s="1395"/>
      <c r="AC255" s="1395"/>
      <c r="AD255" s="1395"/>
      <c r="AE255" s="1395"/>
      <c r="AU255" s="4"/>
      <c r="AV255" s="4"/>
      <c r="AW255" s="4"/>
      <c r="AX255" s="4"/>
      <c r="AY255" s="4"/>
      <c r="BN255" s="34"/>
    </row>
    <row r="256" spans="1:71" ht="12.95" customHeight="1">
      <c r="A256" s="19"/>
      <c r="B256" s="4"/>
      <c r="C256" s="4"/>
      <c r="D256" s="4" t="s">
        <v>90</v>
      </c>
      <c r="E256" s="4"/>
      <c r="F256" s="4"/>
      <c r="M256" s="1778" t="s">
        <v>2671</v>
      </c>
      <c r="N256" s="1778"/>
      <c r="O256" s="1778"/>
      <c r="P256" s="1778"/>
      <c r="Q256" s="1778"/>
      <c r="R256" s="1778"/>
      <c r="S256" s="1778"/>
      <c r="T256" s="1778"/>
      <c r="U256" s="1778"/>
      <c r="V256" s="1778"/>
      <c r="W256" s="1778"/>
      <c r="X256" s="1778"/>
      <c r="Y256" s="1778"/>
      <c r="Z256" s="1778"/>
      <c r="AA256" s="1778"/>
      <c r="AB256" s="1778"/>
      <c r="AC256" s="1778"/>
      <c r="AD256" s="1778"/>
      <c r="AE256" s="177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41" t="s">
        <v>542</v>
      </c>
      <c r="N257" s="1441"/>
      <c r="O257" s="1441"/>
      <c r="P257" s="1441"/>
      <c r="Q257" s="1441"/>
      <c r="R257" s="1441"/>
      <c r="S257" s="1441"/>
      <c r="T257" s="1441"/>
      <c r="U257" s="218" t="s">
        <v>921</v>
      </c>
      <c r="V257" s="218"/>
      <c r="W257" s="218"/>
      <c r="X257" s="218"/>
      <c r="Y257" s="218"/>
      <c r="Z257" s="218"/>
      <c r="AA257" s="1810" t="s">
        <v>2672</v>
      </c>
      <c r="AB257" s="1810"/>
      <c r="AC257" s="1810"/>
      <c r="AD257" s="1810"/>
      <c r="AE257" s="1810"/>
      <c r="AF257" s="1810"/>
      <c r="AG257" s="1810"/>
      <c r="AH257" s="1810"/>
      <c r="AI257" s="1810"/>
      <c r="AJ257" s="1810"/>
      <c r="AK257" s="1810"/>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780" t="s">
        <v>599</v>
      </c>
      <c r="N259" s="1781"/>
      <c r="O259" s="1781"/>
      <c r="P259" s="1781"/>
      <c r="Q259" s="1781"/>
      <c r="R259" s="1781"/>
      <c r="S259" s="1781"/>
      <c r="T259" s="1781"/>
      <c r="U259" s="1781"/>
      <c r="V259" s="1781"/>
      <c r="W259" s="1781"/>
      <c r="X259" s="1781"/>
      <c r="Y259" s="1781"/>
      <c r="Z259" s="1781"/>
      <c r="AA259" s="1781"/>
      <c r="AB259" s="1781"/>
      <c r="AC259" s="1781"/>
      <c r="AD259" s="1781"/>
      <c r="AE259" s="1781"/>
      <c r="AF259" s="1781" t="s">
        <v>308</v>
      </c>
      <c r="AG259" s="1781"/>
      <c r="AH259" s="1781"/>
      <c r="AI259" s="1781"/>
      <c r="AJ259" s="1781"/>
      <c r="AK259" s="178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52"/>
      <c r="N260" s="1452"/>
      <c r="O260" s="1452"/>
      <c r="P260" s="1452"/>
      <c r="Q260" s="1452"/>
      <c r="R260" s="1452"/>
      <c r="S260" s="1452"/>
      <c r="T260" s="1452"/>
      <c r="U260" s="1452"/>
      <c r="V260" s="1452"/>
      <c r="W260" s="1452"/>
      <c r="X260" s="1452"/>
      <c r="Y260" s="1452"/>
      <c r="Z260" s="1452"/>
      <c r="AA260" s="1452"/>
      <c r="AB260" s="1452"/>
      <c r="AC260" s="1452"/>
      <c r="AD260" s="1452"/>
      <c r="AE260" s="1452"/>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52"/>
      <c r="N261" s="1452"/>
      <c r="O261" s="1452"/>
      <c r="P261" s="1452"/>
      <c r="Q261" s="1452"/>
      <c r="R261" s="1452"/>
      <c r="S261" s="1452"/>
      <c r="T261" s="1452"/>
      <c r="V261" s="33" t="s">
        <v>86</v>
      </c>
      <c r="W261" s="1472"/>
      <c r="X261" s="1472"/>
      <c r="Y261" s="4" t="s">
        <v>591</v>
      </c>
      <c r="AC261" s="1452"/>
      <c r="AD261" s="1452"/>
      <c r="AE261" s="1452"/>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52"/>
      <c r="N262" s="1452"/>
      <c r="O262" s="1452"/>
      <c r="P262" s="1452"/>
      <c r="Q262" s="1452"/>
      <c r="R262" s="1452"/>
      <c r="S262" s="1452"/>
      <c r="T262" s="1452"/>
      <c r="U262" s="1452"/>
      <c r="V262" s="1452"/>
      <c r="W262" s="1452"/>
      <c r="X262" s="1452"/>
      <c r="Y262" s="1452"/>
      <c r="Z262" s="1452"/>
      <c r="AA262" s="1452"/>
      <c r="AB262" s="1452"/>
      <c r="AC262" s="1452"/>
      <c r="AD262" s="1452"/>
      <c r="AE262" s="1452"/>
      <c r="AH262" s="1787"/>
      <c r="AI262" s="1787"/>
      <c r="AJ262" s="1787"/>
      <c r="AK262" s="178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5"/>
      <c r="N263" s="1395"/>
      <c r="O263" s="1395"/>
      <c r="P263" s="1395"/>
      <c r="Q263" s="1395"/>
      <c r="R263" s="1395"/>
      <c r="S263" s="4" t="s">
        <v>207</v>
      </c>
      <c r="T263" s="4"/>
      <c r="U263" s="1472"/>
      <c r="V263" s="1472"/>
      <c r="W263" s="1472"/>
      <c r="X263" s="4" t="s">
        <v>89</v>
      </c>
      <c r="Z263" s="1395"/>
      <c r="AA263" s="1395"/>
      <c r="AB263" s="1395"/>
      <c r="AC263" s="1395"/>
      <c r="AD263" s="1395"/>
      <c r="AE263" s="139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8"/>
      <c r="N264" s="1778"/>
      <c r="O264" s="1778"/>
      <c r="P264" s="1778"/>
      <c r="Q264" s="1778"/>
      <c r="R264" s="1778"/>
      <c r="S264" s="1778"/>
      <c r="T264" s="1778"/>
      <c r="U264" s="1778"/>
      <c r="V264" s="1778"/>
      <c r="W264" s="1778"/>
      <c r="X264" s="1778"/>
      <c r="Y264" s="1778"/>
      <c r="Z264" s="1778"/>
      <c r="AA264" s="1813"/>
      <c r="AB264" s="1813"/>
      <c r="AC264" s="1813"/>
      <c r="AD264" s="1813"/>
      <c r="AE264" s="1813"/>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41" t="s">
        <v>308</v>
      </c>
      <c r="N265" s="1441"/>
      <c r="O265" s="1441"/>
      <c r="P265" s="1441"/>
      <c r="Q265" s="1441"/>
      <c r="R265" s="1441"/>
      <c r="S265" s="1441"/>
      <c r="T265" s="1441"/>
      <c r="U265" s="218" t="s">
        <v>921</v>
      </c>
      <c r="V265" s="218"/>
      <c r="W265" s="218"/>
      <c r="X265" s="218"/>
      <c r="Y265" s="218"/>
      <c r="Z265" s="218"/>
      <c r="AA265" s="1812"/>
      <c r="AB265" s="1812"/>
      <c r="AC265" s="1812"/>
      <c r="AD265" s="1812"/>
      <c r="AE265" s="1812"/>
      <c r="AF265" s="1812"/>
      <c r="AG265" s="1812"/>
      <c r="AH265" s="1812"/>
      <c r="AI265" s="1812"/>
      <c r="AJ265" s="1812"/>
      <c r="AK265" s="1812"/>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811" t="str">
        <f>IFERROR(BO245,"")</f>
        <v>Joint Venture</v>
      </c>
      <c r="U267" s="1811"/>
      <c r="V267" s="1811"/>
      <c r="W267" s="1811"/>
      <c r="X267" s="1811"/>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52" t="s">
        <v>281</v>
      </c>
      <c r="E270" s="1452"/>
      <c r="F270" s="1452"/>
      <c r="G270" s="1452"/>
      <c r="H270" s="1452"/>
      <c r="J270" t="s">
        <v>280</v>
      </c>
      <c r="X270" s="1501"/>
      <c r="Y270" s="1501"/>
      <c r="Z270" s="1501"/>
      <c r="AA270" s="1501"/>
      <c r="AB270" s="1501"/>
      <c r="AC270" s="1501"/>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780" t="s">
        <v>2661</v>
      </c>
      <c r="M274" s="1781"/>
      <c r="N274" s="1781"/>
      <c r="O274" s="1781"/>
      <c r="P274" s="1781"/>
      <c r="Q274" s="1781"/>
      <c r="R274" s="1781"/>
      <c r="S274" s="1781"/>
      <c r="T274" s="1781"/>
      <c r="U274" s="1781"/>
      <c r="V274" s="1781"/>
      <c r="W274" s="1781"/>
      <c r="X274" s="1781"/>
      <c r="Y274" s="1781"/>
      <c r="Z274" s="1781"/>
      <c r="AA274" s="1781"/>
      <c r="AB274" s="1781"/>
      <c r="AC274" s="1781"/>
      <c r="AD274" s="1781"/>
      <c r="AE274" s="1781"/>
      <c r="AF274" s="1781"/>
      <c r="AG274" s="1781"/>
      <c r="AH274" s="1781"/>
      <c r="AI274" s="1781"/>
      <c r="AJ274" s="178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51" t="s">
        <v>2655</v>
      </c>
      <c r="M275" s="1452"/>
      <c r="N275" s="1452"/>
      <c r="O275" s="1452"/>
      <c r="P275" s="1452"/>
      <c r="Q275" s="1452"/>
      <c r="R275" s="1452"/>
      <c r="S275" s="1452"/>
      <c r="T275" s="1452"/>
      <c r="U275" s="1452"/>
      <c r="V275" s="1452"/>
      <c r="W275" s="1452"/>
      <c r="X275" s="1452"/>
      <c r="Y275" s="1452"/>
      <c r="Z275" s="1452"/>
      <c r="AA275" s="1452"/>
      <c r="AB275" s="1452"/>
      <c r="AC275" s="1452"/>
      <c r="AD275" s="1452"/>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51" t="s">
        <v>739</v>
      </c>
      <c r="M276" s="1452"/>
      <c r="N276" s="1452"/>
      <c r="O276" s="1452"/>
      <c r="P276" s="1452"/>
      <c r="Q276" s="1452"/>
      <c r="R276" s="1452"/>
      <c r="S276" s="1452"/>
      <c r="U276" s="33" t="s">
        <v>86</v>
      </c>
      <c r="V276" s="1591" t="s">
        <v>2656</v>
      </c>
      <c r="W276" s="1472"/>
      <c r="X276" s="4" t="s">
        <v>591</v>
      </c>
      <c r="AB276" s="1452">
        <v>94115</v>
      </c>
      <c r="AC276" s="1452"/>
      <c r="AD276" s="1452"/>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51" t="s">
        <v>2657</v>
      </c>
      <c r="M277" s="1452"/>
      <c r="N277" s="1452"/>
      <c r="O277" s="1452"/>
      <c r="P277" s="1452"/>
      <c r="Q277" s="1452"/>
      <c r="R277" s="1452"/>
      <c r="S277" s="1452"/>
      <c r="T277" s="1452"/>
      <c r="U277" s="1452"/>
      <c r="V277" s="1452"/>
      <c r="W277" s="1452"/>
      <c r="X277" s="1452"/>
      <c r="Y277" s="1452"/>
      <c r="Z277" s="1452"/>
      <c r="AA277" s="1452"/>
      <c r="AB277" s="1452"/>
      <c r="AC277" s="1452"/>
      <c r="AD277" s="1452"/>
      <c r="AI277" s="4"/>
      <c r="AJ277" s="4"/>
      <c r="AK277" s="3"/>
      <c r="AL277" s="3"/>
      <c r="AM277" s="3"/>
      <c r="AN277" s="3"/>
      <c r="AO277" s="3"/>
      <c r="AP277" s="3"/>
      <c r="AQ277" s="3"/>
      <c r="AR277" s="3"/>
      <c r="AS277" s="3"/>
      <c r="AT277" s="3"/>
      <c r="BN277" s="34"/>
    </row>
    <row r="278" spans="1:66" ht="12.95" customHeight="1">
      <c r="D278" s="4" t="s">
        <v>88</v>
      </c>
      <c r="E278" s="4"/>
      <c r="F278" s="4"/>
      <c r="L278" s="1394" t="s">
        <v>2658</v>
      </c>
      <c r="M278" s="1395"/>
      <c r="N278" s="1395"/>
      <c r="O278" s="1395"/>
      <c r="P278" s="1395"/>
      <c r="Q278" s="1395"/>
      <c r="R278" s="4" t="s">
        <v>207</v>
      </c>
      <c r="S278" s="4"/>
      <c r="T278" s="1472"/>
      <c r="U278" s="1472"/>
      <c r="V278" s="1472"/>
      <c r="W278" s="4" t="s">
        <v>89</v>
      </c>
      <c r="Y278" s="1395"/>
      <c r="Z278" s="1395"/>
      <c r="AA278" s="1395"/>
      <c r="AB278" s="1395"/>
      <c r="AC278" s="1395"/>
      <c r="AD278" s="1395"/>
      <c r="BN278" s="34"/>
    </row>
    <row r="279" spans="1:66" ht="12.95" customHeight="1">
      <c r="D279" s="4" t="s">
        <v>90</v>
      </c>
      <c r="E279" s="4"/>
      <c r="F279" s="4"/>
      <c r="L279" s="1778" t="s">
        <v>2663</v>
      </c>
      <c r="M279" s="1778"/>
      <c r="N279" s="1778"/>
      <c r="O279" s="1778"/>
      <c r="P279" s="1778"/>
      <c r="Q279" s="1778"/>
      <c r="R279" s="1778"/>
      <c r="S279" s="1778"/>
      <c r="T279" s="1778"/>
      <c r="U279" s="1778"/>
      <c r="V279" s="1778"/>
      <c r="W279" s="1778"/>
      <c r="X279" s="1778"/>
      <c r="Y279" s="1778"/>
      <c r="Z279" s="1778"/>
      <c r="AA279" s="1778"/>
      <c r="AB279" s="1778"/>
      <c r="AC279" s="1778"/>
      <c r="AD279" s="1778"/>
      <c r="AF279" s="4"/>
      <c r="AG279" s="4"/>
      <c r="AH279" s="4"/>
      <c r="AI279" s="4"/>
      <c r="AJ279" s="4"/>
      <c r="AU279" s="3"/>
      <c r="AV279" s="3"/>
      <c r="AW279" s="3"/>
      <c r="AX279" s="3"/>
      <c r="AY279" s="3"/>
      <c r="BN279" s="34"/>
    </row>
    <row r="280" spans="1:66" ht="12.95" customHeight="1">
      <c r="D280" s="3" t="s">
        <v>631</v>
      </c>
      <c r="E280" s="3"/>
      <c r="F280" s="3"/>
      <c r="G280" s="3"/>
      <c r="H280" s="3"/>
      <c r="I280" s="3"/>
      <c r="L280" s="1591" t="s">
        <v>2673</v>
      </c>
      <c r="M280" s="1591"/>
      <c r="N280" s="1591"/>
      <c r="O280" s="1591"/>
      <c r="P280" s="1591"/>
      <c r="Q280" s="1591"/>
      <c r="R280" s="1591"/>
      <c r="S280" s="1591"/>
      <c r="T280" s="1591"/>
      <c r="U280" s="1591"/>
      <c r="V280" s="1591"/>
      <c r="W280" s="1591"/>
      <c r="X280" s="1591"/>
      <c r="Y280" s="1591"/>
      <c r="Z280" s="1591"/>
      <c r="AA280" s="1591"/>
      <c r="AB280" s="1591"/>
      <c r="AC280" s="1591"/>
      <c r="AD280" s="1591"/>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56" t="s">
        <v>549</v>
      </c>
      <c r="B282" s="1456"/>
      <c r="C282" s="1456"/>
      <c r="D282" s="1456"/>
      <c r="E282" s="1456"/>
      <c r="F282" s="1456"/>
      <c r="G282" s="1456"/>
      <c r="H282" s="1456"/>
      <c r="I282" s="1456"/>
      <c r="J282" s="1456"/>
      <c r="K282" s="1456"/>
      <c r="L282" s="1456"/>
      <c r="M282" s="1456"/>
      <c r="N282" s="1456"/>
      <c r="O282" s="1456"/>
      <c r="P282" s="1456"/>
      <c r="Q282" s="1456"/>
      <c r="R282" s="1456"/>
      <c r="S282" s="1456"/>
      <c r="T282" s="1456"/>
      <c r="U282" s="1456"/>
      <c r="V282" s="1456"/>
      <c r="W282" s="1456"/>
      <c r="X282" s="1456"/>
      <c r="Y282" s="1456"/>
      <c r="Z282" s="1456"/>
      <c r="AA282" s="1456"/>
      <c r="AB282" s="1456"/>
      <c r="AC282" s="1456"/>
      <c r="AD282" s="1456"/>
      <c r="AE282" s="1456"/>
      <c r="AF282" s="1456"/>
      <c r="AG282" s="1456"/>
      <c r="AH282" s="1456"/>
      <c r="AI282" s="1456"/>
      <c r="AJ282" s="1456"/>
      <c r="AK282" s="1456"/>
      <c r="AL282" s="1456"/>
      <c r="AM282" s="1456"/>
      <c r="AN282" s="1456"/>
      <c r="AO282" s="1456"/>
      <c r="AP282" s="1456"/>
      <c r="AQ282" s="1456"/>
      <c r="AR282" s="1456"/>
      <c r="AS282" s="1456"/>
      <c r="AT282" s="1456"/>
      <c r="AU282" s="95"/>
      <c r="AV282" s="95"/>
      <c r="AW282" s="95"/>
      <c r="AX282" s="95"/>
      <c r="AY282" s="95"/>
      <c r="BN282" s="34"/>
    </row>
    <row r="283" spans="1:66" ht="12.95" customHeight="1">
      <c r="A283" s="1456"/>
      <c r="B283" s="1456"/>
      <c r="C283" s="1456"/>
      <c r="D283" s="1456"/>
      <c r="E283" s="1456"/>
      <c r="F283" s="1456"/>
      <c r="G283" s="1456"/>
      <c r="H283" s="1456"/>
      <c r="I283" s="1456"/>
      <c r="J283" s="1456"/>
      <c r="K283" s="1456"/>
      <c r="L283" s="1456"/>
      <c r="M283" s="1456"/>
      <c r="N283" s="1456"/>
      <c r="O283" s="1456"/>
      <c r="P283" s="1456"/>
      <c r="Q283" s="1456"/>
      <c r="R283" s="1456"/>
      <c r="S283" s="1456"/>
      <c r="T283" s="1456"/>
      <c r="U283" s="1456"/>
      <c r="V283" s="1456"/>
      <c r="W283" s="1456"/>
      <c r="X283" s="1456"/>
      <c r="Y283" s="1456"/>
      <c r="Z283" s="1456"/>
      <c r="AA283" s="1456"/>
      <c r="AB283" s="1456"/>
      <c r="AC283" s="1456"/>
      <c r="AD283" s="1456"/>
      <c r="AE283" s="1456"/>
      <c r="AF283" s="1456"/>
      <c r="AG283" s="1456"/>
      <c r="AH283" s="1456"/>
      <c r="AI283" s="1456"/>
      <c r="AJ283" s="1456"/>
      <c r="AK283" s="1456"/>
      <c r="AL283" s="1456"/>
      <c r="AM283" s="1456"/>
      <c r="AN283" s="1456"/>
      <c r="AO283" s="1456"/>
      <c r="AP283" s="1456"/>
      <c r="AQ283" s="1456"/>
      <c r="AR283" s="1456"/>
      <c r="AS283" s="1456"/>
      <c r="AT283" s="145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84" t="s">
        <v>2674</v>
      </c>
      <c r="I287" s="1384"/>
      <c r="J287" s="1384"/>
      <c r="K287" s="1384"/>
      <c r="L287" s="1384"/>
      <c r="M287" s="1384"/>
      <c r="N287" s="1384"/>
      <c r="O287" s="1384"/>
      <c r="P287" s="1384"/>
      <c r="Q287" s="1384"/>
      <c r="R287" s="1384"/>
      <c r="T287" s="3" t="s">
        <v>575</v>
      </c>
      <c r="V287" s="3"/>
      <c r="W287" s="3"/>
      <c r="X287" s="3"/>
      <c r="Y287" s="3"/>
      <c r="AA287" s="1384" t="s">
        <v>2676</v>
      </c>
      <c r="AB287" s="1384"/>
      <c r="AC287" s="1384"/>
      <c r="AD287" s="1384"/>
      <c r="AE287" s="1384"/>
      <c r="AF287" s="1384"/>
      <c r="AG287" s="1384"/>
      <c r="AH287" s="1384"/>
      <c r="AI287" s="1384"/>
      <c r="AJ287" s="1384"/>
      <c r="AK287" s="1384"/>
      <c r="BN287" s="34"/>
    </row>
    <row r="288" spans="1:66" ht="12.95" customHeight="1">
      <c r="B288" s="3" t="s">
        <v>479</v>
      </c>
      <c r="C288" s="3"/>
      <c r="D288" s="3"/>
      <c r="E288" s="3"/>
      <c r="F288" s="3"/>
      <c r="H288" s="1441" t="s">
        <v>2655</v>
      </c>
      <c r="I288" s="1441"/>
      <c r="J288" s="1441"/>
      <c r="K288" s="1441"/>
      <c r="L288" s="1441"/>
      <c r="M288" s="1441"/>
      <c r="N288" s="1441"/>
      <c r="O288" s="1441"/>
      <c r="P288" s="1441"/>
      <c r="Q288" s="1441"/>
      <c r="R288" s="1441"/>
      <c r="T288" s="3" t="s">
        <v>479</v>
      </c>
      <c r="V288" s="3"/>
      <c r="W288" s="3"/>
      <c r="X288" s="3"/>
      <c r="Y288" s="3"/>
      <c r="AA288" s="1441" t="s">
        <v>2677</v>
      </c>
      <c r="AB288" s="1441"/>
      <c r="AC288" s="1441"/>
      <c r="AD288" s="1441"/>
      <c r="AE288" s="1441"/>
      <c r="AF288" s="1441"/>
      <c r="AG288" s="1441"/>
      <c r="AH288" s="1441"/>
      <c r="AI288" s="1441"/>
      <c r="AJ288" s="1441"/>
      <c r="AK288" s="1441"/>
      <c r="BN288" s="34"/>
    </row>
    <row r="289" spans="2:66" ht="12.95" customHeight="1">
      <c r="B289" s="3" t="s">
        <v>480</v>
      </c>
      <c r="C289" s="3"/>
      <c r="D289" s="3"/>
      <c r="E289" s="3"/>
      <c r="F289" s="3"/>
      <c r="H289" s="1441" t="s">
        <v>2675</v>
      </c>
      <c r="I289" s="1441"/>
      <c r="J289" s="1441"/>
      <c r="K289" s="1441"/>
      <c r="L289" s="1441"/>
      <c r="M289" s="1441"/>
      <c r="N289" s="1441"/>
      <c r="O289" s="1441"/>
      <c r="P289" s="1441"/>
      <c r="Q289" s="1441"/>
      <c r="R289" s="1441"/>
      <c r="T289" s="3" t="s">
        <v>75</v>
      </c>
      <c r="V289" s="3"/>
      <c r="W289" s="3"/>
      <c r="X289" s="3"/>
      <c r="Y289" s="3"/>
      <c r="AA289" s="1441" t="s">
        <v>2678</v>
      </c>
      <c r="AB289" s="1441"/>
      <c r="AC289" s="1441"/>
      <c r="AD289" s="1441"/>
      <c r="AE289" s="1441"/>
      <c r="AF289" s="1441"/>
      <c r="AG289" s="1441"/>
      <c r="AH289" s="1441"/>
      <c r="AI289" s="1441"/>
      <c r="AJ289" s="1441"/>
      <c r="AK289" s="1441"/>
      <c r="BN289" s="34"/>
    </row>
    <row r="290" spans="2:66" ht="12.95" customHeight="1">
      <c r="B290" s="3" t="s">
        <v>87</v>
      </c>
      <c r="C290" s="3"/>
      <c r="D290" s="3"/>
      <c r="E290" s="3"/>
      <c r="F290" s="3"/>
      <c r="H290" s="1441" t="s">
        <v>2657</v>
      </c>
      <c r="I290" s="1441"/>
      <c r="J290" s="1441"/>
      <c r="K290" s="1441"/>
      <c r="L290" s="1441"/>
      <c r="M290" s="1441"/>
      <c r="N290" s="1441"/>
      <c r="O290" s="1441"/>
      <c r="P290" s="1441"/>
      <c r="Q290" s="1441"/>
      <c r="R290" s="1441"/>
      <c r="T290" s="3" t="s">
        <v>87</v>
      </c>
      <c r="V290" s="3"/>
      <c r="W290" s="3"/>
      <c r="X290" s="3"/>
      <c r="Y290" s="3"/>
      <c r="AA290" s="1441" t="s">
        <v>2679</v>
      </c>
      <c r="AB290" s="1441"/>
      <c r="AC290" s="1441"/>
      <c r="AD290" s="1441"/>
      <c r="AE290" s="1441"/>
      <c r="AF290" s="1441"/>
      <c r="AG290" s="1441"/>
      <c r="AH290" s="1441"/>
      <c r="AI290" s="1441"/>
      <c r="AJ290" s="1441"/>
      <c r="AK290" s="1441"/>
      <c r="BN290" s="34"/>
    </row>
    <row r="291" spans="2:66" ht="12.95" customHeight="1">
      <c r="B291" s="3" t="s">
        <v>88</v>
      </c>
      <c r="C291" s="3"/>
      <c r="D291" s="3"/>
      <c r="E291" s="3"/>
      <c r="F291" s="3"/>
      <c r="G291" s="3"/>
      <c r="H291" s="1473" t="s">
        <v>2658</v>
      </c>
      <c r="I291" s="1473"/>
      <c r="J291" s="1473"/>
      <c r="K291" s="1473"/>
      <c r="L291" s="1473"/>
      <c r="M291" s="1473"/>
      <c r="N291" s="4" t="s">
        <v>207</v>
      </c>
      <c r="O291" s="4"/>
      <c r="P291" s="1452"/>
      <c r="Q291" s="1452"/>
      <c r="R291" s="1452"/>
      <c r="S291" s="3"/>
      <c r="T291" s="3" t="s">
        <v>88</v>
      </c>
      <c r="V291" s="3"/>
      <c r="W291" s="3"/>
      <c r="X291" s="3"/>
      <c r="Y291" s="3"/>
      <c r="AA291" s="1473" t="s">
        <v>2680</v>
      </c>
      <c r="AB291" s="1473"/>
      <c r="AC291" s="1473"/>
      <c r="AD291" s="1473"/>
      <c r="AE291" s="1473"/>
      <c r="AF291" s="1473"/>
      <c r="AG291" s="4" t="s">
        <v>207</v>
      </c>
      <c r="AH291" s="4"/>
      <c r="AI291" s="1452"/>
      <c r="AJ291" s="1452"/>
      <c r="AK291" s="1452"/>
      <c r="BN291" s="34"/>
    </row>
    <row r="292" spans="2:66" ht="12.95" customHeight="1">
      <c r="B292" s="3" t="s">
        <v>89</v>
      </c>
      <c r="C292" s="3"/>
      <c r="D292" s="3"/>
      <c r="E292" s="3"/>
      <c r="F292" s="3"/>
      <c r="G292" s="3"/>
      <c r="H292" s="1395"/>
      <c r="I292" s="1395"/>
      <c r="J292" s="1395"/>
      <c r="K292" s="1395"/>
      <c r="L292" s="1395"/>
      <c r="M292" s="1395"/>
      <c r="N292" s="4"/>
      <c r="O292" s="4"/>
      <c r="P292" s="35"/>
      <c r="Q292" s="35"/>
      <c r="R292" s="35"/>
      <c r="S292" s="3"/>
      <c r="T292" s="3" t="s">
        <v>89</v>
      </c>
      <c r="V292" s="3"/>
      <c r="W292" s="3"/>
      <c r="X292" s="3"/>
      <c r="Y292" s="3"/>
      <c r="AA292" s="1394" t="s">
        <v>2681</v>
      </c>
      <c r="AB292" s="1395"/>
      <c r="AC292" s="1395"/>
      <c r="AD292" s="1395"/>
      <c r="AE292" s="1395"/>
      <c r="AF292" s="1395"/>
      <c r="AG292" s="4"/>
      <c r="AH292" s="4"/>
      <c r="AI292" s="35"/>
      <c r="AJ292" s="35"/>
      <c r="AK292" s="35"/>
      <c r="BN292" s="34"/>
    </row>
    <row r="293" spans="2:66" ht="12.95" customHeight="1">
      <c r="B293" s="3" t="s">
        <v>76</v>
      </c>
      <c r="C293" s="3"/>
      <c r="D293" s="3"/>
      <c r="E293" s="3"/>
      <c r="F293" s="3"/>
      <c r="G293" s="3"/>
      <c r="H293" s="1441" t="s">
        <v>2663</v>
      </c>
      <c r="I293" s="1441"/>
      <c r="J293" s="1441"/>
      <c r="K293" s="1441"/>
      <c r="L293" s="1441"/>
      <c r="M293" s="1441"/>
      <c r="N293" s="1384"/>
      <c r="O293" s="1384"/>
      <c r="P293" s="1384"/>
      <c r="Q293" s="1384"/>
      <c r="R293" s="1384"/>
      <c r="S293" s="3"/>
      <c r="T293" s="3" t="s">
        <v>76</v>
      </c>
      <c r="V293" s="3"/>
      <c r="W293" s="3"/>
      <c r="X293" s="3"/>
      <c r="Y293" s="3"/>
      <c r="AA293" s="1441" t="s">
        <v>2682</v>
      </c>
      <c r="AB293" s="1441"/>
      <c r="AC293" s="1441"/>
      <c r="AD293" s="1441"/>
      <c r="AE293" s="1441"/>
      <c r="AF293" s="1441"/>
      <c r="AG293" s="1384"/>
      <c r="AH293" s="1384"/>
      <c r="AI293" s="1384"/>
      <c r="AJ293" s="1384"/>
      <c r="AK293" s="1384"/>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84" t="s">
        <v>2683</v>
      </c>
      <c r="I295" s="1384"/>
      <c r="J295" s="1384"/>
      <c r="K295" s="1384"/>
      <c r="L295" s="1384"/>
      <c r="M295" s="1384"/>
      <c r="N295" s="1384"/>
      <c r="O295" s="1384"/>
      <c r="P295" s="1384"/>
      <c r="Q295" s="1384"/>
      <c r="R295" s="1384"/>
      <c r="T295" s="3" t="s">
        <v>365</v>
      </c>
      <c r="V295" s="3"/>
      <c r="W295" s="3"/>
      <c r="X295" s="3"/>
      <c r="Y295" s="3"/>
      <c r="AA295" s="1384" t="s">
        <v>2690</v>
      </c>
      <c r="AB295" s="1384"/>
      <c r="AC295" s="1384"/>
      <c r="AD295" s="1384"/>
      <c r="AE295" s="1384"/>
      <c r="AF295" s="1384"/>
      <c r="AG295" s="1384"/>
      <c r="AH295" s="1384"/>
      <c r="AI295" s="1384"/>
      <c r="AJ295" s="1384"/>
      <c r="AK295" s="1384"/>
      <c r="BN295" s="34"/>
    </row>
    <row r="296" spans="2:66" ht="12.95" customHeight="1">
      <c r="B296" s="3" t="s">
        <v>479</v>
      </c>
      <c r="C296" s="3"/>
      <c r="D296" s="3"/>
      <c r="E296" s="3"/>
      <c r="F296" s="3"/>
      <c r="H296" s="1441" t="s">
        <v>2684</v>
      </c>
      <c r="I296" s="1441"/>
      <c r="J296" s="1441"/>
      <c r="K296" s="1441"/>
      <c r="L296" s="1441"/>
      <c r="M296" s="1441"/>
      <c r="N296" s="1441"/>
      <c r="O296" s="1441"/>
      <c r="P296" s="1441"/>
      <c r="Q296" s="1441"/>
      <c r="R296" s="1441"/>
      <c r="T296" s="3" t="s">
        <v>479</v>
      </c>
      <c r="V296" s="3"/>
      <c r="W296" s="3"/>
      <c r="X296" s="3"/>
      <c r="Y296" s="3"/>
      <c r="AA296" s="1441" t="s">
        <v>2691</v>
      </c>
      <c r="AB296" s="1441"/>
      <c r="AC296" s="1441"/>
      <c r="AD296" s="1441"/>
      <c r="AE296" s="1441"/>
      <c r="AF296" s="1441"/>
      <c r="AG296" s="1441"/>
      <c r="AH296" s="1441"/>
      <c r="AI296" s="1441"/>
      <c r="AJ296" s="1441"/>
      <c r="AK296" s="1441"/>
      <c r="BN296" s="34"/>
    </row>
    <row r="297" spans="2:66" ht="12.95" customHeight="1">
      <c r="B297" s="3" t="s">
        <v>480</v>
      </c>
      <c r="C297" s="3"/>
      <c r="D297" s="3"/>
      <c r="E297" s="3"/>
      <c r="F297" s="3"/>
      <c r="H297" s="1441" t="s">
        <v>2685</v>
      </c>
      <c r="I297" s="1441"/>
      <c r="J297" s="1441"/>
      <c r="K297" s="1441"/>
      <c r="L297" s="1441"/>
      <c r="M297" s="1441"/>
      <c r="N297" s="1441"/>
      <c r="O297" s="1441"/>
      <c r="P297" s="1441"/>
      <c r="Q297" s="1441"/>
      <c r="R297" s="1441"/>
      <c r="T297" s="3" t="s">
        <v>75</v>
      </c>
      <c r="V297" s="3"/>
      <c r="W297" s="3"/>
      <c r="X297" s="3"/>
      <c r="Y297" s="3"/>
      <c r="AA297" s="1441" t="s">
        <v>2692</v>
      </c>
      <c r="AB297" s="1441"/>
      <c r="AC297" s="1441"/>
      <c r="AD297" s="1441"/>
      <c r="AE297" s="1441"/>
      <c r="AF297" s="1441"/>
      <c r="AG297" s="1441"/>
      <c r="AH297" s="1441"/>
      <c r="AI297" s="1441"/>
      <c r="AJ297" s="1441"/>
      <c r="AK297" s="1441"/>
      <c r="BN297" s="34"/>
    </row>
    <row r="298" spans="2:66" ht="12.95" customHeight="1">
      <c r="B298" s="3" t="s">
        <v>87</v>
      </c>
      <c r="C298" s="3"/>
      <c r="D298" s="3"/>
      <c r="E298" s="3"/>
      <c r="F298" s="3"/>
      <c r="H298" s="1441" t="s">
        <v>2686</v>
      </c>
      <c r="I298" s="1441"/>
      <c r="J298" s="1441"/>
      <c r="K298" s="1441"/>
      <c r="L298" s="1441"/>
      <c r="M298" s="1441"/>
      <c r="N298" s="1441"/>
      <c r="O298" s="1441"/>
      <c r="P298" s="1441"/>
      <c r="Q298" s="1441"/>
      <c r="R298" s="1441"/>
      <c r="T298" s="3" t="s">
        <v>87</v>
      </c>
      <c r="V298" s="3"/>
      <c r="W298" s="3"/>
      <c r="X298" s="3"/>
      <c r="Y298" s="3"/>
      <c r="AA298" s="1441" t="s">
        <v>2693</v>
      </c>
      <c r="AB298" s="1441"/>
      <c r="AC298" s="1441"/>
      <c r="AD298" s="1441"/>
      <c r="AE298" s="1441"/>
      <c r="AF298" s="1441"/>
      <c r="AG298" s="1441"/>
      <c r="AH298" s="1441"/>
      <c r="AI298" s="1441"/>
      <c r="AJ298" s="1441"/>
      <c r="AK298" s="1441"/>
      <c r="BN298" s="34"/>
    </row>
    <row r="299" spans="2:66" ht="12.95" customHeight="1">
      <c r="B299" s="3" t="s">
        <v>88</v>
      </c>
      <c r="C299" s="3"/>
      <c r="D299" s="3"/>
      <c r="E299" s="3"/>
      <c r="F299" s="3"/>
      <c r="G299" s="3"/>
      <c r="H299" s="1473" t="s">
        <v>2687</v>
      </c>
      <c r="I299" s="1473"/>
      <c r="J299" s="1473"/>
      <c r="K299" s="1473"/>
      <c r="L299" s="1473"/>
      <c r="M299" s="1473"/>
      <c r="N299" s="4" t="s">
        <v>207</v>
      </c>
      <c r="O299" s="4"/>
      <c r="P299" s="1452"/>
      <c r="Q299" s="1452"/>
      <c r="R299" s="1452"/>
      <c r="S299" s="3"/>
      <c r="T299" s="3" t="s">
        <v>88</v>
      </c>
      <c r="V299" s="3"/>
      <c r="W299" s="3"/>
      <c r="X299" s="3"/>
      <c r="Y299" s="3"/>
      <c r="AA299" s="1473" t="s">
        <v>2694</v>
      </c>
      <c r="AB299" s="1473"/>
      <c r="AC299" s="1473"/>
      <c r="AD299" s="1473"/>
      <c r="AE299" s="1473"/>
      <c r="AF299" s="1473"/>
      <c r="AG299" s="4" t="s">
        <v>207</v>
      </c>
      <c r="AH299" s="4"/>
      <c r="AI299" s="1452"/>
      <c r="AJ299" s="1452"/>
      <c r="AK299" s="1452"/>
      <c r="BN299" s="34"/>
    </row>
    <row r="300" spans="2:66" ht="12.95" customHeight="1">
      <c r="B300" s="3" t="s">
        <v>89</v>
      </c>
      <c r="C300" s="3"/>
      <c r="D300" s="3"/>
      <c r="E300" s="3"/>
      <c r="F300" s="3"/>
      <c r="G300" s="3"/>
      <c r="H300" s="1394" t="s">
        <v>2688</v>
      </c>
      <c r="I300" s="1395"/>
      <c r="J300" s="1395"/>
      <c r="K300" s="1395"/>
      <c r="L300" s="1395"/>
      <c r="M300" s="1395"/>
      <c r="N300" s="4"/>
      <c r="O300" s="4"/>
      <c r="P300" s="35"/>
      <c r="Q300" s="35"/>
      <c r="R300" s="35"/>
      <c r="S300" s="3"/>
      <c r="T300" s="3" t="s">
        <v>89</v>
      </c>
      <c r="V300" s="3"/>
      <c r="W300" s="3"/>
      <c r="X300" s="3"/>
      <c r="Y300" s="3"/>
      <c r="AA300" s="1394" t="s">
        <v>2695</v>
      </c>
      <c r="AB300" s="1395"/>
      <c r="AC300" s="1395"/>
      <c r="AD300" s="1395"/>
      <c r="AE300" s="1395"/>
      <c r="AF300" s="1395"/>
      <c r="AG300" s="4"/>
      <c r="AH300" s="4"/>
      <c r="AI300" s="35"/>
      <c r="AJ300" s="35"/>
      <c r="AK300" s="35"/>
      <c r="BN300" s="34"/>
    </row>
    <row r="301" spans="2:66" ht="12.95" customHeight="1">
      <c r="B301" s="3" t="s">
        <v>76</v>
      </c>
      <c r="C301" s="3"/>
      <c r="D301" s="3"/>
      <c r="E301" s="3"/>
      <c r="F301" s="3"/>
      <c r="G301" s="3"/>
      <c r="H301" s="1441" t="s">
        <v>2689</v>
      </c>
      <c r="I301" s="1441"/>
      <c r="J301" s="1441"/>
      <c r="K301" s="1441"/>
      <c r="L301" s="1441"/>
      <c r="M301" s="1441"/>
      <c r="N301" s="1384"/>
      <c r="O301" s="1384"/>
      <c r="P301" s="1384"/>
      <c r="Q301" s="1384"/>
      <c r="R301" s="1384"/>
      <c r="S301" s="3"/>
      <c r="T301" s="3" t="s">
        <v>76</v>
      </c>
      <c r="V301" s="3"/>
      <c r="W301" s="3"/>
      <c r="X301" s="3"/>
      <c r="Y301" s="3"/>
      <c r="AA301" s="1441" t="s">
        <v>2696</v>
      </c>
      <c r="AB301" s="1441"/>
      <c r="AC301" s="1441"/>
      <c r="AD301" s="1441"/>
      <c r="AE301" s="1441"/>
      <c r="AF301" s="1441"/>
      <c r="AG301" s="1384"/>
      <c r="AH301" s="1384"/>
      <c r="AI301" s="1384"/>
      <c r="AJ301" s="1384"/>
      <c r="AK301" s="1384"/>
      <c r="BN301" s="34"/>
    </row>
    <row r="302" spans="2:66" ht="12.95" customHeight="1">
      <c r="BN302" s="34"/>
    </row>
    <row r="303" spans="2:66" ht="12.95" customHeight="1">
      <c r="B303" s="3" t="s">
        <v>77</v>
      </c>
      <c r="C303" s="3"/>
      <c r="D303" s="3"/>
      <c r="E303" s="3"/>
      <c r="F303" s="3"/>
      <c r="H303" s="1384" t="s">
        <v>2697</v>
      </c>
      <c r="I303" s="1384"/>
      <c r="J303" s="1384"/>
      <c r="K303" s="1384"/>
      <c r="L303" s="1384"/>
      <c r="M303" s="1384"/>
      <c r="N303" s="1384"/>
      <c r="O303" s="1384"/>
      <c r="P303" s="1384"/>
      <c r="Q303" s="1384"/>
      <c r="R303" s="1384"/>
      <c r="T303" s="4" t="s">
        <v>890</v>
      </c>
      <c r="V303" s="3"/>
      <c r="W303" s="3"/>
      <c r="X303" s="3"/>
      <c r="Y303" s="3"/>
      <c r="AA303" s="1384" t="s">
        <v>2703</v>
      </c>
      <c r="AB303" s="1384"/>
      <c r="AC303" s="1384"/>
      <c r="AD303" s="1384"/>
      <c r="AE303" s="1384"/>
      <c r="AF303" s="1384"/>
      <c r="AG303" s="1384"/>
      <c r="AH303" s="1384"/>
      <c r="AI303" s="1384"/>
      <c r="AJ303" s="1384"/>
      <c r="AK303" s="1384"/>
      <c r="BN303" s="34"/>
    </row>
    <row r="304" spans="2:66" ht="12.95" customHeight="1">
      <c r="B304" s="3" t="s">
        <v>479</v>
      </c>
      <c r="C304" s="3"/>
      <c r="D304" s="3"/>
      <c r="E304" s="3"/>
      <c r="F304" s="3"/>
      <c r="H304" s="1441" t="s">
        <v>2698</v>
      </c>
      <c r="I304" s="1441"/>
      <c r="J304" s="1441"/>
      <c r="K304" s="1441"/>
      <c r="L304" s="1441"/>
      <c r="M304" s="1441"/>
      <c r="N304" s="1441"/>
      <c r="O304" s="1441"/>
      <c r="P304" s="1441"/>
      <c r="Q304" s="1441"/>
      <c r="R304" s="1441"/>
      <c r="T304" s="3" t="s">
        <v>479</v>
      </c>
      <c r="V304" s="3"/>
      <c r="W304" s="3"/>
      <c r="X304" s="3"/>
      <c r="Y304" s="3"/>
      <c r="AA304" s="1441" t="s">
        <v>2704</v>
      </c>
      <c r="AB304" s="1441"/>
      <c r="AC304" s="1441"/>
      <c r="AD304" s="1441"/>
      <c r="AE304" s="1441"/>
      <c r="AF304" s="1441"/>
      <c r="AG304" s="1441"/>
      <c r="AH304" s="1441"/>
      <c r="AI304" s="1441"/>
      <c r="AJ304" s="1441"/>
      <c r="AK304" s="1441"/>
      <c r="BN304" s="34"/>
    </row>
    <row r="305" spans="2:66" ht="12.95" customHeight="1">
      <c r="B305" s="3" t="s">
        <v>480</v>
      </c>
      <c r="C305" s="3"/>
      <c r="D305" s="3"/>
      <c r="E305" s="3"/>
      <c r="F305" s="3"/>
      <c r="H305" s="1441" t="s">
        <v>2699</v>
      </c>
      <c r="I305" s="1441"/>
      <c r="J305" s="1441"/>
      <c r="K305" s="1441"/>
      <c r="L305" s="1441"/>
      <c r="M305" s="1441"/>
      <c r="N305" s="1441"/>
      <c r="O305" s="1441"/>
      <c r="P305" s="1441"/>
      <c r="Q305" s="1441"/>
      <c r="R305" s="1441"/>
      <c r="T305" s="3" t="s">
        <v>75</v>
      </c>
      <c r="V305" s="3"/>
      <c r="W305" s="3"/>
      <c r="X305" s="3"/>
      <c r="Y305" s="3"/>
      <c r="AA305" s="1441" t="s">
        <v>2705</v>
      </c>
      <c r="AB305" s="1441"/>
      <c r="AC305" s="1441"/>
      <c r="AD305" s="1441"/>
      <c r="AE305" s="1441"/>
      <c r="AF305" s="1441"/>
      <c r="AG305" s="1441"/>
      <c r="AH305" s="1441"/>
      <c r="AI305" s="1441"/>
      <c r="AJ305" s="1441"/>
      <c r="AK305" s="1441"/>
      <c r="BN305" s="34"/>
    </row>
    <row r="306" spans="2:66" ht="12.95" customHeight="1">
      <c r="B306" s="3" t="s">
        <v>87</v>
      </c>
      <c r="C306" s="3"/>
      <c r="D306" s="3"/>
      <c r="E306" s="3"/>
      <c r="F306" s="3"/>
      <c r="H306" s="1441" t="s">
        <v>2700</v>
      </c>
      <c r="I306" s="1441"/>
      <c r="J306" s="1441"/>
      <c r="K306" s="1441"/>
      <c r="L306" s="1441"/>
      <c r="M306" s="1441"/>
      <c r="N306" s="1441"/>
      <c r="O306" s="1441"/>
      <c r="P306" s="1441"/>
      <c r="Q306" s="1441"/>
      <c r="R306" s="1441"/>
      <c r="T306" s="3" t="s">
        <v>87</v>
      </c>
      <c r="V306" s="3"/>
      <c r="W306" s="3"/>
      <c r="X306" s="3"/>
      <c r="Y306" s="3"/>
      <c r="AA306" s="1441" t="s">
        <v>2706</v>
      </c>
      <c r="AB306" s="1441"/>
      <c r="AC306" s="1441"/>
      <c r="AD306" s="1441"/>
      <c r="AE306" s="1441"/>
      <c r="AF306" s="1441"/>
      <c r="AG306" s="1441"/>
      <c r="AH306" s="1441"/>
      <c r="AI306" s="1441"/>
      <c r="AJ306" s="1441"/>
      <c r="AK306" s="1441"/>
      <c r="BN306" s="34"/>
    </row>
    <row r="307" spans="2:66" ht="12.95" customHeight="1">
      <c r="B307" s="3" t="s">
        <v>88</v>
      </c>
      <c r="C307" s="3"/>
      <c r="D307" s="3"/>
      <c r="E307" s="3"/>
      <c r="F307" s="3"/>
      <c r="G307" s="3"/>
      <c r="H307" s="1473" t="s">
        <v>2701</v>
      </c>
      <c r="I307" s="1473"/>
      <c r="J307" s="1473"/>
      <c r="K307" s="1473"/>
      <c r="L307" s="1473"/>
      <c r="M307" s="1473"/>
      <c r="N307" s="4" t="s">
        <v>207</v>
      </c>
      <c r="O307" s="4"/>
      <c r="P307" s="1452"/>
      <c r="Q307" s="1452"/>
      <c r="R307" s="1452"/>
      <c r="S307" s="3"/>
      <c r="T307" s="3" t="s">
        <v>88</v>
      </c>
      <c r="V307" s="3"/>
      <c r="W307" s="3"/>
      <c r="X307" s="3"/>
      <c r="Y307" s="3"/>
      <c r="AA307" s="1473" t="s">
        <v>2707</v>
      </c>
      <c r="AB307" s="1473"/>
      <c r="AC307" s="1473"/>
      <c r="AD307" s="1473"/>
      <c r="AE307" s="1473"/>
      <c r="AF307" s="1473"/>
      <c r="AG307" s="4" t="s">
        <v>207</v>
      </c>
      <c r="AH307" s="4"/>
      <c r="AI307" s="1452"/>
      <c r="AJ307" s="1452"/>
      <c r="AK307" s="1452"/>
      <c r="BN307" s="34"/>
    </row>
    <row r="308" spans="2:66" ht="12.95" customHeight="1">
      <c r="B308" s="3" t="s">
        <v>89</v>
      </c>
      <c r="C308" s="3"/>
      <c r="D308" s="3"/>
      <c r="E308" s="3"/>
      <c r="F308" s="3"/>
      <c r="G308" s="3"/>
      <c r="H308" s="1395"/>
      <c r="I308" s="1395"/>
      <c r="J308" s="1395"/>
      <c r="K308" s="1395"/>
      <c r="L308" s="1395"/>
      <c r="M308" s="1395"/>
      <c r="N308" s="4"/>
      <c r="O308" s="4"/>
      <c r="P308" s="35"/>
      <c r="Q308" s="35"/>
      <c r="R308" s="35"/>
      <c r="S308" s="3"/>
      <c r="T308" s="3" t="s">
        <v>89</v>
      </c>
      <c r="V308" s="3"/>
      <c r="W308" s="3"/>
      <c r="X308" s="3"/>
      <c r="Y308" s="3"/>
      <c r="AA308" s="1394" t="s">
        <v>2708</v>
      </c>
      <c r="AB308" s="1395"/>
      <c r="AC308" s="1395"/>
      <c r="AD308" s="1395"/>
      <c r="AE308" s="1395"/>
      <c r="AF308" s="1395"/>
      <c r="AG308" s="4"/>
      <c r="AH308" s="4"/>
      <c r="AI308" s="35"/>
      <c r="AJ308" s="35"/>
      <c r="AK308" s="35"/>
      <c r="BN308" s="34"/>
    </row>
    <row r="309" spans="2:66" ht="12.95" customHeight="1">
      <c r="B309" s="3" t="s">
        <v>76</v>
      </c>
      <c r="C309" s="3"/>
      <c r="D309" s="3"/>
      <c r="E309" s="3"/>
      <c r="F309" s="3"/>
      <c r="G309" s="3"/>
      <c r="H309" s="1441" t="s">
        <v>2702</v>
      </c>
      <c r="I309" s="1441"/>
      <c r="J309" s="1441"/>
      <c r="K309" s="1441"/>
      <c r="L309" s="1441"/>
      <c r="M309" s="1441"/>
      <c r="N309" s="1384"/>
      <c r="O309" s="1384"/>
      <c r="P309" s="1384"/>
      <c r="Q309" s="1384"/>
      <c r="R309" s="1384"/>
      <c r="S309" s="3"/>
      <c r="T309" s="3" t="s">
        <v>76</v>
      </c>
      <c r="V309" s="3"/>
      <c r="W309" s="3"/>
      <c r="X309" s="3"/>
      <c r="Y309" s="3"/>
      <c r="AA309" s="1441" t="s">
        <v>2709</v>
      </c>
      <c r="AB309" s="1441"/>
      <c r="AC309" s="1441"/>
      <c r="AD309" s="1441"/>
      <c r="AE309" s="1441"/>
      <c r="AF309" s="1441"/>
      <c r="AG309" s="1384"/>
      <c r="AH309" s="1384"/>
      <c r="AI309" s="1384"/>
      <c r="AJ309" s="1384"/>
      <c r="AK309" s="1384"/>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384" t="s">
        <v>2697</v>
      </c>
      <c r="I311" s="1384"/>
      <c r="J311" s="1384"/>
      <c r="K311" s="1384"/>
      <c r="L311" s="1384"/>
      <c r="M311" s="1384"/>
      <c r="N311" s="1384"/>
      <c r="O311" s="1384"/>
      <c r="P311" s="1384"/>
      <c r="Q311" s="1384"/>
      <c r="R311" s="1384"/>
      <c r="S311" s="3"/>
      <c r="T311" s="3" t="s">
        <v>366</v>
      </c>
      <c r="V311" s="3"/>
      <c r="W311" s="3"/>
      <c r="X311" s="3"/>
      <c r="Y311" s="3"/>
      <c r="AA311" s="1384" t="s">
        <v>2710</v>
      </c>
      <c r="AB311" s="1384"/>
      <c r="AC311" s="1384"/>
      <c r="AD311" s="1384"/>
      <c r="AE311" s="1384"/>
      <c r="AF311" s="1384"/>
      <c r="AG311" s="1384"/>
      <c r="AH311" s="1384"/>
      <c r="AI311" s="1384"/>
      <c r="AJ311" s="1384"/>
      <c r="AK311" s="1384"/>
      <c r="BN311" s="34"/>
    </row>
    <row r="312" spans="2:66" ht="12.95" customHeight="1">
      <c r="B312" s="3" t="s">
        <v>479</v>
      </c>
      <c r="C312" s="3"/>
      <c r="D312" s="3"/>
      <c r="E312" s="3"/>
      <c r="F312" s="3"/>
      <c r="H312" s="1441" t="s">
        <v>2698</v>
      </c>
      <c r="I312" s="1441"/>
      <c r="J312" s="1441"/>
      <c r="K312" s="1441"/>
      <c r="L312" s="1441"/>
      <c r="M312" s="1441"/>
      <c r="N312" s="1441"/>
      <c r="O312" s="1441"/>
      <c r="P312" s="1441"/>
      <c r="Q312" s="1441"/>
      <c r="R312" s="1441"/>
      <c r="S312" s="3"/>
      <c r="T312" s="3" t="s">
        <v>479</v>
      </c>
      <c r="V312" s="3"/>
      <c r="W312" s="3"/>
      <c r="X312" s="3"/>
      <c r="Y312" s="3"/>
      <c r="AA312" s="1441" t="s">
        <v>2711</v>
      </c>
      <c r="AB312" s="1441"/>
      <c r="AC312" s="1441"/>
      <c r="AD312" s="1441"/>
      <c r="AE312" s="1441"/>
      <c r="AF312" s="1441"/>
      <c r="AG312" s="1441"/>
      <c r="AH312" s="1441"/>
      <c r="AI312" s="1441"/>
      <c r="AJ312" s="1441"/>
      <c r="AK312" s="1441"/>
      <c r="BN312" s="34"/>
    </row>
    <row r="313" spans="2:66" ht="12.95" customHeight="1">
      <c r="B313" s="3" t="s">
        <v>480</v>
      </c>
      <c r="C313" s="3"/>
      <c r="D313" s="3"/>
      <c r="E313" s="3"/>
      <c r="F313" s="3"/>
      <c r="H313" s="1441" t="s">
        <v>2699</v>
      </c>
      <c r="I313" s="1441"/>
      <c r="J313" s="1441"/>
      <c r="K313" s="1441"/>
      <c r="L313" s="1441"/>
      <c r="M313" s="1441"/>
      <c r="N313" s="1441"/>
      <c r="O313" s="1441"/>
      <c r="P313" s="1441"/>
      <c r="Q313" s="1441"/>
      <c r="R313" s="1441"/>
      <c r="S313" s="3"/>
      <c r="T313" s="3" t="s">
        <v>75</v>
      </c>
      <c r="V313" s="3"/>
      <c r="W313" s="3"/>
      <c r="X313" s="3"/>
      <c r="Y313" s="3"/>
      <c r="AA313" s="1441" t="s">
        <v>2712</v>
      </c>
      <c r="AB313" s="1441"/>
      <c r="AC313" s="1441"/>
      <c r="AD313" s="1441"/>
      <c r="AE313" s="1441"/>
      <c r="AF313" s="1441"/>
      <c r="AG313" s="1441"/>
      <c r="AH313" s="1441"/>
      <c r="AI313" s="1441"/>
      <c r="AJ313" s="1441"/>
      <c r="AK313" s="1441"/>
      <c r="BN313" s="34"/>
    </row>
    <row r="314" spans="2:66" ht="12.95" customHeight="1">
      <c r="B314" s="3" t="s">
        <v>87</v>
      </c>
      <c r="C314" s="3"/>
      <c r="D314" s="3"/>
      <c r="E314" s="3"/>
      <c r="F314" s="3"/>
      <c r="H314" s="1441" t="s">
        <v>2700</v>
      </c>
      <c r="I314" s="1441"/>
      <c r="J314" s="1441"/>
      <c r="K314" s="1441"/>
      <c r="L314" s="1441"/>
      <c r="M314" s="1441"/>
      <c r="N314" s="1441"/>
      <c r="O314" s="1441"/>
      <c r="P314" s="1441"/>
      <c r="Q314" s="1441"/>
      <c r="R314" s="1441"/>
      <c r="S314" s="3"/>
      <c r="T314" s="3" t="s">
        <v>87</v>
      </c>
      <c r="V314" s="3"/>
      <c r="W314" s="3"/>
      <c r="X314" s="3"/>
      <c r="Y314" s="3"/>
      <c r="AA314" s="1441" t="s">
        <v>2713</v>
      </c>
      <c r="AB314" s="1441"/>
      <c r="AC314" s="1441"/>
      <c r="AD314" s="1441"/>
      <c r="AE314" s="1441"/>
      <c r="AF314" s="1441"/>
      <c r="AG314" s="1441"/>
      <c r="AH314" s="1441"/>
      <c r="AI314" s="1441"/>
      <c r="AJ314" s="1441"/>
      <c r="AK314" s="1441"/>
      <c r="BN314" s="34"/>
    </row>
    <row r="315" spans="2:66" ht="12.95" customHeight="1">
      <c r="B315" s="3" t="s">
        <v>88</v>
      </c>
      <c r="C315" s="3"/>
      <c r="D315" s="3"/>
      <c r="E315" s="3"/>
      <c r="F315" s="3"/>
      <c r="G315" s="3"/>
      <c r="H315" s="1473" t="s">
        <v>2701</v>
      </c>
      <c r="I315" s="1473"/>
      <c r="J315" s="1473"/>
      <c r="K315" s="1473"/>
      <c r="L315" s="1473"/>
      <c r="M315" s="1473"/>
      <c r="N315" s="4" t="s">
        <v>207</v>
      </c>
      <c r="O315" s="4"/>
      <c r="P315" s="1452"/>
      <c r="Q315" s="1452"/>
      <c r="R315" s="1452"/>
      <c r="S315" s="3"/>
      <c r="T315" s="3" t="s">
        <v>88</v>
      </c>
      <c r="V315" s="3"/>
      <c r="W315" s="3"/>
      <c r="X315" s="3"/>
      <c r="Y315" s="3"/>
      <c r="AA315" s="1473" t="s">
        <v>2714</v>
      </c>
      <c r="AB315" s="1473"/>
      <c r="AC315" s="1473"/>
      <c r="AD315" s="1473"/>
      <c r="AE315" s="1473"/>
      <c r="AF315" s="1473"/>
      <c r="AG315" s="4" t="s">
        <v>207</v>
      </c>
      <c r="AH315" s="4"/>
      <c r="AI315" s="1452"/>
      <c r="AJ315" s="1452"/>
      <c r="AK315" s="1452"/>
      <c r="BN315" s="34"/>
    </row>
    <row r="316" spans="2:66" ht="12.95" customHeight="1">
      <c r="B316" s="3" t="s">
        <v>89</v>
      </c>
      <c r="C316" s="3"/>
      <c r="D316" s="3"/>
      <c r="E316" s="3"/>
      <c r="F316" s="3"/>
      <c r="G316" s="3"/>
      <c r="H316" s="1395"/>
      <c r="I316" s="1395"/>
      <c r="J316" s="1395"/>
      <c r="K316" s="1395"/>
      <c r="L316" s="1395"/>
      <c r="M316" s="1395"/>
      <c r="N316" s="4"/>
      <c r="O316" s="4"/>
      <c r="P316" s="35"/>
      <c r="Q316" s="35"/>
      <c r="R316" s="35"/>
      <c r="S316" s="3"/>
      <c r="T316" s="3" t="s">
        <v>89</v>
      </c>
      <c r="V316" s="3"/>
      <c r="W316" s="3"/>
      <c r="X316" s="3"/>
      <c r="Y316" s="3"/>
      <c r="AA316" s="1395"/>
      <c r="AB316" s="1395"/>
      <c r="AC316" s="1395"/>
      <c r="AD316" s="1395"/>
      <c r="AE316" s="1395"/>
      <c r="AF316" s="1395"/>
      <c r="AG316" s="4"/>
      <c r="AH316" s="4"/>
      <c r="AI316" s="35"/>
      <c r="AJ316" s="35"/>
      <c r="AK316" s="35"/>
      <c r="BN316" s="34"/>
    </row>
    <row r="317" spans="2:66" ht="12.95" customHeight="1">
      <c r="B317" s="3" t="s">
        <v>76</v>
      </c>
      <c r="C317" s="3"/>
      <c r="D317" s="3"/>
      <c r="E317" s="3"/>
      <c r="F317" s="3"/>
      <c r="G317" s="3"/>
      <c r="H317" s="1441" t="s">
        <v>2702</v>
      </c>
      <c r="I317" s="1441"/>
      <c r="J317" s="1441"/>
      <c r="K317" s="1441"/>
      <c r="L317" s="1441"/>
      <c r="M317" s="1441"/>
      <c r="N317" s="1384"/>
      <c r="O317" s="1384"/>
      <c r="P317" s="1384"/>
      <c r="Q317" s="1384"/>
      <c r="R317" s="1384"/>
      <c r="S317" s="3"/>
      <c r="T317" s="3" t="s">
        <v>76</v>
      </c>
      <c r="V317" s="3"/>
      <c r="W317" s="3"/>
      <c r="X317" s="3"/>
      <c r="Y317" s="3"/>
      <c r="AA317" s="1441" t="s">
        <v>2715</v>
      </c>
      <c r="AB317" s="1441"/>
      <c r="AC317" s="1441"/>
      <c r="AD317" s="1441"/>
      <c r="AE317" s="1441"/>
      <c r="AF317" s="1441"/>
      <c r="AG317" s="1384"/>
      <c r="AH317" s="1384"/>
      <c r="AI317" s="1384"/>
      <c r="AJ317" s="1384"/>
      <c r="AK317" s="1384"/>
      <c r="BN317" s="34"/>
    </row>
    <row r="318" spans="2:66" ht="12.95" customHeight="1">
      <c r="BN318" s="34"/>
    </row>
    <row r="319" spans="2:66" ht="12.95" customHeight="1">
      <c r="B319" s="4" t="s">
        <v>923</v>
      </c>
      <c r="C319" s="3"/>
      <c r="D319" s="3"/>
      <c r="E319" s="3"/>
      <c r="F319" s="3"/>
      <c r="H319" s="1384" t="s">
        <v>2697</v>
      </c>
      <c r="I319" s="1384"/>
      <c r="J319" s="1384"/>
      <c r="K319" s="1384"/>
      <c r="L319" s="1384"/>
      <c r="M319" s="1384"/>
      <c r="N319" s="1384"/>
      <c r="O319" s="1384"/>
      <c r="P319" s="1384"/>
      <c r="Q319" s="1384"/>
      <c r="R319" s="1384"/>
      <c r="T319" s="3" t="s">
        <v>367</v>
      </c>
      <c r="V319" s="3"/>
      <c r="W319" s="3"/>
      <c r="X319" s="3"/>
      <c r="Y319" s="3"/>
      <c r="AA319" s="1384" t="s">
        <v>2697</v>
      </c>
      <c r="AB319" s="1384"/>
      <c r="AC319" s="1384"/>
      <c r="AD319" s="1384"/>
      <c r="AE319" s="1384"/>
      <c r="AF319" s="1384"/>
      <c r="AG319" s="1384"/>
      <c r="AH319" s="1384"/>
      <c r="AI319" s="1384"/>
      <c r="AJ319" s="1384"/>
      <c r="AK319" s="1384"/>
      <c r="BN319" s="34"/>
    </row>
    <row r="320" spans="2:66" ht="12.95" customHeight="1">
      <c r="B320" s="3" t="s">
        <v>479</v>
      </c>
      <c r="C320" s="3"/>
      <c r="D320" s="3"/>
      <c r="E320" s="3"/>
      <c r="F320" s="3"/>
      <c r="H320" s="1441" t="s">
        <v>2698</v>
      </c>
      <c r="I320" s="1441"/>
      <c r="J320" s="1441"/>
      <c r="K320" s="1441"/>
      <c r="L320" s="1441"/>
      <c r="M320" s="1441"/>
      <c r="N320" s="1441"/>
      <c r="O320" s="1441"/>
      <c r="P320" s="1441"/>
      <c r="Q320" s="1441"/>
      <c r="R320" s="1441"/>
      <c r="T320" s="3" t="s">
        <v>479</v>
      </c>
      <c r="V320" s="3"/>
      <c r="W320" s="3"/>
      <c r="X320" s="3"/>
      <c r="Y320" s="3"/>
      <c r="AA320" s="1441" t="s">
        <v>2716</v>
      </c>
      <c r="AB320" s="1441"/>
      <c r="AC320" s="1441"/>
      <c r="AD320" s="1441"/>
      <c r="AE320" s="1441"/>
      <c r="AF320" s="1441"/>
      <c r="AG320" s="1441"/>
      <c r="AH320" s="1441"/>
      <c r="AI320" s="1441"/>
      <c r="AJ320" s="1441"/>
      <c r="AK320" s="1441"/>
      <c r="BN320" s="34"/>
    </row>
    <row r="321" spans="2:66" ht="12.95" customHeight="1">
      <c r="B321" s="3" t="s">
        <v>480</v>
      </c>
      <c r="C321" s="3"/>
      <c r="D321" s="3"/>
      <c r="E321" s="3"/>
      <c r="F321" s="3"/>
      <c r="H321" s="1441" t="s">
        <v>2699</v>
      </c>
      <c r="I321" s="1441"/>
      <c r="J321" s="1441"/>
      <c r="K321" s="1441"/>
      <c r="L321" s="1441"/>
      <c r="M321" s="1441"/>
      <c r="N321" s="1441"/>
      <c r="O321" s="1441"/>
      <c r="P321" s="1441"/>
      <c r="Q321" s="1441"/>
      <c r="R321" s="1441"/>
      <c r="T321" s="3" t="s">
        <v>75</v>
      </c>
      <c r="V321" s="3"/>
      <c r="W321" s="3"/>
      <c r="X321" s="3"/>
      <c r="Y321" s="3"/>
      <c r="AA321" s="1441" t="s">
        <v>2717</v>
      </c>
      <c r="AB321" s="1441"/>
      <c r="AC321" s="1441"/>
      <c r="AD321" s="1441"/>
      <c r="AE321" s="1441"/>
      <c r="AF321" s="1441"/>
      <c r="AG321" s="1441"/>
      <c r="AH321" s="1441"/>
      <c r="AI321" s="1441"/>
      <c r="AJ321" s="1441"/>
      <c r="AK321" s="1441"/>
      <c r="BN321" s="34"/>
    </row>
    <row r="322" spans="2:66" ht="12.95" customHeight="1">
      <c r="B322" s="3" t="s">
        <v>87</v>
      </c>
      <c r="C322" s="3"/>
      <c r="D322" s="3"/>
      <c r="E322" s="3"/>
      <c r="F322" s="3"/>
      <c r="H322" s="1441" t="s">
        <v>2700</v>
      </c>
      <c r="I322" s="1441"/>
      <c r="J322" s="1441"/>
      <c r="K322" s="1441"/>
      <c r="L322" s="1441"/>
      <c r="M322" s="1441"/>
      <c r="N322" s="1441"/>
      <c r="O322" s="1441"/>
      <c r="P322" s="1441"/>
      <c r="Q322" s="1441"/>
      <c r="R322" s="1441"/>
      <c r="T322" s="3" t="s">
        <v>87</v>
      </c>
      <c r="V322" s="3"/>
      <c r="W322" s="3"/>
      <c r="X322" s="3"/>
      <c r="Y322" s="3"/>
      <c r="AA322" s="1441" t="s">
        <v>2718</v>
      </c>
      <c r="AB322" s="1441"/>
      <c r="AC322" s="1441"/>
      <c r="AD322" s="1441"/>
      <c r="AE322" s="1441"/>
      <c r="AF322" s="1441"/>
      <c r="AG322" s="1441"/>
      <c r="AH322" s="1441"/>
      <c r="AI322" s="1441"/>
      <c r="AJ322" s="1441"/>
      <c r="AK322" s="1441"/>
      <c r="BN322" s="34"/>
    </row>
    <row r="323" spans="2:66" ht="12.95" customHeight="1">
      <c r="B323" s="3" t="s">
        <v>88</v>
      </c>
      <c r="C323" s="3"/>
      <c r="D323" s="3"/>
      <c r="E323" s="3"/>
      <c r="F323" s="3"/>
      <c r="G323" s="3"/>
      <c r="H323" s="1473" t="s">
        <v>2701</v>
      </c>
      <c r="I323" s="1473"/>
      <c r="J323" s="1473"/>
      <c r="K323" s="1473"/>
      <c r="L323" s="1473"/>
      <c r="M323" s="1473"/>
      <c r="N323" s="4" t="s">
        <v>207</v>
      </c>
      <c r="O323" s="4"/>
      <c r="P323" s="1452">
        <v>2401</v>
      </c>
      <c r="Q323" s="1452"/>
      <c r="R323" s="1452"/>
      <c r="S323" s="3"/>
      <c r="T323" s="3" t="s">
        <v>88</v>
      </c>
      <c r="V323" s="3"/>
      <c r="W323" s="3"/>
      <c r="X323" s="3"/>
      <c r="Y323" s="3"/>
      <c r="AA323" s="1473" t="s">
        <v>2719</v>
      </c>
      <c r="AB323" s="1473"/>
      <c r="AC323" s="1473"/>
      <c r="AD323" s="1473"/>
      <c r="AE323" s="1473"/>
      <c r="AF323" s="1473"/>
      <c r="AG323" s="4" t="s">
        <v>207</v>
      </c>
      <c r="AH323" s="4"/>
      <c r="AI323" s="1452"/>
      <c r="AJ323" s="1452"/>
      <c r="AK323" s="1452"/>
    </row>
    <row r="324" spans="2:66" ht="12.95" customHeight="1">
      <c r="B324" s="3" t="s">
        <v>89</v>
      </c>
      <c r="C324" s="3"/>
      <c r="D324" s="3"/>
      <c r="E324" s="3"/>
      <c r="F324" s="3"/>
      <c r="G324" s="3"/>
      <c r="H324" s="1395"/>
      <c r="I324" s="1395"/>
      <c r="J324" s="1395"/>
      <c r="K324" s="1395"/>
      <c r="L324" s="1395"/>
      <c r="M324" s="1395"/>
      <c r="N324" s="4"/>
      <c r="O324" s="4"/>
      <c r="P324" s="35"/>
      <c r="Q324" s="35"/>
      <c r="R324" s="35"/>
      <c r="S324" s="3"/>
      <c r="T324" s="3" t="s">
        <v>89</v>
      </c>
      <c r="V324" s="3"/>
      <c r="W324" s="3"/>
      <c r="X324" s="3"/>
      <c r="Y324" s="3"/>
      <c r="AA324" s="1395"/>
      <c r="AB324" s="1395"/>
      <c r="AC324" s="1395"/>
      <c r="AD324" s="1395"/>
      <c r="AE324" s="1395"/>
      <c r="AF324" s="1395"/>
      <c r="AG324" s="4"/>
      <c r="AH324" s="4"/>
      <c r="AI324" s="35"/>
      <c r="AJ324" s="35"/>
      <c r="AK324" s="35"/>
    </row>
    <row r="325" spans="2:66" ht="12.95" customHeight="1">
      <c r="B325" s="3" t="s">
        <v>76</v>
      </c>
      <c r="C325" s="3"/>
      <c r="D325" s="3"/>
      <c r="E325" s="3"/>
      <c r="F325" s="3"/>
      <c r="G325" s="3"/>
      <c r="H325" s="1441" t="s">
        <v>2702</v>
      </c>
      <c r="I325" s="1441"/>
      <c r="J325" s="1441"/>
      <c r="K325" s="1441"/>
      <c r="L325" s="1441"/>
      <c r="M325" s="1441"/>
      <c r="N325" s="1384"/>
      <c r="O325" s="1384"/>
      <c r="P325" s="1384"/>
      <c r="Q325" s="1384"/>
      <c r="R325" s="1384"/>
      <c r="S325" s="3"/>
      <c r="T325" s="3" t="s">
        <v>76</v>
      </c>
      <c r="V325" s="3"/>
      <c r="W325" s="3"/>
      <c r="X325" s="3"/>
      <c r="Y325" s="3"/>
      <c r="AA325" s="1441" t="s">
        <v>2720</v>
      </c>
      <c r="AB325" s="1441"/>
      <c r="AC325" s="1441"/>
      <c r="AD325" s="1441"/>
      <c r="AE325" s="1441"/>
      <c r="AF325" s="1441"/>
      <c r="AG325" s="1384"/>
      <c r="AH325" s="1384"/>
      <c r="AI325" s="1384"/>
      <c r="AJ325" s="1384"/>
      <c r="AK325" s="1384"/>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84" t="s">
        <v>2697</v>
      </c>
      <c r="I327" s="1384"/>
      <c r="J327" s="1384"/>
      <c r="K327" s="1384"/>
      <c r="L327" s="1384"/>
      <c r="M327" s="1384"/>
      <c r="N327" s="1384"/>
      <c r="O327" s="1384"/>
      <c r="P327" s="1384"/>
      <c r="Q327" s="1384"/>
      <c r="R327" s="1384"/>
      <c r="T327" s="3" t="s">
        <v>369</v>
      </c>
      <c r="V327" s="3"/>
      <c r="W327" s="3"/>
      <c r="X327" s="3"/>
      <c r="Y327" s="3"/>
      <c r="AA327" s="1384" t="s">
        <v>2703</v>
      </c>
      <c r="AB327" s="1384"/>
      <c r="AC327" s="1384"/>
      <c r="AD327" s="1384"/>
      <c r="AE327" s="1384"/>
      <c r="AF327" s="1384"/>
      <c r="AG327" s="1384"/>
      <c r="AH327" s="1384"/>
      <c r="AI327" s="1384"/>
      <c r="AJ327" s="1384"/>
      <c r="AK327" s="1384"/>
    </row>
    <row r="328" spans="2:66" ht="12.95" customHeight="1">
      <c r="B328" s="3" t="s">
        <v>479</v>
      </c>
      <c r="C328" s="3"/>
      <c r="D328" s="3"/>
      <c r="E328" s="3"/>
      <c r="F328" s="3"/>
      <c r="H328" s="1441" t="s">
        <v>2716</v>
      </c>
      <c r="I328" s="1441"/>
      <c r="J328" s="1441"/>
      <c r="K328" s="1441"/>
      <c r="L328" s="1441"/>
      <c r="M328" s="1441"/>
      <c r="N328" s="1441"/>
      <c r="O328" s="1441"/>
      <c r="P328" s="1441"/>
      <c r="Q328" s="1441"/>
      <c r="R328" s="1441"/>
      <c r="T328" s="3" t="s">
        <v>479</v>
      </c>
      <c r="V328" s="3"/>
      <c r="W328" s="3"/>
      <c r="X328" s="3"/>
      <c r="Y328" s="3"/>
      <c r="AA328" s="1441" t="s">
        <v>2704</v>
      </c>
      <c r="AB328" s="1441"/>
      <c r="AC328" s="1441"/>
      <c r="AD328" s="1441"/>
      <c r="AE328" s="1441"/>
      <c r="AF328" s="1441"/>
      <c r="AG328" s="1441"/>
      <c r="AH328" s="1441"/>
      <c r="AI328" s="1441"/>
      <c r="AJ328" s="1441"/>
      <c r="AK328" s="1441"/>
    </row>
    <row r="329" spans="2:66" ht="12.95" customHeight="1">
      <c r="B329" s="3" t="s">
        <v>480</v>
      </c>
      <c r="C329" s="3"/>
      <c r="D329" s="3"/>
      <c r="E329" s="3"/>
      <c r="F329" s="3"/>
      <c r="H329" s="1441" t="s">
        <v>2717</v>
      </c>
      <c r="I329" s="1441"/>
      <c r="J329" s="1441"/>
      <c r="K329" s="1441"/>
      <c r="L329" s="1441"/>
      <c r="M329" s="1441"/>
      <c r="N329" s="1441"/>
      <c r="O329" s="1441"/>
      <c r="P329" s="1441"/>
      <c r="Q329" s="1441"/>
      <c r="R329" s="1441"/>
      <c r="T329" s="3" t="s">
        <v>75</v>
      </c>
      <c r="V329" s="3"/>
      <c r="W329" s="3"/>
      <c r="X329" s="3"/>
      <c r="Y329" s="3"/>
      <c r="AA329" s="1441" t="s">
        <v>2705</v>
      </c>
      <c r="AB329" s="1441"/>
      <c r="AC329" s="1441"/>
      <c r="AD329" s="1441"/>
      <c r="AE329" s="1441"/>
      <c r="AF329" s="1441"/>
      <c r="AG329" s="1441"/>
      <c r="AH329" s="1441"/>
      <c r="AI329" s="1441"/>
      <c r="AJ329" s="1441"/>
      <c r="AK329" s="1441"/>
    </row>
    <row r="330" spans="2:66" ht="12.95" customHeight="1">
      <c r="B330" s="3" t="s">
        <v>87</v>
      </c>
      <c r="C330" s="3"/>
      <c r="D330" s="3"/>
      <c r="E330" s="3"/>
      <c r="F330" s="3"/>
      <c r="H330" s="1441" t="s">
        <v>2718</v>
      </c>
      <c r="I330" s="1441"/>
      <c r="J330" s="1441"/>
      <c r="K330" s="1441"/>
      <c r="L330" s="1441"/>
      <c r="M330" s="1441"/>
      <c r="N330" s="1441"/>
      <c r="O330" s="1441"/>
      <c r="P330" s="1441"/>
      <c r="Q330" s="1441"/>
      <c r="R330" s="1441"/>
      <c r="T330" s="3" t="s">
        <v>87</v>
      </c>
      <c r="V330" s="3"/>
      <c r="W330" s="3"/>
      <c r="X330" s="3"/>
      <c r="Y330" s="3"/>
      <c r="AA330" s="1441" t="s">
        <v>2706</v>
      </c>
      <c r="AB330" s="1441"/>
      <c r="AC330" s="1441"/>
      <c r="AD330" s="1441"/>
      <c r="AE330" s="1441"/>
      <c r="AF330" s="1441"/>
      <c r="AG330" s="1441"/>
      <c r="AH330" s="1441"/>
      <c r="AI330" s="1441"/>
      <c r="AJ330" s="1441"/>
      <c r="AK330" s="1441"/>
    </row>
    <row r="331" spans="2:66" ht="12.95" customHeight="1">
      <c r="B331" s="3" t="s">
        <v>88</v>
      </c>
      <c r="C331" s="3"/>
      <c r="D331" s="3"/>
      <c r="E331" s="3"/>
      <c r="F331" s="3"/>
      <c r="G331" s="3"/>
      <c r="H331" s="1473" t="s">
        <v>2719</v>
      </c>
      <c r="I331" s="1473"/>
      <c r="J331" s="1473"/>
      <c r="K331" s="1473"/>
      <c r="L331" s="1473"/>
      <c r="M331" s="1473"/>
      <c r="N331" s="4" t="s">
        <v>207</v>
      </c>
      <c r="O331" s="4"/>
      <c r="P331" s="1452"/>
      <c r="Q331" s="1452"/>
      <c r="R331" s="1452"/>
      <c r="S331" s="3"/>
      <c r="T331" s="3" t="s">
        <v>88</v>
      </c>
      <c r="V331" s="3"/>
      <c r="W331" s="3"/>
      <c r="X331" s="3"/>
      <c r="Y331" s="3"/>
      <c r="AA331" s="1473" t="s">
        <v>2707</v>
      </c>
      <c r="AB331" s="1473"/>
      <c r="AC331" s="1473"/>
      <c r="AD331" s="1473"/>
      <c r="AE331" s="1473"/>
      <c r="AF331" s="1473"/>
      <c r="AG331" s="4" t="s">
        <v>207</v>
      </c>
      <c r="AH331" s="4"/>
      <c r="AI331" s="1452"/>
      <c r="AJ331" s="1452"/>
      <c r="AK331" s="1452"/>
    </row>
    <row r="332" spans="2:66" ht="12.95" customHeight="1">
      <c r="B332" s="3" t="s">
        <v>89</v>
      </c>
      <c r="C332" s="3"/>
      <c r="D332" s="3"/>
      <c r="E332" s="3"/>
      <c r="F332" s="3"/>
      <c r="G332" s="3"/>
      <c r="H332" s="1395"/>
      <c r="I332" s="1395"/>
      <c r="J332" s="1395"/>
      <c r="K332" s="1395"/>
      <c r="L332" s="1395"/>
      <c r="M332" s="1395"/>
      <c r="N332" s="4"/>
      <c r="O332" s="4"/>
      <c r="P332" s="35"/>
      <c r="Q332" s="35"/>
      <c r="R332" s="35"/>
      <c r="S332" s="3"/>
      <c r="T332" s="3" t="s">
        <v>89</v>
      </c>
      <c r="V332" s="3"/>
      <c r="W332" s="3"/>
      <c r="X332" s="3"/>
      <c r="Y332" s="3"/>
      <c r="AA332" s="1394" t="s">
        <v>2708</v>
      </c>
      <c r="AB332" s="1395"/>
      <c r="AC332" s="1395"/>
      <c r="AD332" s="1395"/>
      <c r="AE332" s="1395"/>
      <c r="AF332" s="1395"/>
      <c r="AG332" s="4"/>
      <c r="AH332" s="4"/>
      <c r="AI332" s="35"/>
      <c r="AJ332" s="35"/>
      <c r="AK332" s="35"/>
    </row>
    <row r="333" spans="2:66" ht="12.95" customHeight="1">
      <c r="B333" s="3" t="s">
        <v>76</v>
      </c>
      <c r="C333" s="3"/>
      <c r="D333" s="3"/>
      <c r="E333" s="3"/>
      <c r="F333" s="3"/>
      <c r="G333" s="3"/>
      <c r="H333" s="1441" t="s">
        <v>2720</v>
      </c>
      <c r="I333" s="1441"/>
      <c r="J333" s="1441"/>
      <c r="K333" s="1441"/>
      <c r="L333" s="1441"/>
      <c r="M333" s="1441"/>
      <c r="N333" s="1384"/>
      <c r="O333" s="1384"/>
      <c r="P333" s="1384"/>
      <c r="Q333" s="1384"/>
      <c r="R333" s="1384"/>
      <c r="S333" s="3"/>
      <c r="T333" s="3" t="s">
        <v>76</v>
      </c>
      <c r="V333" s="3"/>
      <c r="W333" s="3"/>
      <c r="X333" s="3"/>
      <c r="Y333" s="3"/>
      <c r="AA333" s="1441" t="s">
        <v>2709</v>
      </c>
      <c r="AB333" s="1441"/>
      <c r="AC333" s="1441"/>
      <c r="AD333" s="1441"/>
      <c r="AE333" s="1441"/>
      <c r="AF333" s="1441"/>
      <c r="AG333" s="1384"/>
      <c r="AH333" s="1384"/>
      <c r="AI333" s="1384"/>
      <c r="AJ333" s="1384"/>
      <c r="AK333" s="1384"/>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84" t="s">
        <v>2762</v>
      </c>
      <c r="I335" s="1384"/>
      <c r="J335" s="1384"/>
      <c r="K335" s="1384"/>
      <c r="L335" s="1384"/>
      <c r="M335" s="1384"/>
      <c r="N335" s="1384"/>
      <c r="O335" s="1384"/>
      <c r="P335" s="1384"/>
      <c r="Q335" s="1384"/>
      <c r="R335" s="1384"/>
      <c r="T335" s="218" t="s">
        <v>899</v>
      </c>
      <c r="V335" s="3"/>
      <c r="W335" s="3"/>
      <c r="X335" s="3"/>
      <c r="Y335" s="3"/>
      <c r="AA335" s="1384" t="s">
        <v>2721</v>
      </c>
      <c r="AB335" s="1384"/>
      <c r="AC335" s="1384"/>
      <c r="AD335" s="1384"/>
      <c r="AE335" s="1384"/>
      <c r="AF335" s="1384"/>
      <c r="AG335" s="1384"/>
      <c r="AH335" s="1384"/>
      <c r="AI335" s="1384"/>
      <c r="AJ335" s="1384"/>
      <c r="AK335" s="1384"/>
    </row>
    <row r="336" spans="2:66" ht="12.95" customHeight="1">
      <c r="B336" s="3" t="s">
        <v>479</v>
      </c>
      <c r="C336" s="3"/>
      <c r="D336" s="3"/>
      <c r="E336" s="3"/>
      <c r="F336" s="3"/>
      <c r="H336" s="1441" t="s">
        <v>2764</v>
      </c>
      <c r="I336" s="1441"/>
      <c r="J336" s="1441"/>
      <c r="K336" s="1441"/>
      <c r="L336" s="1441"/>
      <c r="M336" s="1441"/>
      <c r="N336" s="1441"/>
      <c r="O336" s="1441"/>
      <c r="P336" s="1441"/>
      <c r="Q336" s="1441"/>
      <c r="R336" s="1441"/>
      <c r="T336" s="3" t="s">
        <v>479</v>
      </c>
      <c r="V336" s="3"/>
      <c r="W336" s="3"/>
      <c r="X336" s="3"/>
      <c r="Y336" s="3"/>
      <c r="AA336" s="1441" t="s">
        <v>2722</v>
      </c>
      <c r="AB336" s="1441"/>
      <c r="AC336" s="1441"/>
      <c r="AD336" s="1441"/>
      <c r="AE336" s="1441"/>
      <c r="AF336" s="1441"/>
      <c r="AG336" s="1441"/>
      <c r="AH336" s="1441"/>
      <c r="AI336" s="1441"/>
      <c r="AJ336" s="1441"/>
      <c r="AK336" s="1441"/>
    </row>
    <row r="337" spans="1:66" ht="12.95" customHeight="1">
      <c r="B337" s="3" t="s">
        <v>75</v>
      </c>
      <c r="C337" s="3"/>
      <c r="D337" s="3"/>
      <c r="E337" s="3"/>
      <c r="F337" s="3"/>
      <c r="H337" s="1441" t="s">
        <v>2765</v>
      </c>
      <c r="I337" s="1441"/>
      <c r="J337" s="1441"/>
      <c r="K337" s="1441"/>
      <c r="L337" s="1441"/>
      <c r="M337" s="1441"/>
      <c r="N337" s="1441"/>
      <c r="O337" s="1441"/>
      <c r="P337" s="1441"/>
      <c r="Q337" s="1441"/>
      <c r="R337" s="1441"/>
      <c r="T337" s="3" t="s">
        <v>75</v>
      </c>
      <c r="V337" s="3"/>
      <c r="W337" s="3"/>
      <c r="X337" s="3"/>
      <c r="Y337" s="3"/>
      <c r="AA337" s="1441" t="s">
        <v>2723</v>
      </c>
      <c r="AB337" s="1441"/>
      <c r="AC337" s="1441"/>
      <c r="AD337" s="1441"/>
      <c r="AE337" s="1441"/>
      <c r="AF337" s="1441"/>
      <c r="AG337" s="1441"/>
      <c r="AH337" s="1441"/>
      <c r="AI337" s="1441"/>
      <c r="AJ337" s="1441"/>
      <c r="AK337" s="1441"/>
    </row>
    <row r="338" spans="1:66" ht="12.95" customHeight="1">
      <c r="B338" s="3" t="s">
        <v>87</v>
      </c>
      <c r="C338" s="3"/>
      <c r="D338" s="3"/>
      <c r="E338" s="3"/>
      <c r="F338" s="3"/>
      <c r="G338" s="3"/>
      <c r="H338" s="1441" t="s">
        <v>2760</v>
      </c>
      <c r="I338" s="1441"/>
      <c r="J338" s="1441"/>
      <c r="K338" s="1441"/>
      <c r="L338" s="1441"/>
      <c r="M338" s="1441"/>
      <c r="N338" s="1441"/>
      <c r="O338" s="1441"/>
      <c r="P338" s="1441"/>
      <c r="Q338" s="1441"/>
      <c r="R338" s="1441"/>
      <c r="T338" s="3" t="s">
        <v>87</v>
      </c>
      <c r="V338" s="3"/>
      <c r="W338" s="3"/>
      <c r="X338" s="3"/>
      <c r="Y338" s="3"/>
      <c r="AA338" s="1441" t="s">
        <v>2724</v>
      </c>
      <c r="AB338" s="1441"/>
      <c r="AC338" s="1441"/>
      <c r="AD338" s="1441"/>
      <c r="AE338" s="1441"/>
      <c r="AF338" s="1441"/>
      <c r="AG338" s="1441"/>
      <c r="AH338" s="1441"/>
      <c r="AI338" s="1441"/>
      <c r="AJ338" s="1441"/>
      <c r="AK338" s="1441"/>
    </row>
    <row r="339" spans="1:66" ht="12.95" customHeight="1">
      <c r="B339" s="3" t="s">
        <v>88</v>
      </c>
      <c r="C339" s="3"/>
      <c r="D339" s="3"/>
      <c r="E339" s="3"/>
      <c r="F339" s="3"/>
      <c r="G339" s="3"/>
      <c r="H339" s="1814" t="s">
        <v>2761</v>
      </c>
      <c r="I339" s="1473"/>
      <c r="J339" s="1473"/>
      <c r="K339" s="1473"/>
      <c r="L339" s="1473"/>
      <c r="M339" s="1473"/>
      <c r="N339" s="4" t="s">
        <v>207</v>
      </c>
      <c r="O339" s="4"/>
      <c r="P339" s="1452"/>
      <c r="Q339" s="1452"/>
      <c r="R339" s="1452"/>
      <c r="S339" s="3"/>
      <c r="T339" s="3" t="s">
        <v>88</v>
      </c>
      <c r="V339" s="3"/>
      <c r="W339" s="3"/>
      <c r="X339" s="3"/>
      <c r="Y339" s="3"/>
      <c r="AA339" s="1473" t="s">
        <v>2725</v>
      </c>
      <c r="AB339" s="1473"/>
      <c r="AC339" s="1473"/>
      <c r="AD339" s="1473"/>
      <c r="AE339" s="1473"/>
      <c r="AF339" s="1473"/>
      <c r="AG339" s="4" t="s">
        <v>207</v>
      </c>
      <c r="AH339" s="4"/>
      <c r="AI339" s="1452"/>
      <c r="AJ339" s="1452"/>
      <c r="AK339" s="1452"/>
    </row>
    <row r="340" spans="1:66" ht="12.95" customHeight="1">
      <c r="B340" s="3" t="s">
        <v>89</v>
      </c>
      <c r="C340" s="3"/>
      <c r="D340" s="3"/>
      <c r="E340" s="3"/>
      <c r="F340" s="3"/>
      <c r="G340" s="3"/>
      <c r="H340" s="1395"/>
      <c r="I340" s="1395"/>
      <c r="J340" s="1395"/>
      <c r="K340" s="1395"/>
      <c r="L340" s="1395"/>
      <c r="M340" s="1395"/>
      <c r="N340" s="4"/>
      <c r="O340" s="4"/>
      <c r="P340" s="35"/>
      <c r="Q340" s="35"/>
      <c r="R340" s="35"/>
      <c r="S340" s="3"/>
      <c r="T340" s="3" t="s">
        <v>89</v>
      </c>
      <c r="V340" s="3"/>
      <c r="W340" s="3"/>
      <c r="X340" s="3"/>
      <c r="Y340" s="3"/>
      <c r="AA340" s="1395"/>
      <c r="AB340" s="1395"/>
      <c r="AC340" s="1395"/>
      <c r="AD340" s="1395"/>
      <c r="AE340" s="1395"/>
      <c r="AF340" s="1395"/>
      <c r="AG340" s="4"/>
      <c r="AH340" s="4"/>
      <c r="AI340" s="35"/>
      <c r="AJ340" s="35"/>
      <c r="AK340" s="35"/>
    </row>
    <row r="341" spans="1:66" ht="12.95" customHeight="1">
      <c r="B341" s="3" t="s">
        <v>76</v>
      </c>
      <c r="C341" s="3"/>
      <c r="D341" s="3"/>
      <c r="E341" s="3"/>
      <c r="F341" s="3"/>
      <c r="G341" s="3"/>
      <c r="H341" s="1441" t="s">
        <v>2763</v>
      </c>
      <c r="I341" s="1441"/>
      <c r="J341" s="1441"/>
      <c r="K341" s="1441"/>
      <c r="L341" s="1441"/>
      <c r="M341" s="1441"/>
      <c r="N341" s="1384"/>
      <c r="O341" s="1384"/>
      <c r="P341" s="1384"/>
      <c r="Q341" s="1384"/>
      <c r="R341" s="1384"/>
      <c r="S341" s="3"/>
      <c r="T341" s="3" t="s">
        <v>76</v>
      </c>
      <c r="V341" s="3"/>
      <c r="W341" s="3"/>
      <c r="X341" s="3"/>
      <c r="Y341" s="3"/>
      <c r="AA341" s="1441" t="s">
        <v>2726</v>
      </c>
      <c r="AB341" s="1441"/>
      <c r="AC341" s="1441"/>
      <c r="AD341" s="1441"/>
      <c r="AE341" s="1441"/>
      <c r="AF341" s="1441"/>
      <c r="AG341" s="1384"/>
      <c r="AH341" s="1384"/>
      <c r="AI341" s="1384"/>
      <c r="AJ341" s="1384"/>
      <c r="AK341" s="138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384"/>
      <c r="Q343" s="1384"/>
      <c r="R343" s="1384"/>
      <c r="S343" s="1384"/>
      <c r="T343" s="1384"/>
      <c r="U343" s="1384"/>
      <c r="V343" s="1384"/>
      <c r="W343" s="1384"/>
      <c r="X343" s="1384"/>
      <c r="Y343" s="1384"/>
      <c r="Z343" s="1384"/>
      <c r="AA343" s="1384"/>
      <c r="AB343" s="1384"/>
      <c r="AC343" s="1384"/>
      <c r="AD343" s="1384"/>
      <c r="AE343" s="1384"/>
      <c r="BN343" t="s">
        <v>677</v>
      </c>
    </row>
    <row r="344" spans="1:66" ht="12.95" customHeight="1">
      <c r="B344" s="4"/>
      <c r="C344" s="4"/>
      <c r="D344" s="4"/>
      <c r="E344" s="4"/>
      <c r="F344" s="4"/>
      <c r="I344" s="4" t="s">
        <v>479</v>
      </c>
      <c r="P344" s="1441"/>
      <c r="Q344" s="1441"/>
      <c r="R344" s="1441"/>
      <c r="S344" s="1441"/>
      <c r="T344" s="1441"/>
      <c r="U344" s="1441"/>
      <c r="V344" s="1441"/>
      <c r="W344" s="1441"/>
      <c r="X344" s="1441"/>
      <c r="Y344" s="1441"/>
      <c r="Z344" s="1441"/>
      <c r="AA344" s="1441"/>
      <c r="AB344" s="1441"/>
      <c r="AC344" s="1441"/>
      <c r="AD344" s="1441"/>
      <c r="AE344" s="1441"/>
      <c r="BN344" t="s">
        <v>553</v>
      </c>
    </row>
    <row r="345" spans="1:66" ht="12.95" customHeight="1">
      <c r="B345" s="4"/>
      <c r="C345" s="4"/>
      <c r="D345" s="4"/>
      <c r="E345" s="4"/>
      <c r="F345" s="4"/>
      <c r="I345" s="4" t="s">
        <v>75</v>
      </c>
      <c r="P345" s="1441"/>
      <c r="Q345" s="1441"/>
      <c r="R345" s="1441"/>
      <c r="S345" s="1441"/>
      <c r="T345" s="1441"/>
      <c r="U345" s="1441"/>
      <c r="V345" s="1441"/>
      <c r="W345" s="1441"/>
      <c r="X345" s="1441"/>
      <c r="Y345" s="1441"/>
      <c r="Z345" s="1441"/>
      <c r="AA345" s="1441"/>
      <c r="AB345" s="1441"/>
      <c r="AC345" s="1441"/>
      <c r="AD345" s="1441"/>
      <c r="AE345" s="1441"/>
    </row>
    <row r="346" spans="1:66" ht="12.95" customHeight="1">
      <c r="B346" s="4"/>
      <c r="C346" s="4"/>
      <c r="D346" s="4"/>
      <c r="E346" s="4"/>
      <c r="F346" s="4"/>
      <c r="G346" s="4"/>
      <c r="I346" s="4" t="s">
        <v>87</v>
      </c>
      <c r="P346" s="1441"/>
      <c r="Q346" s="1441"/>
      <c r="R346" s="1441"/>
      <c r="S346" s="1441"/>
      <c r="T346" s="1441"/>
      <c r="U346" s="1441"/>
      <c r="V346" s="1441"/>
      <c r="W346" s="1441"/>
      <c r="X346" s="1441"/>
      <c r="Y346" s="1441"/>
      <c r="Z346" s="1441"/>
      <c r="AA346" s="1441"/>
      <c r="AB346" s="1441"/>
      <c r="AC346" s="1441"/>
      <c r="AD346" s="1441"/>
      <c r="AE346" s="1441"/>
    </row>
    <row r="347" spans="1:66" ht="12.95" customHeight="1">
      <c r="B347" s="4"/>
      <c r="C347" s="4"/>
      <c r="D347" s="4"/>
      <c r="E347" s="4"/>
      <c r="F347" s="4"/>
      <c r="G347" s="4"/>
      <c r="H347" s="324"/>
      <c r="I347" s="4" t="s">
        <v>88</v>
      </c>
      <c r="P347" s="1395"/>
      <c r="Q347" s="1395"/>
      <c r="R347" s="1395"/>
      <c r="S347" s="1395"/>
      <c r="T347" s="1395"/>
      <c r="U347" s="1395"/>
      <c r="V347" s="1395"/>
      <c r="W347" s="1395"/>
      <c r="X347" s="1395"/>
      <c r="Y347" s="1395"/>
      <c r="Z347" s="1395"/>
      <c r="AA347" s="4" t="s">
        <v>207</v>
      </c>
      <c r="AB347" s="4"/>
      <c r="AC347" s="1472"/>
      <c r="AD347" s="1472"/>
      <c r="AE347" s="1472"/>
      <c r="AF347" s="324"/>
      <c r="AG347" s="4"/>
      <c r="AH347" s="4"/>
      <c r="AI347" s="4"/>
      <c r="AJ347" s="4"/>
      <c r="AK347" s="4"/>
    </row>
    <row r="348" spans="1:66" ht="12.95" customHeight="1">
      <c r="B348" s="4"/>
      <c r="C348" s="4"/>
      <c r="D348" s="4"/>
      <c r="E348" s="4"/>
      <c r="F348" s="4"/>
      <c r="G348" s="4"/>
      <c r="H348" s="324"/>
      <c r="I348" s="4" t="s">
        <v>89</v>
      </c>
      <c r="P348" s="1395"/>
      <c r="Q348" s="1395"/>
      <c r="R348" s="1395"/>
      <c r="S348" s="1395"/>
      <c r="T348" s="1395"/>
      <c r="U348" s="1395"/>
      <c r="V348" s="1395"/>
      <c r="W348" s="1395"/>
      <c r="X348" s="1395"/>
      <c r="Y348" s="1395"/>
      <c r="Z348" s="1395"/>
      <c r="AF348" s="324"/>
      <c r="AG348" s="4"/>
      <c r="AH348" s="4"/>
      <c r="AI348" s="35"/>
      <c r="AJ348" s="35"/>
      <c r="AK348" s="35"/>
    </row>
    <row r="349" spans="1:66" ht="12.95" customHeight="1">
      <c r="B349" s="4"/>
      <c r="C349" s="4"/>
      <c r="D349" s="4"/>
      <c r="E349" s="4"/>
      <c r="F349" s="4"/>
      <c r="G349" s="4"/>
      <c r="I349" s="4" t="s">
        <v>76</v>
      </c>
      <c r="P349" s="1384"/>
      <c r="Q349" s="1384"/>
      <c r="R349" s="1384"/>
      <c r="S349" s="1384"/>
      <c r="T349" s="1384"/>
      <c r="U349" s="1384"/>
      <c r="V349" s="1384"/>
      <c r="W349" s="1384"/>
      <c r="X349" s="1384"/>
      <c r="Y349" s="1384"/>
      <c r="Z349" s="1384"/>
      <c r="AA349" s="1384"/>
      <c r="AB349" s="1384"/>
      <c r="AC349" s="1384"/>
      <c r="AD349" s="1384"/>
      <c r="AE349" s="1384"/>
    </row>
    <row r="350" spans="1:66" ht="12.95" customHeight="1">
      <c r="T350" s="8"/>
      <c r="U350" s="8"/>
      <c r="V350" s="8"/>
      <c r="W350" s="8"/>
      <c r="X350" s="8"/>
      <c r="Y350" s="8"/>
      <c r="Z350" s="8"/>
      <c r="AU350" s="95"/>
      <c r="AV350" s="95"/>
      <c r="AW350" s="95"/>
      <c r="AX350" s="95"/>
      <c r="AY350" s="95"/>
    </row>
    <row r="351" spans="1:66" ht="12.95" customHeight="1">
      <c r="A351" s="1456" t="s">
        <v>550</v>
      </c>
      <c r="B351" s="1456"/>
      <c r="C351" s="1456"/>
      <c r="D351" s="1456"/>
      <c r="E351" s="1456"/>
      <c r="F351" s="1456"/>
      <c r="G351" s="1456"/>
      <c r="H351" s="1456"/>
      <c r="I351" s="1456"/>
      <c r="J351" s="1456"/>
      <c r="K351" s="1456"/>
      <c r="L351" s="1456"/>
      <c r="M351" s="1456"/>
      <c r="N351" s="1456"/>
      <c r="O351" s="1456"/>
      <c r="P351" s="1456"/>
      <c r="Q351" s="1456"/>
      <c r="R351" s="1456"/>
      <c r="S351" s="1456"/>
      <c r="T351" s="1456"/>
      <c r="U351" s="1456"/>
      <c r="V351" s="1456"/>
      <c r="W351" s="1456"/>
      <c r="X351" s="1456"/>
      <c r="Y351" s="1456"/>
      <c r="Z351" s="1456"/>
      <c r="AA351" s="1456"/>
      <c r="AB351" s="1456"/>
      <c r="AC351" s="1456"/>
      <c r="AD351" s="1456"/>
      <c r="AE351" s="1456"/>
      <c r="AF351" s="1456"/>
      <c r="AG351" s="1456"/>
      <c r="AH351" s="1456"/>
      <c r="AI351" s="1456"/>
      <c r="AJ351" s="1456"/>
      <c r="AK351" s="1456"/>
      <c r="AL351" s="1456"/>
      <c r="AM351" s="1456"/>
      <c r="AN351" s="1456"/>
      <c r="AO351" s="1456"/>
      <c r="AP351" s="1456"/>
      <c r="AQ351" s="1456"/>
      <c r="AR351" s="1456"/>
      <c r="AS351" s="1456"/>
      <c r="AT351" s="1456"/>
      <c r="AU351" s="95"/>
      <c r="AV351" s="95"/>
      <c r="AW351" s="95"/>
      <c r="AX351" s="95"/>
      <c r="AY351" s="95"/>
    </row>
    <row r="352" spans="1:66" ht="12.95" customHeight="1">
      <c r="A352" s="1456"/>
      <c r="B352" s="1456"/>
      <c r="C352" s="1456"/>
      <c r="D352" s="1456"/>
      <c r="E352" s="1456"/>
      <c r="F352" s="1456"/>
      <c r="G352" s="1456"/>
      <c r="H352" s="1456"/>
      <c r="I352" s="1456"/>
      <c r="J352" s="1456"/>
      <c r="K352" s="1456"/>
      <c r="L352" s="1456"/>
      <c r="M352" s="1456"/>
      <c r="N352" s="1456"/>
      <c r="O352" s="1456"/>
      <c r="P352" s="1456"/>
      <c r="Q352" s="1456"/>
      <c r="R352" s="1456"/>
      <c r="S352" s="1456"/>
      <c r="T352" s="1456"/>
      <c r="U352" s="1456"/>
      <c r="V352" s="1456"/>
      <c r="W352" s="1456"/>
      <c r="X352" s="1456"/>
      <c r="Y352" s="1456"/>
      <c r="Z352" s="1456"/>
      <c r="AA352" s="1456"/>
      <c r="AB352" s="1456"/>
      <c r="AC352" s="1456"/>
      <c r="AD352" s="1456"/>
      <c r="AE352" s="1456"/>
      <c r="AF352" s="1456"/>
      <c r="AG352" s="1456"/>
      <c r="AH352" s="1456"/>
      <c r="AI352" s="1456"/>
      <c r="AJ352" s="1456"/>
      <c r="AK352" s="1456"/>
      <c r="AL352" s="1456"/>
      <c r="AM352" s="1456"/>
      <c r="AN352" s="1456"/>
      <c r="AO352" s="1456"/>
      <c r="AP352" s="1456"/>
      <c r="AQ352" s="1456"/>
      <c r="AR352" s="1456"/>
      <c r="AS352" s="1456"/>
      <c r="AT352" s="145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791</v>
      </c>
    </row>
    <row r="355" spans="1:46" ht="12.95" customHeight="1">
      <c r="D355" s="3" t="s">
        <v>2415</v>
      </c>
      <c r="M355" s="1383" t="s">
        <v>599</v>
      </c>
      <c r="N355" s="1383"/>
      <c r="P355" t="s">
        <v>1761</v>
      </c>
      <c r="AJ355" s="1383" t="s">
        <v>599</v>
      </c>
      <c r="AK355" s="1383"/>
    </row>
    <row r="356" spans="1:46" ht="12.95" customHeight="1">
      <c r="D356" s="3" t="s">
        <v>1750</v>
      </c>
      <c r="M356" s="1383" t="s">
        <v>599</v>
      </c>
      <c r="N356" s="1383"/>
      <c r="P356" s="3" t="s">
        <v>1907</v>
      </c>
      <c r="AJ356" s="1454"/>
      <c r="AK356" s="1454"/>
    </row>
    <row r="357" spans="1:46" ht="12.95" customHeight="1">
      <c r="D357" s="3" t="s">
        <v>713</v>
      </c>
      <c r="M357" s="1383" t="s">
        <v>599</v>
      </c>
      <c r="N357" s="1383"/>
      <c r="P357" t="s">
        <v>1760</v>
      </c>
      <c r="AJ357" s="1383" t="s">
        <v>599</v>
      </c>
      <c r="AK357" s="1383"/>
    </row>
    <row r="358" spans="1:46" ht="12.95" customHeight="1">
      <c r="D358" s="3" t="s">
        <v>714</v>
      </c>
      <c r="M358" s="1383" t="s">
        <v>553</v>
      </c>
      <c r="N358" s="1383"/>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3" t="s">
        <v>553</v>
      </c>
      <c r="O363" s="1383"/>
      <c r="P363" s="40"/>
      <c r="Q363" s="40"/>
      <c r="R363" s="40"/>
      <c r="S363" s="40"/>
      <c r="T363" s="40"/>
      <c r="U363" s="40"/>
      <c r="V363" s="40"/>
      <c r="W363" s="40"/>
      <c r="X363" s="40"/>
      <c r="Y363" s="40"/>
      <c r="Z363" s="40"/>
      <c r="AC363" s="40"/>
      <c r="AD363" s="40"/>
      <c r="AE363" s="40"/>
    </row>
    <row r="364" spans="1:46" ht="12.95" customHeight="1">
      <c r="E364" t="s">
        <v>371</v>
      </c>
      <c r="Y364" s="1383" t="s">
        <v>599</v>
      </c>
      <c r="Z364" s="1383"/>
    </row>
    <row r="365" spans="1:46" ht="12.95" customHeight="1">
      <c r="D365" s="4" t="s">
        <v>997</v>
      </c>
      <c r="Q365" s="1384" t="s">
        <v>2727</v>
      </c>
      <c r="R365" s="1384"/>
      <c r="S365" s="1384"/>
      <c r="T365" s="1384"/>
      <c r="U365" s="1384"/>
      <c r="V365" s="1384"/>
      <c r="W365" s="1384"/>
      <c r="X365" s="1384"/>
      <c r="Y365" s="1384"/>
      <c r="Z365" s="1384"/>
      <c r="AA365" s="1384"/>
      <c r="AB365" s="1384"/>
      <c r="AC365" s="1384"/>
      <c r="AD365" s="1384"/>
      <c r="AE365" s="1384"/>
      <c r="AF365" s="1384"/>
      <c r="AG365" s="1384"/>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3" t="s">
        <v>599</v>
      </c>
      <c r="K367" s="1383"/>
      <c r="L367" s="40"/>
      <c r="M367" s="40"/>
      <c r="N367" s="40"/>
      <c r="O367" s="40"/>
      <c r="P367" s="40"/>
      <c r="Q367" s="40"/>
      <c r="R367" s="40"/>
      <c r="S367" s="40"/>
      <c r="T367" s="40"/>
      <c r="U367" s="40"/>
      <c r="V367" s="40"/>
      <c r="W367" s="40"/>
      <c r="X367" s="40"/>
      <c r="Y367" s="40"/>
      <c r="Z367" s="40"/>
      <c r="AC367" s="40"/>
      <c r="AD367" s="40"/>
      <c r="AE367" s="40"/>
    </row>
    <row r="368" spans="1:46" ht="12.95" customHeight="1">
      <c r="E368" s="1450" t="s">
        <v>715</v>
      </c>
      <c r="F368" s="1450"/>
      <c r="G368" s="1450"/>
      <c r="H368" s="1450"/>
      <c r="I368" s="1450"/>
      <c r="J368" s="1450"/>
      <c r="K368" s="1450"/>
      <c r="L368" s="1450"/>
      <c r="M368" s="1450"/>
      <c r="N368" s="1450"/>
      <c r="O368" s="1450"/>
      <c r="P368" s="1450"/>
      <c r="Q368" s="1450"/>
      <c r="R368" s="1450"/>
      <c r="S368" s="1450"/>
      <c r="T368" s="1450"/>
      <c r="U368" s="1450"/>
      <c r="V368" s="1450"/>
      <c r="W368" s="1450"/>
      <c r="X368" s="1450"/>
      <c r="Y368" s="1450"/>
      <c r="Z368" s="1450"/>
      <c r="AA368" s="1450"/>
      <c r="AB368" s="1450"/>
      <c r="AC368" s="1450"/>
      <c r="AD368" s="1450"/>
      <c r="AE368" s="1450"/>
      <c r="AF368" s="1450"/>
      <c r="AG368" s="1450"/>
      <c r="AH368" s="1450"/>
    </row>
    <row r="369" spans="1:34" ht="12.95" customHeight="1">
      <c r="E369" s="1450"/>
      <c r="F369" s="1450"/>
      <c r="G369" s="1450"/>
      <c r="H369" s="1450"/>
      <c r="I369" s="1450"/>
      <c r="J369" s="1450"/>
      <c r="K369" s="1450"/>
      <c r="L369" s="1450"/>
      <c r="M369" s="1450"/>
      <c r="N369" s="1450"/>
      <c r="O369" s="1450"/>
      <c r="P369" s="1450"/>
      <c r="Q369" s="1450"/>
      <c r="R369" s="1450"/>
      <c r="S369" s="1450"/>
      <c r="T369" s="1450"/>
      <c r="U369" s="1450"/>
      <c r="V369" s="1450"/>
      <c r="W369" s="1450"/>
      <c r="X369" s="1450"/>
      <c r="Y369" s="1450"/>
      <c r="Z369" s="1450"/>
      <c r="AA369" s="1450"/>
      <c r="AB369" s="1450"/>
      <c r="AC369" s="1450"/>
      <c r="AD369" s="1450"/>
      <c r="AE369" s="1450"/>
      <c r="AF369" s="1450"/>
      <c r="AG369" s="1450"/>
      <c r="AH369" s="1450"/>
    </row>
    <row r="370" spans="1:34" ht="12.95" customHeight="1">
      <c r="E370" s="4" t="s">
        <v>456</v>
      </c>
      <c r="F370" s="4"/>
      <c r="G370" s="4"/>
      <c r="H370" s="4"/>
      <c r="I370" s="4"/>
      <c r="J370" s="4"/>
      <c r="K370" s="4"/>
      <c r="L370" s="4"/>
      <c r="N370" s="1650">
        <v>27</v>
      </c>
      <c r="O370" s="1650"/>
      <c r="P370" s="1650"/>
      <c r="Q370" s="1650"/>
      <c r="R370" s="4"/>
      <c r="U370" s="4" t="s">
        <v>457</v>
      </c>
      <c r="V370" s="4"/>
      <c r="W370" s="4"/>
      <c r="X370" s="4"/>
      <c r="Y370" s="4"/>
      <c r="Z370" s="4"/>
      <c r="AA370" s="4"/>
      <c r="AB370" s="4"/>
      <c r="AC370" s="1650">
        <v>16</v>
      </c>
      <c r="AD370" s="1650"/>
      <c r="AE370" s="1650"/>
      <c r="AF370" s="1650"/>
    </row>
    <row r="371" spans="1:34" ht="12.95" customHeight="1">
      <c r="E371" s="4" t="s">
        <v>458</v>
      </c>
      <c r="F371" s="4"/>
      <c r="G371" s="4"/>
      <c r="H371" s="4"/>
      <c r="I371" s="4"/>
      <c r="J371" s="4"/>
      <c r="K371" s="4"/>
      <c r="L371" s="4"/>
      <c r="N371" s="1650">
        <v>16</v>
      </c>
      <c r="O371" s="1650"/>
      <c r="P371" s="1650"/>
      <c r="Q371" s="1650"/>
      <c r="R371" s="4"/>
      <c r="U371" s="4" t="s">
        <v>0</v>
      </c>
      <c r="V371" s="4"/>
      <c r="W371" s="4"/>
      <c r="X371" s="4"/>
      <c r="Y371" s="4"/>
      <c r="Z371" s="4"/>
      <c r="AA371" s="4"/>
      <c r="AB371" s="4"/>
      <c r="AC371" s="1650">
        <v>197</v>
      </c>
      <c r="AD371" s="1650"/>
      <c r="AE371" s="1650"/>
      <c r="AF371" s="1650"/>
    </row>
    <row r="372" spans="1:34" ht="12.95" customHeight="1">
      <c r="E372" s="4" t="s">
        <v>1</v>
      </c>
      <c r="F372" s="4"/>
      <c r="G372" s="4"/>
      <c r="H372" s="4"/>
      <c r="I372" s="4"/>
      <c r="J372" s="4"/>
      <c r="K372" s="4"/>
      <c r="L372" s="4"/>
      <c r="N372" s="1650">
        <v>2</v>
      </c>
      <c r="O372" s="1650"/>
      <c r="P372" s="1650"/>
      <c r="Q372" s="1650"/>
      <c r="R372" s="4"/>
      <c r="V372" s="4"/>
      <c r="W372" s="4"/>
      <c r="X372" s="4"/>
      <c r="Y372" s="4"/>
      <c r="Z372" s="4"/>
      <c r="AA372" s="4"/>
      <c r="AB372" s="4"/>
    </row>
    <row r="373" spans="1:34" ht="12.95" customHeight="1">
      <c r="E373" s="4" t="s">
        <v>2</v>
      </c>
      <c r="F373" s="4"/>
      <c r="G373" s="4"/>
      <c r="H373" s="4"/>
      <c r="I373" s="4"/>
      <c r="J373" s="4"/>
      <c r="K373" s="4"/>
      <c r="L373" s="4"/>
      <c r="N373" s="1851" t="s">
        <v>2728</v>
      </c>
      <c r="O373" s="1851"/>
      <c r="P373" s="1851"/>
      <c r="Q373" s="1851"/>
      <c r="R373" s="1851"/>
      <c r="S373" s="1851"/>
      <c r="T373" s="1851"/>
      <c r="U373" s="1851"/>
      <c r="V373" s="1851"/>
      <c r="W373" s="1851"/>
      <c r="X373" s="1851"/>
      <c r="Y373" s="1851"/>
      <c r="Z373" s="1851"/>
      <c r="AA373" s="1851"/>
      <c r="AB373" s="1851"/>
      <c r="AC373" s="1851"/>
      <c r="AD373" s="1851"/>
      <c r="AE373" s="1851"/>
      <c r="AF373" s="1851"/>
    </row>
    <row r="374" spans="1:34" ht="12.95" customHeight="1">
      <c r="E374" s="4"/>
      <c r="F374" s="4"/>
      <c r="G374" s="4"/>
      <c r="H374" s="4"/>
      <c r="I374" s="4"/>
      <c r="J374" s="4"/>
      <c r="K374" s="4"/>
      <c r="L374" s="4"/>
      <c r="N374" s="1852"/>
      <c r="O374" s="1852"/>
      <c r="P374" s="1852"/>
      <c r="Q374" s="1852"/>
      <c r="R374" s="1852"/>
      <c r="S374" s="1852"/>
      <c r="T374" s="1852"/>
      <c r="U374" s="1852"/>
      <c r="V374" s="1852"/>
      <c r="W374" s="1852"/>
      <c r="X374" s="1852"/>
      <c r="Y374" s="1852"/>
      <c r="Z374" s="1852"/>
      <c r="AA374" s="1852"/>
      <c r="AB374" s="1852"/>
      <c r="AC374" s="1852"/>
      <c r="AD374" s="1852"/>
      <c r="AE374" s="1852"/>
      <c r="AF374" s="1852"/>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85">
        <v>96</v>
      </c>
      <c r="T377" s="1685"/>
      <c r="U377" s="1" t="s">
        <v>307</v>
      </c>
      <c r="V377" s="1685">
        <v>905</v>
      </c>
      <c r="W377" s="1685"/>
      <c r="Y377" t="s">
        <v>2394</v>
      </c>
      <c r="AC377" s="27" t="s">
        <v>306</v>
      </c>
      <c r="AD377" s="1685"/>
      <c r="AE377" s="1685"/>
      <c r="AF377" s="1" t="s">
        <v>307</v>
      </c>
      <c r="AG377" s="1685"/>
      <c r="AH377" s="1685"/>
    </row>
    <row r="378" spans="1:34" ht="12.95" customHeight="1">
      <c r="E378" s="4" t="s">
        <v>1011</v>
      </c>
      <c r="F378" s="4"/>
      <c r="G378" s="4"/>
      <c r="H378" s="4"/>
      <c r="I378" s="4"/>
      <c r="J378" s="4"/>
      <c r="K378" s="4"/>
      <c r="L378" s="4"/>
      <c r="N378" s="1685">
        <v>1998</v>
      </c>
      <c r="O378" s="1685"/>
      <c r="P378" s="1685"/>
    </row>
    <row r="379" spans="1:34" ht="12.95" customHeight="1">
      <c r="E379" s="218" t="s">
        <v>2400</v>
      </c>
      <c r="F379" s="4"/>
      <c r="G379" s="4"/>
      <c r="H379" s="4"/>
      <c r="I379" s="4"/>
      <c r="J379" s="4"/>
      <c r="K379" s="4"/>
      <c r="L379" s="4"/>
      <c r="AG379" s="1690" t="s">
        <v>553</v>
      </c>
      <c r="AH379" s="1690"/>
    </row>
    <row r="380" spans="1:34" ht="12.95" customHeight="1">
      <c r="E380" s="4"/>
      <c r="F380" s="4"/>
      <c r="G380" s="4" t="s">
        <v>2401</v>
      </c>
      <c r="H380" s="4"/>
      <c r="I380" s="4"/>
      <c r="J380" s="4"/>
      <c r="K380" s="4"/>
      <c r="L380" s="4"/>
      <c r="AG380" s="1690" t="s">
        <v>677</v>
      </c>
      <c r="AH380" s="1690"/>
    </row>
    <row r="381" spans="1:34" ht="12.95" customHeight="1">
      <c r="E381" s="4"/>
      <c r="F381" s="4"/>
      <c r="G381" s="348" t="s">
        <v>1012</v>
      </c>
      <c r="H381" s="4"/>
      <c r="I381" s="4"/>
      <c r="J381" s="4"/>
      <c r="K381" s="4"/>
      <c r="L381" s="4"/>
      <c r="V381" s="1383" t="s">
        <v>599</v>
      </c>
      <c r="W381" s="1383"/>
      <c r="Y381" s="22" t="s">
        <v>999</v>
      </c>
    </row>
    <row r="382" spans="1:34" ht="12.95" customHeight="1">
      <c r="E382" s="4" t="s">
        <v>1000</v>
      </c>
      <c r="F382" s="4"/>
      <c r="G382" s="4"/>
      <c r="H382" s="4"/>
      <c r="I382" s="4"/>
      <c r="J382" s="4"/>
      <c r="K382" s="4"/>
      <c r="L382" s="4"/>
      <c r="V382" s="1383" t="s">
        <v>599</v>
      </c>
      <c r="W382" s="1383"/>
      <c r="Y382" s="4" t="s">
        <v>1001</v>
      </c>
    </row>
    <row r="383" spans="1:34" ht="12.95" customHeight="1"/>
    <row r="384" spans="1:34" ht="12.95" customHeight="1">
      <c r="A384" s="2" t="s">
        <v>78</v>
      </c>
      <c r="B384" s="2"/>
    </row>
    <row r="385" spans="4:36" ht="12.95" customHeight="1">
      <c r="D385" t="s">
        <v>429</v>
      </c>
      <c r="J385" s="1384" t="s">
        <v>2729</v>
      </c>
      <c r="K385" s="1384"/>
      <c r="L385" s="1384"/>
      <c r="M385" s="1384"/>
      <c r="N385" s="1384"/>
      <c r="O385" s="1384"/>
      <c r="P385" s="1384"/>
      <c r="Q385" s="1384"/>
      <c r="R385" s="1384"/>
      <c r="S385" s="1384"/>
      <c r="T385" s="1384"/>
      <c r="U385" s="1384"/>
      <c r="V385" s="8" t="s">
        <v>83</v>
      </c>
      <c r="W385" s="8"/>
      <c r="X385" s="8"/>
      <c r="Y385" s="8"/>
      <c r="Z385" s="8"/>
      <c r="AA385" s="8"/>
      <c r="AB385" s="8"/>
      <c r="AC385" s="1384" t="s">
        <v>2669</v>
      </c>
      <c r="AD385" s="1384"/>
      <c r="AE385" s="1384"/>
      <c r="AF385" s="1384"/>
      <c r="AG385" s="1384"/>
      <c r="AH385" s="1384"/>
      <c r="AI385" s="1384"/>
      <c r="AJ385" s="1384"/>
    </row>
    <row r="386" spans="4:36" ht="12.95" customHeight="1">
      <c r="D386" s="3" t="s">
        <v>1288</v>
      </c>
      <c r="J386" s="1441" t="s">
        <v>2730</v>
      </c>
      <c r="K386" s="1441"/>
      <c r="L386" s="1441"/>
      <c r="M386" s="1441"/>
      <c r="N386" s="1441"/>
      <c r="O386" s="1441"/>
      <c r="P386" s="1441"/>
      <c r="Q386" s="1441"/>
      <c r="R386" s="1441"/>
      <c r="S386" s="1441"/>
      <c r="T386" s="1441"/>
      <c r="U386" s="1441"/>
      <c r="V386" s="3" t="s">
        <v>1288</v>
      </c>
      <c r="W386" s="8"/>
      <c r="X386" s="8"/>
      <c r="Y386" s="8"/>
      <c r="Z386" s="8"/>
      <c r="AA386" s="8"/>
      <c r="AB386" s="8"/>
      <c r="AC386" s="1384"/>
      <c r="AD386" s="1384"/>
      <c r="AE386" s="1384"/>
      <c r="AF386" s="1384"/>
      <c r="AG386" s="1384"/>
      <c r="AH386" s="1384"/>
      <c r="AI386" s="1384"/>
      <c r="AJ386" s="1384"/>
    </row>
    <row r="387" spans="4:36" ht="12.95" customHeight="1">
      <c r="D387" s="3" t="s">
        <v>443</v>
      </c>
      <c r="J387" s="1441" t="s">
        <v>2731</v>
      </c>
      <c r="K387" s="1441"/>
      <c r="L387" s="1441"/>
      <c r="M387" s="1441"/>
      <c r="N387" s="1441"/>
      <c r="O387" s="1441"/>
      <c r="P387" s="1441"/>
      <c r="Q387" s="1441"/>
      <c r="R387" s="1441"/>
      <c r="S387" s="1441"/>
      <c r="T387" s="1441"/>
      <c r="U387" s="1441"/>
      <c r="V387" s="3" t="s">
        <v>443</v>
      </c>
      <c r="W387" s="8"/>
      <c r="X387" s="8"/>
      <c r="Y387" s="8"/>
      <c r="Z387" s="8"/>
      <c r="AA387" s="8"/>
      <c r="AB387" s="8"/>
      <c r="AC387" s="1384"/>
      <c r="AD387" s="1384"/>
      <c r="AE387" s="1384"/>
      <c r="AF387" s="1384"/>
      <c r="AG387" s="1384"/>
      <c r="AH387" s="1384"/>
      <c r="AI387" s="1384"/>
      <c r="AJ387" s="1384"/>
    </row>
    <row r="388" spans="4:36" ht="12.95" customHeight="1">
      <c r="D388" t="s">
        <v>1284</v>
      </c>
      <c r="J388" s="1433" t="s">
        <v>2667</v>
      </c>
      <c r="K388" s="1433"/>
      <c r="L388" s="1433"/>
      <c r="M388" s="1433"/>
      <c r="N388" s="1433"/>
      <c r="O388" s="1433"/>
      <c r="P388" s="1433"/>
      <c r="Q388" s="1433"/>
      <c r="R388" s="1433"/>
      <c r="S388" s="1433"/>
      <c r="T388" s="1433"/>
      <c r="U388" s="1433"/>
      <c r="V388" s="1384" t="s">
        <v>2732</v>
      </c>
      <c r="W388" s="1384"/>
      <c r="X388" s="1384"/>
      <c r="Y388" s="1384"/>
      <c r="Z388" s="1384"/>
      <c r="AA388" s="1384"/>
      <c r="AB388" s="1384"/>
      <c r="AC388" s="1384"/>
      <c r="AD388" s="1384"/>
      <c r="AE388" s="1384"/>
      <c r="AF388" s="1384"/>
      <c r="AG388" s="1384"/>
      <c r="AH388" s="1384"/>
      <c r="AI388" s="1384"/>
      <c r="AJ388" s="1384"/>
    </row>
    <row r="389" spans="4:36" ht="12.95" customHeight="1">
      <c r="D389" t="s">
        <v>4</v>
      </c>
      <c r="Q389" s="1689">
        <v>45474</v>
      </c>
      <c r="R389" s="1689"/>
      <c r="S389" s="1689"/>
      <c r="T389" s="1689"/>
      <c r="U389" s="1689"/>
      <c r="V389" t="s">
        <v>310</v>
      </c>
      <c r="AI389" s="1383" t="s">
        <v>677</v>
      </c>
      <c r="AJ389" s="1383"/>
    </row>
    <row r="390" spans="4:36" ht="12.95" customHeight="1">
      <c r="D390" t="s">
        <v>5</v>
      </c>
      <c r="Q390" s="1582">
        <v>46203</v>
      </c>
      <c r="R390" s="1686"/>
      <c r="S390" s="1686"/>
      <c r="T390" s="1686"/>
      <c r="U390" s="1686"/>
      <c r="W390" s="21" t="s">
        <v>74</v>
      </c>
      <c r="AG390" s="1683"/>
      <c r="AH390" s="1683"/>
      <c r="AI390" s="1683"/>
      <c r="AJ390" s="1683"/>
    </row>
    <row r="391" spans="4:36" ht="12.95" customHeight="1">
      <c r="D391" t="s">
        <v>428</v>
      </c>
      <c r="Q391" s="1684">
        <v>37150000</v>
      </c>
      <c r="R391" s="1684"/>
      <c r="S391" s="1684"/>
      <c r="T391" s="1684"/>
      <c r="U391" s="1684"/>
      <c r="V391" s="3" t="s">
        <v>1287</v>
      </c>
      <c r="AG391" s="1820">
        <v>45672</v>
      </c>
      <c r="AH391" s="1820"/>
      <c r="AI391" s="1820"/>
      <c r="AJ391" s="1820"/>
    </row>
    <row r="392" spans="4:36" ht="12.95" customHeight="1">
      <c r="D392" t="s">
        <v>88</v>
      </c>
      <c r="I392" s="1473" t="s">
        <v>2670</v>
      </c>
      <c r="J392" s="1473"/>
      <c r="K392" s="1473"/>
      <c r="L392" s="1473"/>
      <c r="M392" s="1473"/>
      <c r="N392" s="1473"/>
      <c r="Q392" s="4" t="s">
        <v>207</v>
      </c>
      <c r="S392" s="1688"/>
      <c r="T392" s="1688"/>
      <c r="U392" s="1688"/>
      <c r="V392" t="s">
        <v>73</v>
      </c>
      <c r="AI392" s="1383" t="s">
        <v>677</v>
      </c>
      <c r="AJ392" s="1383"/>
    </row>
    <row r="393" spans="4:36" ht="12.95" customHeight="1">
      <c r="D393" t="s">
        <v>311</v>
      </c>
      <c r="Q393" s="1436"/>
      <c r="R393" s="1436"/>
      <c r="S393" s="1436"/>
      <c r="T393" s="1436"/>
      <c r="U393" s="1436"/>
      <c r="V393" t="s">
        <v>312</v>
      </c>
      <c r="AG393" s="1683"/>
      <c r="AH393" s="1683"/>
      <c r="AI393" s="1683"/>
      <c r="AJ393" s="1683"/>
    </row>
    <row r="394" spans="4:36" ht="12.95" customHeight="1">
      <c r="D394" t="s">
        <v>313</v>
      </c>
      <c r="Q394" s="1770"/>
      <c r="R394" s="1770"/>
      <c r="S394" s="1770"/>
      <c r="T394" s="1770"/>
      <c r="U394" s="1770"/>
      <c r="V394" t="s">
        <v>1268</v>
      </c>
      <c r="AG394" s="1683"/>
      <c r="AH394" s="1683"/>
      <c r="AI394" s="1683"/>
      <c r="AJ394" s="1683"/>
    </row>
    <row r="395" spans="4:36" ht="12.95" customHeight="1">
      <c r="D395" t="s">
        <v>1267</v>
      </c>
      <c r="AG395" s="1683"/>
      <c r="AH395" s="1683"/>
      <c r="AI395" s="1683"/>
      <c r="AJ395" s="1683"/>
    </row>
    <row r="396" spans="4:36" ht="12.95" customHeight="1">
      <c r="AG396" s="490"/>
      <c r="AH396" s="490"/>
      <c r="AI396" s="490"/>
      <c r="AJ396" s="490"/>
    </row>
    <row r="397" spans="4:36" ht="12.95" customHeight="1">
      <c r="D397" s="3" t="s">
        <v>2500</v>
      </c>
      <c r="AG397" s="490"/>
      <c r="AH397" s="490"/>
      <c r="AI397" s="1383" t="s">
        <v>677</v>
      </c>
      <c r="AJ397" s="1383"/>
    </row>
    <row r="398" spans="4:36" ht="12.95" customHeight="1">
      <c r="D398" s="3" t="s">
        <v>1779</v>
      </c>
      <c r="T398" s="1777"/>
      <c r="U398" s="1777"/>
      <c r="V398" s="1777"/>
      <c r="W398" s="1777"/>
      <c r="X398" s="1777"/>
      <c r="Y398" s="1777"/>
      <c r="Z398" s="1777"/>
      <c r="AA398" s="1777"/>
      <c r="AB398" s="1777"/>
      <c r="AC398" s="1777"/>
      <c r="AD398" s="1777"/>
      <c r="AE398" s="1777"/>
      <c r="AF398" s="1777"/>
      <c r="AG398" s="1777"/>
      <c r="AH398" s="1777"/>
      <c r="AI398" s="1777"/>
      <c r="AJ398" s="1777"/>
    </row>
    <row r="399" spans="4:36" ht="12.95" customHeight="1">
      <c r="D399" s="3" t="s">
        <v>1778</v>
      </c>
      <c r="T399" s="1777"/>
      <c r="U399" s="1777"/>
      <c r="V399" s="1777"/>
      <c r="W399" s="1777"/>
      <c r="X399" s="1777"/>
      <c r="Y399" s="1777"/>
      <c r="Z399" s="1777"/>
      <c r="AA399" s="1777"/>
      <c r="AB399" s="1777"/>
      <c r="AC399" s="1777"/>
      <c r="AD399" s="1777"/>
      <c r="AE399" s="1777"/>
      <c r="AF399" s="1777"/>
      <c r="AG399" s="1777"/>
      <c r="AH399" s="1777"/>
      <c r="AI399" s="1777"/>
      <c r="AJ399" s="1777"/>
    </row>
    <row r="400" spans="4:36" ht="12.95" customHeight="1">
      <c r="AG400" s="490"/>
      <c r="AH400" s="490"/>
      <c r="AI400" s="490"/>
      <c r="AJ400" s="490"/>
    </row>
    <row r="401" spans="1:36" ht="12.95" customHeight="1">
      <c r="D401" s="3" t="s">
        <v>1772</v>
      </c>
      <c r="S401" s="1777" t="s">
        <v>677</v>
      </c>
      <c r="T401" s="1777"/>
      <c r="U401" s="1777"/>
      <c r="V401" t="s">
        <v>1773</v>
      </c>
      <c r="AG401" s="1846"/>
      <c r="AH401" s="1846"/>
      <c r="AI401" s="1846"/>
      <c r="AJ401" s="1846"/>
    </row>
    <row r="402" spans="1:36" ht="12.95" customHeight="1">
      <c r="D402" s="3" t="s">
        <v>1770</v>
      </c>
      <c r="S402" s="1777" t="s">
        <v>599</v>
      </c>
      <c r="T402" s="1777"/>
      <c r="U402" s="1777"/>
      <c r="V402" t="s">
        <v>1775</v>
      </c>
      <c r="AE402" s="1850"/>
      <c r="AF402" s="1850"/>
      <c r="AG402" s="1850"/>
      <c r="AH402" s="1850"/>
      <c r="AI402" s="1850"/>
      <c r="AJ402" s="1850"/>
    </row>
    <row r="403" spans="1:36" ht="12.95" customHeight="1">
      <c r="D403" s="3" t="s">
        <v>1771</v>
      </c>
      <c r="K403" s="1804"/>
      <c r="L403" s="1804"/>
      <c r="M403" s="1804"/>
      <c r="N403" s="1804"/>
      <c r="O403" s="1804"/>
      <c r="P403" s="1804"/>
      <c r="Q403" s="1804"/>
      <c r="R403" s="1804"/>
      <c r="S403" s="1804"/>
      <c r="T403" s="1804"/>
      <c r="U403" s="1804"/>
      <c r="V403" s="1804"/>
      <c r="W403" s="1804"/>
      <c r="X403" s="1804"/>
      <c r="Y403" s="1804"/>
      <c r="Z403" s="1804"/>
      <c r="AA403" s="1804"/>
      <c r="AB403" s="1804"/>
      <c r="AC403" s="1804"/>
      <c r="AD403" s="1804"/>
      <c r="AE403" s="1804"/>
      <c r="AF403" s="1804"/>
      <c r="AG403" s="1804"/>
      <c r="AH403" s="1804"/>
      <c r="AI403" s="1804"/>
      <c r="AJ403" s="1804"/>
    </row>
    <row r="404" spans="1:36" ht="12.95" customHeight="1">
      <c r="D404" s="3" t="s">
        <v>1774</v>
      </c>
      <c r="K404" s="1804"/>
      <c r="L404" s="1804"/>
      <c r="M404" s="1804"/>
      <c r="N404" s="1804"/>
      <c r="O404" s="1804"/>
      <c r="P404" s="1804"/>
      <c r="Q404" s="1804"/>
      <c r="R404" s="1804"/>
      <c r="S404" s="1804"/>
      <c r="T404" s="1804"/>
      <c r="U404" s="1804"/>
      <c r="V404" s="1804"/>
      <c r="W404" s="1804"/>
      <c r="X404" s="1804"/>
      <c r="Y404" s="1804"/>
      <c r="Z404" s="1804"/>
      <c r="AA404" s="1804"/>
      <c r="AB404" s="1804"/>
      <c r="AC404" s="1804"/>
      <c r="AD404" s="1804"/>
      <c r="AE404" s="1804"/>
      <c r="AF404" s="1804"/>
      <c r="AG404" s="1804"/>
      <c r="AH404" s="1804"/>
      <c r="AI404" s="1804"/>
      <c r="AJ404" s="1804"/>
    </row>
    <row r="405" spans="1:36" ht="12.95" customHeight="1">
      <c r="D405" s="3" t="s">
        <v>1777</v>
      </c>
      <c r="E405" s="511"/>
      <c r="F405" s="511"/>
      <c r="G405" s="511"/>
      <c r="H405" s="511"/>
      <c r="I405" s="511"/>
      <c r="J405" s="511"/>
      <c r="K405" s="511"/>
      <c r="L405" s="511"/>
      <c r="M405" s="511"/>
      <c r="N405" s="511"/>
      <c r="O405" s="511"/>
      <c r="P405" s="511"/>
      <c r="Q405" s="511"/>
      <c r="R405" s="511"/>
      <c r="S405" s="1824" t="s">
        <v>1290</v>
      </c>
      <c r="T405" s="1824"/>
      <c r="U405" s="1824"/>
      <c r="V405" s="1824"/>
      <c r="W405" s="1824"/>
      <c r="X405" s="1824"/>
      <c r="Y405" s="1824"/>
      <c r="Z405" s="1824"/>
      <c r="AA405" s="1824"/>
      <c r="AB405" s="1824"/>
      <c r="AC405" s="1824"/>
      <c r="AD405" s="1824"/>
      <c r="AE405" s="1824"/>
      <c r="AF405" s="1824"/>
      <c r="AG405" s="1824"/>
      <c r="AH405" s="1824"/>
      <c r="AI405" s="1824"/>
      <c r="AJ405" s="1824"/>
    </row>
    <row r="406" spans="1:36" ht="12.95" customHeight="1">
      <c r="D406" s="1274" t="s">
        <v>1776</v>
      </c>
      <c r="E406" s="1274"/>
      <c r="F406" s="1274"/>
      <c r="G406" s="1274"/>
      <c r="H406" s="1274"/>
      <c r="I406" s="1274"/>
      <c r="J406" s="1274"/>
      <c r="K406" s="1274"/>
      <c r="L406" s="1274"/>
      <c r="M406" s="1274"/>
      <c r="N406" s="1274"/>
      <c r="O406" s="1274"/>
      <c r="P406" s="1274"/>
      <c r="Q406" s="1274"/>
      <c r="R406" s="1274"/>
      <c r="S406" s="1274"/>
      <c r="T406" s="1274"/>
      <c r="U406" s="1274"/>
      <c r="V406" s="1274"/>
      <c r="W406" s="1274"/>
      <c r="X406" s="1274"/>
      <c r="Y406" s="1274"/>
      <c r="Z406" s="1274"/>
      <c r="AA406" s="1274"/>
      <c r="AB406" s="1274"/>
      <c r="AC406" s="1274"/>
      <c r="AD406" s="1274"/>
      <c r="AE406" s="1274"/>
      <c r="AF406" s="1274"/>
      <c r="AG406" s="1274"/>
      <c r="AH406" s="1274"/>
      <c r="AI406" s="1274"/>
      <c r="AJ406" s="1274"/>
    </row>
    <row r="407" spans="1:36" ht="12.95" customHeight="1">
      <c r="D407" s="1274"/>
      <c r="E407" s="1274"/>
      <c r="F407" s="1274"/>
      <c r="G407" s="1274"/>
      <c r="H407" s="1274"/>
      <c r="I407" s="1274"/>
      <c r="J407" s="1274"/>
      <c r="K407" s="1274"/>
      <c r="L407" s="1274"/>
      <c r="M407" s="1274"/>
      <c r="N407" s="1274"/>
      <c r="O407" s="1274"/>
      <c r="P407" s="1274"/>
      <c r="Q407" s="1274"/>
      <c r="R407" s="1274"/>
      <c r="S407" s="1274"/>
      <c r="T407" s="1274"/>
      <c r="U407" s="1274"/>
      <c r="V407" s="1274"/>
      <c r="W407" s="1274"/>
      <c r="X407" s="1274"/>
      <c r="Y407" s="1274"/>
      <c r="Z407" s="1274"/>
      <c r="AA407" s="1274"/>
      <c r="AB407" s="1274"/>
      <c r="AC407" s="1274"/>
      <c r="AD407" s="1274"/>
      <c r="AE407" s="1274"/>
      <c r="AF407" s="1274"/>
      <c r="AG407" s="1274"/>
      <c r="AH407" s="1274"/>
      <c r="AI407" s="1274"/>
      <c r="AJ407" s="1274"/>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451" t="s">
        <v>2733</v>
      </c>
      <c r="J410" s="1451"/>
      <c r="K410" s="1451"/>
      <c r="L410" s="1451"/>
      <c r="M410" s="1451"/>
      <c r="N410" s="1451"/>
      <c r="O410" s="1451"/>
      <c r="P410" s="1451"/>
      <c r="Q410" s="1451"/>
      <c r="R410" s="1451"/>
      <c r="S410" s="1451"/>
      <c r="T410" s="1451"/>
      <c r="U410" s="1451"/>
      <c r="V410" s="1451"/>
      <c r="W410" s="1451"/>
      <c r="X410" s="1451"/>
      <c r="Y410" s="1451"/>
      <c r="Z410" s="1451"/>
      <c r="AA410" s="1451"/>
      <c r="AB410" s="1451"/>
      <c r="AC410" s="1451"/>
      <c r="AD410" s="1451"/>
      <c r="AE410" s="1451"/>
    </row>
    <row r="411" spans="1:36" ht="12.95" customHeight="1">
      <c r="E411" t="s">
        <v>106</v>
      </c>
      <c r="R411" s="1383" t="s">
        <v>599</v>
      </c>
      <c r="S411" s="1383"/>
      <c r="AC411" s="27" t="s">
        <v>578</v>
      </c>
      <c r="AD411" s="1650">
        <v>0</v>
      </c>
      <c r="AE411" s="1650"/>
    </row>
    <row r="412" spans="1:36" ht="12.95" customHeight="1">
      <c r="E412" t="s">
        <v>107</v>
      </c>
      <c r="R412" s="1383" t="s">
        <v>553</v>
      </c>
      <c r="S412" s="1383"/>
      <c r="AC412" s="27" t="s">
        <v>578</v>
      </c>
      <c r="AD412" s="1650">
        <v>2</v>
      </c>
      <c r="AE412" s="1650"/>
    </row>
    <row r="413" spans="1:36" ht="12.95" customHeight="1">
      <c r="E413" t="s">
        <v>108</v>
      </c>
      <c r="S413" s="1383" t="s">
        <v>599</v>
      </c>
      <c r="T413" s="1383"/>
    </row>
    <row r="414" spans="1:36" ht="12.95" customHeight="1">
      <c r="E414" t="s">
        <v>170</v>
      </c>
      <c r="H414" s="1705" t="s">
        <v>335</v>
      </c>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row>
    <row r="415" spans="1:36" ht="12.95" customHeight="1">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row>
    <row r="416" spans="1:36" ht="12.95" customHeight="1"/>
    <row r="417" spans="1:39" ht="12.95" customHeight="1">
      <c r="A417" s="2" t="s">
        <v>598</v>
      </c>
      <c r="B417" s="2"/>
      <c r="C417" s="2"/>
      <c r="D417" s="2" t="s">
        <v>114</v>
      </c>
      <c r="AF417" s="2" t="s">
        <v>976</v>
      </c>
    </row>
    <row r="418" spans="1:39" ht="12.95" customHeight="1">
      <c r="E418" s="1685"/>
      <c r="F418" s="1685"/>
      <c r="G418" s="1685"/>
      <c r="H418" s="13" t="s">
        <v>115</v>
      </c>
      <c r="I418" s="1685"/>
      <c r="J418" s="1685"/>
      <c r="K418" s="1685"/>
      <c r="L418" t="s">
        <v>116</v>
      </c>
      <c r="N418" s="27" t="s">
        <v>583</v>
      </c>
      <c r="P418" s="1687">
        <v>6.3079999999999998</v>
      </c>
      <c r="Q418" s="1687"/>
      <c r="R418" s="1687"/>
      <c r="S418" t="s">
        <v>117</v>
      </c>
      <c r="W418" s="1867">
        <f>IF(E418&gt;0,(E418*I418),(P418*43560))</f>
        <v>274776.48</v>
      </c>
      <c r="X418" s="1867"/>
      <c r="Y418" s="1867"/>
      <c r="Z418" t="s">
        <v>118</v>
      </c>
      <c r="AF418" s="1704">
        <f>IFERROR(IF(P418&gt;0,(AG437/P418),(AG437/(W418/43560))),0)</f>
        <v>31.230183893468613</v>
      </c>
      <c r="AG418" s="1704"/>
      <c r="AH418" s="1704"/>
      <c r="AM418" s="3"/>
    </row>
    <row r="419" spans="1:39" ht="12.95" customHeight="1">
      <c r="E419" t="s">
        <v>51</v>
      </c>
    </row>
    <row r="420" spans="1:39" ht="12.95" customHeight="1">
      <c r="E420" s="1849"/>
      <c r="F420" s="1849"/>
      <c r="G420" s="1849"/>
      <c r="H420" s="1849"/>
      <c r="I420" s="1849"/>
      <c r="J420" s="1849"/>
      <c r="K420" s="1849"/>
      <c r="L420" s="1849"/>
      <c r="M420" s="1849"/>
      <c r="N420" s="1849"/>
      <c r="O420" s="1849"/>
      <c r="P420" s="1849"/>
      <c r="Q420" s="1849"/>
      <c r="R420" s="1849"/>
      <c r="S420" s="1849"/>
      <c r="T420" s="1849"/>
      <c r="U420" s="1849"/>
      <c r="V420" s="1849"/>
      <c r="W420" s="1849"/>
      <c r="X420" s="1849"/>
      <c r="Y420" s="1849"/>
      <c r="Z420" s="1849"/>
      <c r="AA420" s="1849"/>
      <c r="AB420" s="1849"/>
      <c r="AC420" s="1849"/>
      <c r="AD420" s="1849"/>
      <c r="AE420" s="1849"/>
      <c r="AF420" s="1849"/>
      <c r="AG420" s="1849"/>
      <c r="AH420" s="1849"/>
      <c r="AI420" s="1849"/>
      <c r="AJ420" s="1849"/>
    </row>
    <row r="421" spans="1:39" ht="12.95" customHeight="1">
      <c r="E421" s="118" t="s">
        <v>1924</v>
      </c>
      <c r="F421" s="1048"/>
      <c r="G421" s="1048"/>
      <c r="H421" s="1048"/>
      <c r="I421" s="1775"/>
      <c r="J421" s="1775"/>
      <c r="K421" s="1775"/>
      <c r="L421" s="1048"/>
      <c r="M421" s="118"/>
      <c r="N421" s="1048"/>
      <c r="O421" s="1048"/>
      <c r="P421" s="1640" t="e">
        <f>(CS634+CS642+CS658)/I421</f>
        <v>#DIV/0!</v>
      </c>
      <c r="Q421" s="1640"/>
      <c r="R421" s="1640"/>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83">
        <v>16</v>
      </c>
      <c r="Q424" s="1383"/>
      <c r="S424" t="s">
        <v>190</v>
      </c>
      <c r="AE424" s="1383">
        <v>15</v>
      </c>
      <c r="AF424" s="1383"/>
    </row>
    <row r="425" spans="1:39" ht="12.95" customHeight="1">
      <c r="E425" t="s">
        <v>191</v>
      </c>
      <c r="P425" s="1383">
        <v>1</v>
      </c>
      <c r="Q425" s="1383"/>
      <c r="S425" t="s">
        <v>131</v>
      </c>
      <c r="AE425" s="1383" t="s">
        <v>599</v>
      </c>
      <c r="AF425" s="1383"/>
    </row>
    <row r="426" spans="1:39" ht="12.95" customHeight="1">
      <c r="F426" s="28" t="s">
        <v>132</v>
      </c>
    </row>
    <row r="427" spans="1:39" ht="12.95" customHeight="1">
      <c r="F427" s="1794"/>
      <c r="G427" s="1794"/>
      <c r="H427" s="1794"/>
      <c r="I427" s="1794"/>
      <c r="J427" s="1794"/>
      <c r="K427" s="1794"/>
      <c r="L427" s="1794"/>
      <c r="M427" s="1794"/>
      <c r="N427" s="1794"/>
      <c r="O427" s="1794"/>
      <c r="P427" s="1794"/>
      <c r="Q427" s="1794"/>
      <c r="R427" s="1794"/>
      <c r="S427" s="1794"/>
      <c r="T427" s="1794"/>
      <c r="U427" s="1794"/>
      <c r="V427" s="1794"/>
      <c r="W427" s="1794"/>
      <c r="X427" s="1794"/>
      <c r="Y427" s="1794"/>
      <c r="Z427" s="1794"/>
      <c r="AA427" s="1794"/>
      <c r="AB427" s="1794"/>
      <c r="AC427" s="1794"/>
      <c r="AD427" s="1794"/>
      <c r="AE427" s="1794"/>
      <c r="AF427" s="1794"/>
      <c r="AG427" s="1794"/>
      <c r="AH427" s="1794"/>
    </row>
    <row r="428" spans="1:39" ht="12.95" customHeight="1">
      <c r="F428" s="1795"/>
      <c r="G428" s="1795"/>
      <c r="H428" s="1795"/>
      <c r="I428" s="1795"/>
      <c r="J428" s="1795"/>
      <c r="K428" s="1795"/>
      <c r="L428" s="1795"/>
      <c r="M428" s="1795"/>
      <c r="N428" s="1795"/>
      <c r="O428" s="1795"/>
      <c r="P428" s="1795"/>
      <c r="Q428" s="1795"/>
      <c r="R428" s="1795"/>
      <c r="S428" s="1795"/>
      <c r="T428" s="1795"/>
      <c r="U428" s="1795"/>
      <c r="V428" s="1795"/>
      <c r="W428" s="1795"/>
      <c r="X428" s="1795"/>
      <c r="Y428" s="1795"/>
      <c r="Z428" s="1795"/>
      <c r="AA428" s="1795"/>
      <c r="AB428" s="1795"/>
      <c r="AC428" s="1795"/>
      <c r="AD428" s="1795"/>
      <c r="AE428" s="1795"/>
      <c r="AF428" s="1795"/>
      <c r="AG428" s="1795"/>
      <c r="AH428" s="1795"/>
    </row>
    <row r="429" spans="1:39" ht="12.95" customHeight="1">
      <c r="E429" t="s">
        <v>616</v>
      </c>
      <c r="P429" s="1"/>
      <c r="Q429" s="1383" t="s">
        <v>553</v>
      </c>
      <c r="R429" s="1383"/>
    </row>
    <row r="430" spans="1:39" ht="12.95" customHeight="1">
      <c r="F430" t="s">
        <v>617</v>
      </c>
      <c r="P430" s="1"/>
      <c r="Q430" s="1"/>
      <c r="AF430" s="1383" t="s">
        <v>599</v>
      </c>
      <c r="AG430" s="1853"/>
    </row>
    <row r="431" spans="1:39" ht="12.95" customHeight="1"/>
    <row r="432" spans="1:39" ht="12.95" customHeight="1">
      <c r="A432" s="2"/>
      <c r="B432" s="2"/>
      <c r="C432" s="2"/>
      <c r="E432" s="4" t="s">
        <v>309</v>
      </c>
      <c r="Z432" s="1383" t="s">
        <v>677</v>
      </c>
      <c r="AA432" s="1383"/>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383" t="s">
        <v>599</v>
      </c>
      <c r="AA434" s="1383"/>
    </row>
    <row r="435" spans="1:110" ht="12.95" customHeight="1"/>
    <row r="436" spans="1:110" ht="12.95" customHeight="1">
      <c r="A436" s="2" t="s">
        <v>475</v>
      </c>
      <c r="B436" s="2"/>
      <c r="C436" s="2"/>
      <c r="D436" s="2" t="s">
        <v>773</v>
      </c>
      <c r="AF436" s="48"/>
    </row>
    <row r="437" spans="1:110" ht="12.95" customHeight="1">
      <c r="D437" s="1638" t="s">
        <v>43</v>
      </c>
      <c r="E437" s="1639"/>
      <c r="F437" s="1639"/>
      <c r="G437" s="1639"/>
      <c r="H437" s="1639"/>
      <c r="I437" s="1639"/>
      <c r="J437" s="1639"/>
      <c r="K437" s="1639"/>
      <c r="L437" s="1639"/>
      <c r="M437" s="1639"/>
      <c r="N437" s="1639"/>
      <c r="O437" s="1639"/>
      <c r="P437" s="1639"/>
      <c r="Q437" s="1639"/>
      <c r="R437" s="1639"/>
      <c r="S437" s="1639"/>
      <c r="T437" s="1639"/>
      <c r="U437" s="1639"/>
      <c r="V437" s="1639"/>
      <c r="W437" s="1639"/>
      <c r="X437" s="1639"/>
      <c r="Y437" s="1639"/>
      <c r="Z437" s="1639"/>
      <c r="AA437" s="1639"/>
      <c r="AB437" s="1639"/>
      <c r="AC437" s="1639"/>
      <c r="AD437" s="1639"/>
      <c r="AE437" s="1639"/>
      <c r="AF437" s="1847"/>
      <c r="AG437" s="1833">
        <v>197</v>
      </c>
      <c r="AH437" s="1833"/>
      <c r="AI437" s="1833"/>
      <c r="AJ437" s="1833"/>
    </row>
    <row r="438" spans="1:110" ht="12.95" customHeight="1">
      <c r="D438" s="1694" t="s">
        <v>1329</v>
      </c>
      <c r="E438" s="1695"/>
      <c r="F438" s="1695"/>
      <c r="G438" s="1695"/>
      <c r="H438" s="1695"/>
      <c r="I438" s="1695"/>
      <c r="J438" s="1695"/>
      <c r="K438" s="1695"/>
      <c r="L438" s="1695"/>
      <c r="M438" s="1695"/>
      <c r="N438" s="1695"/>
      <c r="O438" s="1695"/>
      <c r="P438" s="1695"/>
      <c r="Q438" s="1695"/>
      <c r="R438" s="1695"/>
      <c r="S438" s="1695"/>
      <c r="T438" s="1695"/>
      <c r="U438" s="1695"/>
      <c r="V438" s="1695"/>
      <c r="W438" s="1695"/>
      <c r="X438" s="1695"/>
      <c r="Y438" s="1695"/>
      <c r="Z438" s="1695"/>
      <c r="AA438" s="1695"/>
      <c r="AB438" s="1695"/>
      <c r="AC438" s="1695"/>
      <c r="AD438" s="1695"/>
      <c r="AE438" s="1695"/>
      <c r="AF438" s="1696"/>
      <c r="AG438" s="1848">
        <v>0</v>
      </c>
      <c r="AH438" s="1369"/>
      <c r="AI438" s="1369"/>
      <c r="AJ438" s="1369"/>
    </row>
    <row r="439" spans="1:110" ht="12.95" customHeight="1">
      <c r="D439" s="1694" t="s">
        <v>1055</v>
      </c>
      <c r="E439" s="1695"/>
      <c r="F439" s="1695"/>
      <c r="G439" s="1695"/>
      <c r="H439" s="1695"/>
      <c r="I439" s="1695"/>
      <c r="J439" s="1695"/>
      <c r="K439" s="1695"/>
      <c r="L439" s="1695"/>
      <c r="M439" s="1695"/>
      <c r="N439" s="1695"/>
      <c r="O439" s="1695"/>
      <c r="P439" s="1695"/>
      <c r="Q439" s="1695"/>
      <c r="R439" s="1695"/>
      <c r="S439" s="1695"/>
      <c r="T439" s="1695"/>
      <c r="U439" s="1695"/>
      <c r="V439" s="1695"/>
      <c r="W439" s="1695"/>
      <c r="X439" s="1695"/>
      <c r="Y439" s="1695"/>
      <c r="Z439" s="1695"/>
      <c r="AA439" s="1695"/>
      <c r="AB439" s="1695"/>
      <c r="AC439" s="1695"/>
      <c r="AD439" s="1695"/>
      <c r="AE439" s="1695"/>
      <c r="AF439" s="1696"/>
      <c r="AG439" s="1833">
        <v>196</v>
      </c>
      <c r="AH439" s="1833"/>
      <c r="AI439" s="1833"/>
      <c r="AJ439" s="1833"/>
    </row>
    <row r="440" spans="1:110" ht="12.95" customHeight="1">
      <c r="D440" s="1694" t="s">
        <v>1056</v>
      </c>
      <c r="E440" s="1695"/>
      <c r="F440" s="1695"/>
      <c r="G440" s="1695"/>
      <c r="H440" s="1695"/>
      <c r="I440" s="1695"/>
      <c r="J440" s="1695"/>
      <c r="K440" s="1695"/>
      <c r="L440" s="1695"/>
      <c r="M440" s="1695"/>
      <c r="N440" s="1695"/>
      <c r="O440" s="1695"/>
      <c r="P440" s="1695"/>
      <c r="Q440" s="1695"/>
      <c r="R440" s="1695"/>
      <c r="S440" s="1695"/>
      <c r="T440" s="1695"/>
      <c r="U440" s="1695"/>
      <c r="V440" s="1695"/>
      <c r="W440" s="1695"/>
      <c r="X440" s="1695"/>
      <c r="Y440" s="1695"/>
      <c r="Z440" s="1695"/>
      <c r="AA440" s="1695"/>
      <c r="AB440" s="1695"/>
      <c r="AC440" s="1695"/>
      <c r="AD440" s="1695"/>
      <c r="AE440" s="1695"/>
      <c r="AF440" s="1696"/>
      <c r="AG440" s="1833">
        <v>196</v>
      </c>
      <c r="AH440" s="1833"/>
      <c r="AI440" s="1833"/>
      <c r="AJ440" s="1833"/>
    </row>
    <row r="441" spans="1:110" ht="12.95" customHeight="1">
      <c r="D441" s="1694" t="s">
        <v>1058</v>
      </c>
      <c r="E441" s="1695"/>
      <c r="F441" s="1695"/>
      <c r="G441" s="1695"/>
      <c r="H441" s="1695"/>
      <c r="I441" s="1695"/>
      <c r="J441" s="1695"/>
      <c r="K441" s="1695"/>
      <c r="L441" s="1695"/>
      <c r="M441" s="1695"/>
      <c r="N441" s="1695"/>
      <c r="O441" s="1695"/>
      <c r="P441" s="1695"/>
      <c r="Q441" s="1695"/>
      <c r="R441" s="1695"/>
      <c r="S441" s="1695"/>
      <c r="T441" s="1695"/>
      <c r="U441" s="1695"/>
      <c r="V441" s="1695"/>
      <c r="W441" s="1695"/>
      <c r="X441" s="1695"/>
      <c r="Y441" s="1695"/>
      <c r="Z441" s="1695"/>
      <c r="AA441" s="1695"/>
      <c r="AB441" s="1695"/>
      <c r="AC441" s="1695"/>
      <c r="AD441" s="1695"/>
      <c r="AE441" s="1695"/>
      <c r="AF441" s="1696"/>
      <c r="AG441" s="1834">
        <f>IF(ISERROR(AG440/AG439),"",AG440/AG439)</f>
        <v>1</v>
      </c>
      <c r="AH441" s="1834"/>
      <c r="AI441" s="1834"/>
      <c r="AJ441" s="1834"/>
    </row>
    <row r="442" spans="1:110" ht="12.95" customHeight="1">
      <c r="D442" s="1694" t="s">
        <v>1057</v>
      </c>
      <c r="E442" s="1695"/>
      <c r="F442" s="1695"/>
      <c r="G442" s="1695"/>
      <c r="H442" s="1695"/>
      <c r="I442" s="1695"/>
      <c r="J442" s="1695"/>
      <c r="K442" s="1695"/>
      <c r="L442" s="1695"/>
      <c r="M442" s="1695"/>
      <c r="N442" s="1695"/>
      <c r="O442" s="1695"/>
      <c r="P442" s="1695"/>
      <c r="Q442" s="1695"/>
      <c r="R442" s="1695"/>
      <c r="S442" s="1695"/>
      <c r="T442" s="1695"/>
      <c r="U442" s="1695"/>
      <c r="V442" s="1695"/>
      <c r="W442" s="1695"/>
      <c r="X442" s="1695"/>
      <c r="Y442" s="1695"/>
      <c r="Z442" s="1695"/>
      <c r="AA442" s="1695"/>
      <c r="AB442" s="1695"/>
      <c r="AC442" s="1695"/>
      <c r="AD442" s="1695"/>
      <c r="AE442" s="1695"/>
      <c r="AF442" s="1696"/>
      <c r="AG442" s="1717">
        <v>129064</v>
      </c>
      <c r="AH442" s="1717"/>
      <c r="AI442" s="1717"/>
      <c r="AJ442" s="1717"/>
    </row>
    <row r="443" spans="1:110" ht="12.95" customHeight="1">
      <c r="D443" s="1694" t="s">
        <v>1059</v>
      </c>
      <c r="E443" s="1695"/>
      <c r="F443" s="1695"/>
      <c r="G443" s="1695"/>
      <c r="H443" s="1695"/>
      <c r="I443" s="1695"/>
      <c r="J443" s="1695"/>
      <c r="K443" s="1695"/>
      <c r="L443" s="1695"/>
      <c r="M443" s="1695"/>
      <c r="N443" s="1695"/>
      <c r="O443" s="1695"/>
      <c r="P443" s="1695"/>
      <c r="Q443" s="1695"/>
      <c r="R443" s="1695"/>
      <c r="S443" s="1695"/>
      <c r="T443" s="1695"/>
      <c r="U443" s="1695"/>
      <c r="V443" s="1695"/>
      <c r="W443" s="1695"/>
      <c r="X443" s="1695"/>
      <c r="Y443" s="1695"/>
      <c r="Z443" s="1695"/>
      <c r="AA443" s="1695"/>
      <c r="AB443" s="1695"/>
      <c r="AC443" s="1695"/>
      <c r="AD443" s="1695"/>
      <c r="AE443" s="1695"/>
      <c r="AF443" s="1696"/>
      <c r="AG443" s="1717">
        <v>129064</v>
      </c>
      <c r="AH443" s="1717"/>
      <c r="AI443" s="1717"/>
      <c r="AJ443" s="1717"/>
    </row>
    <row r="444" spans="1:110" ht="12.95" customHeight="1">
      <c r="D444" s="1694" t="s">
        <v>1060</v>
      </c>
      <c r="E444" s="1695"/>
      <c r="F444" s="1695"/>
      <c r="G444" s="1695"/>
      <c r="H444" s="1695"/>
      <c r="I444" s="1695"/>
      <c r="J444" s="1695"/>
      <c r="K444" s="1695"/>
      <c r="L444" s="1695"/>
      <c r="M444" s="1695"/>
      <c r="N444" s="1695"/>
      <c r="O444" s="1695"/>
      <c r="P444" s="1695"/>
      <c r="Q444" s="1695"/>
      <c r="R444" s="1695"/>
      <c r="S444" s="1695"/>
      <c r="T444" s="1695"/>
      <c r="U444" s="1695"/>
      <c r="V444" s="1695"/>
      <c r="W444" s="1695"/>
      <c r="X444" s="1695"/>
      <c r="Y444" s="1695"/>
      <c r="Z444" s="1695"/>
      <c r="AA444" s="1695"/>
      <c r="AB444" s="1695"/>
      <c r="AC444" s="1695"/>
      <c r="AD444" s="1695"/>
      <c r="AE444" s="1695"/>
      <c r="AF444" s="1696"/>
      <c r="AG444" s="1834">
        <f>IF(ISERROR(AG443/AG442),"",AG443/AG442)</f>
        <v>1</v>
      </c>
      <c r="AH444" s="1834"/>
      <c r="AI444" s="1834"/>
      <c r="AJ444" s="1834"/>
    </row>
    <row r="445" spans="1:110" ht="12.95" customHeight="1">
      <c r="D445" s="1694" t="s">
        <v>1061</v>
      </c>
      <c r="E445" s="1695"/>
      <c r="F445" s="1695"/>
      <c r="G445" s="1695"/>
      <c r="H445" s="1695"/>
      <c r="I445" s="1695"/>
      <c r="J445" s="1695"/>
      <c r="K445" s="1695"/>
      <c r="L445" s="1695"/>
      <c r="M445" s="1695"/>
      <c r="N445" s="1695"/>
      <c r="O445" s="1695"/>
      <c r="P445" s="1695"/>
      <c r="Q445" s="1695"/>
      <c r="R445" s="1695"/>
      <c r="S445" s="1695"/>
      <c r="T445" s="1695"/>
      <c r="U445" s="1695"/>
      <c r="V445" s="1695"/>
      <c r="W445" s="1695"/>
      <c r="X445" s="1695"/>
      <c r="Y445" s="1695"/>
      <c r="Z445" s="1695"/>
      <c r="AA445" s="1695"/>
      <c r="AB445" s="1695"/>
      <c r="AC445" s="1695"/>
      <c r="AD445" s="1695"/>
      <c r="AE445" s="1695"/>
      <c r="AF445" s="1696"/>
      <c r="AG445" s="1834">
        <f>MIN(IF(AG441&gt;AG444,AG444,AG441),1)</f>
        <v>1</v>
      </c>
      <c r="AH445" s="1834"/>
      <c r="AI445" s="1834"/>
      <c r="AJ445" s="1834"/>
    </row>
    <row r="446" spans="1:110" ht="12.95" customHeight="1">
      <c r="D446" s="1694" t="s">
        <v>2402</v>
      </c>
      <c r="E446" s="1639"/>
      <c r="F446" s="1639"/>
      <c r="G446" s="1639"/>
      <c r="H446" s="1639"/>
      <c r="I446" s="1639"/>
      <c r="J446" s="1639"/>
      <c r="K446" s="1639"/>
      <c r="L446" s="1639"/>
      <c r="M446" s="1639"/>
      <c r="N446" s="1639"/>
      <c r="O446" s="1639"/>
      <c r="P446" s="1639"/>
      <c r="Q446" s="1639"/>
      <c r="R446" s="1639"/>
      <c r="S446" s="1639"/>
      <c r="T446" s="1639"/>
      <c r="U446" s="1639"/>
      <c r="V446" s="1639"/>
      <c r="W446" s="1639"/>
      <c r="X446" s="1639"/>
      <c r="Y446" s="1639"/>
      <c r="Z446" s="1639"/>
      <c r="AA446" s="1639"/>
      <c r="AB446" s="1639"/>
      <c r="AC446" s="1639"/>
      <c r="AD446" s="1639"/>
      <c r="AE446" s="1639"/>
      <c r="AF446" s="1847"/>
      <c r="AG446" s="1717">
        <v>0</v>
      </c>
      <c r="AH446" s="1717"/>
      <c r="AI446" s="1717"/>
      <c r="AJ446" s="171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38" t="s">
        <v>577</v>
      </c>
      <c r="E447" s="1639"/>
      <c r="F447" s="1639"/>
      <c r="G447" s="1639"/>
      <c r="H447" s="1639"/>
      <c r="I447" s="1639"/>
      <c r="J447" s="1639"/>
      <c r="K447" s="1639"/>
      <c r="L447" s="1639"/>
      <c r="M447" s="1639"/>
      <c r="N447" s="1639"/>
      <c r="O447" s="1639"/>
      <c r="P447" s="1639"/>
      <c r="Q447" s="1639"/>
      <c r="R447" s="1639"/>
      <c r="S447" s="1639"/>
      <c r="T447" s="1639"/>
      <c r="U447" s="1639"/>
      <c r="V447" s="1639"/>
      <c r="W447" s="1639"/>
      <c r="X447" s="1639"/>
      <c r="Y447" s="1639"/>
      <c r="Z447" s="1639"/>
      <c r="AA447" s="1639"/>
      <c r="AB447" s="1639"/>
      <c r="AC447" s="1639"/>
      <c r="AD447" s="1639"/>
      <c r="AE447" s="1639"/>
      <c r="AF447" s="1847"/>
      <c r="AG447" s="1717">
        <v>0</v>
      </c>
      <c r="AH447" s="1717"/>
      <c r="AI447" s="1717"/>
      <c r="AJ447" s="171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4" t="s">
        <v>1311</v>
      </c>
      <c r="E448" s="1639"/>
      <c r="F448" s="1639"/>
      <c r="G448" s="1639"/>
      <c r="H448" s="1639"/>
      <c r="I448" s="1639"/>
      <c r="J448" s="1639"/>
      <c r="K448" s="1639"/>
      <c r="L448" s="1639"/>
      <c r="M448" s="1639"/>
      <c r="N448" s="1639"/>
      <c r="O448" s="1639"/>
      <c r="P448" s="1639"/>
      <c r="Q448" s="1639"/>
      <c r="R448" s="1639"/>
      <c r="S448" s="1639"/>
      <c r="T448" s="1639"/>
      <c r="U448" s="1639"/>
      <c r="V448" s="1639"/>
      <c r="W448" s="1639"/>
      <c r="X448" s="1639"/>
      <c r="Y448" s="1639"/>
      <c r="Z448" s="1639"/>
      <c r="AA448" s="1639"/>
      <c r="AB448" s="1639"/>
      <c r="AC448" s="1639"/>
      <c r="AD448" s="1639"/>
      <c r="AE448" s="1639"/>
      <c r="AF448" s="1847"/>
      <c r="AG448" s="1717">
        <v>5558</v>
      </c>
      <c r="AH448" s="1717"/>
      <c r="AI448" s="1717"/>
      <c r="AJ448" s="171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4" t="s">
        <v>1062</v>
      </c>
      <c r="E449" s="1639"/>
      <c r="F449" s="1639"/>
      <c r="G449" s="1639"/>
      <c r="H449" s="1639"/>
      <c r="I449" s="1639"/>
      <c r="J449" s="1639"/>
      <c r="K449" s="1639"/>
      <c r="L449" s="1639"/>
      <c r="M449" s="1639"/>
      <c r="N449" s="1639"/>
      <c r="O449" s="1639"/>
      <c r="P449" s="1639"/>
      <c r="Q449" s="1639"/>
      <c r="R449" s="1639"/>
      <c r="S449" s="1639"/>
      <c r="T449" s="1639"/>
      <c r="U449" s="1639"/>
      <c r="V449" s="1639"/>
      <c r="W449" s="1639"/>
      <c r="X449" s="1639"/>
      <c r="Y449" s="1639"/>
      <c r="Z449" s="1639"/>
      <c r="AA449" s="1639"/>
      <c r="AB449" s="1639"/>
      <c r="AC449" s="1639"/>
      <c r="AD449" s="1639"/>
      <c r="AE449" s="1639"/>
      <c r="AF449" s="1847"/>
      <c r="AG449" s="1717">
        <v>0</v>
      </c>
      <c r="AH449" s="1717"/>
      <c r="AI449" s="1717"/>
      <c r="AJ449" s="171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5" t="s">
        <v>1063</v>
      </c>
      <c r="E450" s="1816"/>
      <c r="F450" s="1816"/>
      <c r="G450" s="1816"/>
      <c r="H450" s="1816"/>
      <c r="I450" s="1816"/>
      <c r="J450" s="1816"/>
      <c r="K450" s="1816"/>
      <c r="L450" s="1816"/>
      <c r="M450" s="1816"/>
      <c r="N450" s="1816"/>
      <c r="O450" s="1816"/>
      <c r="P450" s="1816"/>
      <c r="Q450" s="1816"/>
      <c r="R450" s="1816"/>
      <c r="S450" s="1816"/>
      <c r="T450" s="1816"/>
      <c r="U450" s="1816"/>
      <c r="V450" s="1816"/>
      <c r="W450" s="1816"/>
      <c r="X450" s="1816"/>
      <c r="Y450" s="1816"/>
      <c r="Z450" s="1816"/>
      <c r="AA450" s="1816"/>
      <c r="AB450" s="1816"/>
      <c r="AC450" s="1816"/>
      <c r="AD450" s="1816"/>
      <c r="AE450" s="1816"/>
      <c r="AF450" s="1817"/>
      <c r="AG450" s="1861">
        <f>AG442+AG446+AG448+AG449</f>
        <v>134622</v>
      </c>
      <c r="AH450" s="1861"/>
      <c r="AI450" s="1861"/>
      <c r="AJ450" s="18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8" t="s">
        <v>1312</v>
      </c>
      <c r="E451" s="1818"/>
      <c r="F451" s="1818"/>
      <c r="G451" s="1818"/>
      <c r="H451" s="1818"/>
      <c r="I451" s="1818"/>
      <c r="J451" s="1818"/>
      <c r="K451" s="1818"/>
      <c r="L451" s="1818"/>
      <c r="M451" s="1818"/>
      <c r="N451" s="1818"/>
      <c r="O451" s="1818"/>
      <c r="P451" s="1818"/>
      <c r="Q451" s="1818"/>
      <c r="R451" s="1818"/>
      <c r="S451" s="1818"/>
      <c r="T451" s="1818"/>
      <c r="U451" s="1818"/>
      <c r="V451" s="1818"/>
      <c r="W451" s="1818"/>
      <c r="X451" s="1818"/>
      <c r="Y451" s="1818"/>
      <c r="Z451" s="1818"/>
      <c r="AA451" s="1818"/>
      <c r="AB451" s="1818"/>
      <c r="AC451" s="1818"/>
      <c r="AD451" s="1818"/>
      <c r="AE451" s="1818"/>
      <c r="AF451" s="1818"/>
      <c r="AG451" s="1818"/>
      <c r="AH451" s="1818"/>
      <c r="AI451" s="1818"/>
      <c r="AJ451" s="181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9"/>
      <c r="E452" s="1819"/>
      <c r="F452" s="1819"/>
      <c r="G452" s="1819"/>
      <c r="H452" s="1819"/>
      <c r="I452" s="1819"/>
      <c r="J452" s="1819"/>
      <c r="K452" s="1819"/>
      <c r="L452" s="1819"/>
      <c r="M452" s="1819"/>
      <c r="N452" s="1819"/>
      <c r="O452" s="1819"/>
      <c r="P452" s="1819"/>
      <c r="Q452" s="1819"/>
      <c r="R452" s="1819"/>
      <c r="S452" s="1819"/>
      <c r="T452" s="1819"/>
      <c r="U452" s="1819"/>
      <c r="V452" s="1819"/>
      <c r="W452" s="1819"/>
      <c r="X452" s="1819"/>
      <c r="Y452" s="1819"/>
      <c r="Z452" s="1819"/>
      <c r="AA452" s="1819"/>
      <c r="AB452" s="1819"/>
      <c r="AC452" s="1819"/>
      <c r="AD452" s="1819"/>
      <c r="AE452" s="1819"/>
      <c r="AF452" s="1819"/>
      <c r="AG452" s="1819"/>
      <c r="AH452" s="1819"/>
      <c r="AI452" s="1819"/>
      <c r="AJ452" s="181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0">
        <f>IF(AG437=0,"",'Sources and Uses Budget'!B105/Application!AG437)</f>
        <v>287166.12715736037</v>
      </c>
      <c r="AD454" s="1860"/>
      <c r="AE454" s="1860"/>
      <c r="AF454" s="186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0">
        <f>IF(AG437=0,"",'Sources and Uses Budget'!C105/Application!AG437)</f>
        <v>287166.12715736037</v>
      </c>
      <c r="AD455" s="1860"/>
      <c r="AE455" s="1860"/>
      <c r="AF455" s="186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0">
        <f>IF(AG437=0,"",('Sources and Uses Budget'!$S$107+'Sources and Uses Budget'!$T$107)/Application!AG437)</f>
        <v>262394.43172588834</v>
      </c>
      <c r="AD456" s="1860"/>
      <c r="AE456" s="1860"/>
      <c r="AF456" s="186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22" t="str">
        <f>IFERROR(IF(AC454&gt;650000,"Please provide a justification of cost per unit in Tab 12 for all projects with per unit costs of greater than $650,000.",""),"")</f>
        <v/>
      </c>
      <c r="G457" s="1422"/>
      <c r="H457" s="1422"/>
      <c r="I457" s="1422"/>
      <c r="J457" s="1422"/>
      <c r="K457" s="1422"/>
      <c r="L457" s="1422"/>
      <c r="M457" s="1422"/>
      <c r="N457" s="1422"/>
      <c r="O457" s="1422"/>
      <c r="P457" s="1422"/>
      <c r="Q457" s="1422"/>
      <c r="R457" s="1422"/>
      <c r="S457" s="1422"/>
      <c r="T457" s="1422"/>
      <c r="U457" s="1422"/>
      <c r="V457" s="1422"/>
      <c r="W457" s="1422"/>
      <c r="X457" s="1422"/>
      <c r="Y457" s="1422"/>
      <c r="Z457" s="1422"/>
      <c r="AA457" s="1422"/>
      <c r="AB457" s="142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22"/>
      <c r="G458" s="1422"/>
      <c r="H458" s="1422"/>
      <c r="I458" s="1422"/>
      <c r="J458" s="1422"/>
      <c r="K458" s="1422"/>
      <c r="L458" s="1422"/>
      <c r="M458" s="1422"/>
      <c r="N458" s="1422"/>
      <c r="O458" s="1422"/>
      <c r="P458" s="1422"/>
      <c r="Q458" s="1422"/>
      <c r="R458" s="1422"/>
      <c r="S458" s="1422"/>
      <c r="T458" s="1422"/>
      <c r="U458" s="1422"/>
      <c r="V458" s="1422"/>
      <c r="W458" s="1422"/>
      <c r="X458" s="1422"/>
      <c r="Y458" s="1422"/>
      <c r="Z458" s="1422"/>
      <c r="AA458" s="1422"/>
      <c r="AB458" s="142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5" t="s">
        <v>2416</v>
      </c>
      <c r="E465" s="1773"/>
      <c r="F465" s="1773"/>
      <c r="G465" s="1773"/>
      <c r="H465" s="1773"/>
      <c r="I465" s="1773"/>
      <c r="J465" s="1773"/>
      <c r="K465" s="1773"/>
      <c r="L465" s="1773"/>
      <c r="M465" s="1773"/>
      <c r="N465" s="1773"/>
      <c r="O465" s="1773"/>
      <c r="P465" s="1773"/>
      <c r="Q465" s="1773"/>
      <c r="R465" s="1773"/>
      <c r="S465" s="1773"/>
      <c r="T465" s="1773"/>
      <c r="U465" s="1773"/>
      <c r="V465" s="1774"/>
      <c r="W465" s="1697">
        <v>0</v>
      </c>
      <c r="X465" s="1698"/>
      <c r="Y465" s="1699"/>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2" t="s">
        <v>702</v>
      </c>
      <c r="E466" s="1773"/>
      <c r="F466" s="1773"/>
      <c r="G466" s="1773"/>
      <c r="H466" s="1773"/>
      <c r="I466" s="1773"/>
      <c r="J466" s="1773"/>
      <c r="K466" s="1773"/>
      <c r="L466" s="1773"/>
      <c r="M466" s="1773"/>
      <c r="N466" s="1773"/>
      <c r="O466" s="1773"/>
      <c r="P466" s="1773"/>
      <c r="Q466" s="1773"/>
      <c r="R466" s="1773"/>
      <c r="S466" s="1773"/>
      <c r="T466" s="1773"/>
      <c r="U466" s="1773"/>
      <c r="V466" s="1774"/>
      <c r="W466" s="1697">
        <v>0</v>
      </c>
      <c r="X466" s="1698"/>
      <c r="Y466" s="1699"/>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2" t="s">
        <v>703</v>
      </c>
      <c r="E467" s="1773"/>
      <c r="F467" s="1773"/>
      <c r="G467" s="1773"/>
      <c r="H467" s="1773"/>
      <c r="I467" s="1773"/>
      <c r="J467" s="1773"/>
      <c r="K467" s="1773"/>
      <c r="L467" s="1773"/>
      <c r="M467" s="1773"/>
      <c r="N467" s="1773"/>
      <c r="O467" s="1773"/>
      <c r="P467" s="1773"/>
      <c r="Q467" s="1773"/>
      <c r="R467" s="1773"/>
      <c r="S467" s="1773"/>
      <c r="T467" s="1773"/>
      <c r="U467" s="1773"/>
      <c r="V467" s="1774"/>
      <c r="W467" s="1697">
        <v>0</v>
      </c>
      <c r="X467" s="1698"/>
      <c r="Y467" s="1699"/>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2" t="s">
        <v>704</v>
      </c>
      <c r="E468" s="1773"/>
      <c r="F468" s="1773"/>
      <c r="G468" s="1773"/>
      <c r="H468" s="1773"/>
      <c r="I468" s="1773"/>
      <c r="J468" s="1773"/>
      <c r="K468" s="1773"/>
      <c r="L468" s="1773"/>
      <c r="M468" s="1773"/>
      <c r="N468" s="1773"/>
      <c r="O468" s="1773"/>
      <c r="P468" s="1773"/>
      <c r="Q468" s="1773"/>
      <c r="R468" s="1773"/>
      <c r="S468" s="1773"/>
      <c r="T468" s="1773"/>
      <c r="U468" s="1773"/>
      <c r="V468" s="1774"/>
      <c r="W468" s="1697">
        <v>0</v>
      </c>
      <c r="X468" s="1698"/>
      <c r="Y468" s="1699"/>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2" t="s">
        <v>893</v>
      </c>
      <c r="E469" s="1773"/>
      <c r="F469" s="1773"/>
      <c r="G469" s="1773"/>
      <c r="H469" s="1773"/>
      <c r="I469" s="1773"/>
      <c r="J469" s="1773"/>
      <c r="K469" s="1773"/>
      <c r="L469" s="1773"/>
      <c r="M469" s="1773"/>
      <c r="N469" s="1773"/>
      <c r="O469" s="1773"/>
      <c r="P469" s="1773"/>
      <c r="Q469" s="1773"/>
      <c r="R469" s="1773"/>
      <c r="S469" s="1773"/>
      <c r="T469" s="1773"/>
      <c r="U469" s="1773"/>
      <c r="V469" s="1774"/>
      <c r="W469" s="1697">
        <v>0</v>
      </c>
      <c r="X469" s="1698"/>
      <c r="Y469" s="1699"/>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2" t="s">
        <v>705</v>
      </c>
      <c r="E470" s="1773"/>
      <c r="F470" s="1773"/>
      <c r="G470" s="1773"/>
      <c r="H470" s="1773"/>
      <c r="I470" s="1773"/>
      <c r="J470" s="1773"/>
      <c r="K470" s="1773"/>
      <c r="L470" s="1773"/>
      <c r="M470" s="1773"/>
      <c r="N470" s="1773"/>
      <c r="O470" s="1773"/>
      <c r="P470" s="1773"/>
      <c r="Q470" s="1773"/>
      <c r="R470" s="1773"/>
      <c r="S470" s="1773"/>
      <c r="T470" s="1773"/>
      <c r="U470" s="1773"/>
      <c r="V470" s="1774"/>
      <c r="W470" s="1697">
        <v>0</v>
      </c>
      <c r="X470" s="1698"/>
      <c r="Y470" s="1699"/>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2" t="s">
        <v>1036</v>
      </c>
      <c r="E471" s="1773"/>
      <c r="F471" s="1773"/>
      <c r="G471" s="1773"/>
      <c r="H471" s="1773"/>
      <c r="I471" s="1773"/>
      <c r="J471" s="1773"/>
      <c r="K471" s="1773"/>
      <c r="L471" s="1773"/>
      <c r="M471" s="1773"/>
      <c r="N471" s="1773"/>
      <c r="O471" s="1773"/>
      <c r="P471" s="1773"/>
      <c r="Q471" s="1773"/>
      <c r="R471" s="1773"/>
      <c r="S471" s="1773"/>
      <c r="T471" s="1773"/>
      <c r="U471" s="1773"/>
      <c r="V471" s="1774"/>
      <c r="W471" s="1697">
        <v>0</v>
      </c>
      <c r="X471" s="1698"/>
      <c r="Y471" s="1699"/>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5" t="s">
        <v>2551</v>
      </c>
      <c r="E472" s="1865"/>
      <c r="F472" s="1865"/>
      <c r="G472" s="1865"/>
      <c r="H472" s="1865"/>
      <c r="I472" s="1865"/>
      <c r="J472" s="1865"/>
      <c r="K472" s="1865"/>
      <c r="L472" s="1865"/>
      <c r="M472" s="1865"/>
      <c r="N472" s="1865"/>
      <c r="O472" s="1865"/>
      <c r="P472" s="1865"/>
      <c r="Q472" s="1865"/>
      <c r="R472" s="1865"/>
      <c r="S472" s="1865"/>
      <c r="T472" s="1865"/>
      <c r="U472" s="1865"/>
      <c r="V472" s="1866"/>
      <c r="W472" s="1697">
        <v>0</v>
      </c>
      <c r="X472" s="1698"/>
      <c r="Y472" s="1699"/>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5" t="s">
        <v>1765</v>
      </c>
      <c r="E473" s="1773"/>
      <c r="F473" s="1773"/>
      <c r="G473" s="1773"/>
      <c r="H473" s="1773"/>
      <c r="I473" s="1773"/>
      <c r="J473" s="1773"/>
      <c r="K473" s="1773"/>
      <c r="L473" s="1773"/>
      <c r="M473" s="1773"/>
      <c r="N473" s="1773"/>
      <c r="O473" s="1773"/>
      <c r="P473" s="1773"/>
      <c r="Q473" s="1773"/>
      <c r="R473" s="1773"/>
      <c r="S473" s="1773"/>
      <c r="T473" s="1773"/>
      <c r="U473" s="1773"/>
      <c r="V473" s="1774"/>
      <c r="W473" s="1697">
        <v>0</v>
      </c>
      <c r="X473" s="1698"/>
      <c r="Y473" s="1699"/>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21"/>
      <c r="H474" s="1822"/>
      <c r="I474" s="1822"/>
      <c r="J474" s="1822"/>
      <c r="K474" s="1822"/>
      <c r="L474" s="1822"/>
      <c r="M474" s="1822"/>
      <c r="N474" s="1822"/>
      <c r="O474" s="1822"/>
      <c r="P474" s="1822"/>
      <c r="Q474" s="1822"/>
      <c r="R474" s="1822"/>
      <c r="S474" s="1822"/>
      <c r="T474" s="1822"/>
      <c r="U474" s="1822"/>
      <c r="V474" s="1823"/>
      <c r="W474" s="1697">
        <v>0</v>
      </c>
      <c r="X474" s="1698"/>
      <c r="Y474" s="1699"/>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56" t="s">
        <v>819</v>
      </c>
      <c r="B480" s="1456"/>
      <c r="C480" s="1456"/>
      <c r="D480" s="1456"/>
      <c r="E480" s="1456"/>
      <c r="F480" s="1456"/>
      <c r="G480" s="1456"/>
      <c r="H480" s="1456"/>
      <c r="I480" s="1456"/>
      <c r="J480" s="1456"/>
      <c r="K480" s="1456"/>
      <c r="L480" s="1456"/>
      <c r="M480" s="1456"/>
      <c r="N480" s="1456"/>
      <c r="O480" s="1456"/>
      <c r="P480" s="1456"/>
      <c r="Q480" s="1456"/>
      <c r="R480" s="1456"/>
      <c r="S480" s="1456"/>
      <c r="T480" s="1456"/>
      <c r="U480" s="1456"/>
      <c r="V480" s="1456"/>
      <c r="W480" s="1456"/>
      <c r="X480" s="1456"/>
      <c r="Y480" s="1456"/>
      <c r="Z480" s="1456"/>
      <c r="AA480" s="1456"/>
      <c r="AB480" s="1456"/>
      <c r="AC480" s="1456"/>
      <c r="AD480" s="1456"/>
      <c r="AE480" s="1456"/>
      <c r="AF480" s="1456"/>
      <c r="AG480" s="1456"/>
      <c r="AH480" s="1456"/>
      <c r="AI480" s="1456"/>
      <c r="AJ480" s="1456"/>
      <c r="AK480" s="1456"/>
      <c r="AL480" s="1456"/>
      <c r="AM480" s="1456"/>
      <c r="AN480" s="1456"/>
      <c r="AO480" s="1456"/>
      <c r="AP480" s="1456"/>
      <c r="AQ480" s="1456"/>
      <c r="AR480" s="1456"/>
      <c r="AS480" s="1456"/>
      <c r="AT480" s="145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56"/>
      <c r="B481" s="1456"/>
      <c r="C481" s="1456"/>
      <c r="D481" s="1456"/>
      <c r="E481" s="1456"/>
      <c r="F481" s="1456"/>
      <c r="G481" s="1456"/>
      <c r="H481" s="1456"/>
      <c r="I481" s="1456"/>
      <c r="J481" s="1456"/>
      <c r="K481" s="1456"/>
      <c r="L481" s="1456"/>
      <c r="M481" s="1456"/>
      <c r="N481" s="1456"/>
      <c r="O481" s="1456"/>
      <c r="P481" s="1456"/>
      <c r="Q481" s="1456"/>
      <c r="R481" s="1456"/>
      <c r="S481" s="1456"/>
      <c r="T481" s="1456"/>
      <c r="U481" s="1456"/>
      <c r="V481" s="1456"/>
      <c r="W481" s="1456"/>
      <c r="X481" s="1456"/>
      <c r="Y481" s="1456"/>
      <c r="Z481" s="1456"/>
      <c r="AA481" s="1456"/>
      <c r="AB481" s="1456"/>
      <c r="AC481" s="1456"/>
      <c r="AD481" s="1456"/>
      <c r="AE481" s="1456"/>
      <c r="AF481" s="1456"/>
      <c r="AG481" s="1456"/>
      <c r="AH481" s="1456"/>
      <c r="AI481" s="1456"/>
      <c r="AJ481" s="1456"/>
      <c r="AK481" s="1456"/>
      <c r="AL481" s="1456"/>
      <c r="AM481" s="1456"/>
      <c r="AN481" s="1456"/>
      <c r="AO481" s="1456"/>
      <c r="AP481" s="1456"/>
      <c r="AQ481" s="1456"/>
      <c r="AR481" s="1456"/>
      <c r="AS481" s="1456"/>
      <c r="AT481" s="145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4" t="s">
        <v>394</v>
      </c>
      <c r="R485" s="1715"/>
      <c r="S485" s="1715"/>
      <c r="T485" s="1715"/>
      <c r="U485" s="1715"/>
      <c r="V485" s="1715"/>
      <c r="W485" s="1715"/>
      <c r="X485" s="1715"/>
      <c r="Y485" s="1715"/>
      <c r="Z485" s="1715"/>
      <c r="AA485" s="1715"/>
      <c r="AB485" s="1715"/>
      <c r="AC485" s="1715"/>
      <c r="AD485" s="1715"/>
      <c r="AE485" s="1715"/>
      <c r="AF485" s="1715"/>
      <c r="AG485" s="1715"/>
      <c r="AH485" s="1715"/>
      <c r="AI485" s="1715"/>
      <c r="AJ485" s="1715"/>
      <c r="AK485" s="171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702" t="s">
        <v>2734</v>
      </c>
      <c r="R486" s="1441"/>
      <c r="S486" s="1441"/>
      <c r="T486" s="1441"/>
      <c r="U486" s="1441"/>
      <c r="V486" s="1441"/>
      <c r="W486" s="1441"/>
      <c r="X486" s="1441"/>
      <c r="Y486" s="1441"/>
      <c r="Z486" s="1441"/>
      <c r="AA486" s="1441"/>
      <c r="AB486" s="1441"/>
      <c r="AC486" s="1441"/>
      <c r="AD486" s="1441"/>
      <c r="AE486" s="1441"/>
      <c r="AF486" s="1441"/>
      <c r="AG486" s="1441"/>
      <c r="AH486" s="1441"/>
      <c r="AI486" s="1441"/>
      <c r="AJ486" s="1441"/>
      <c r="AK486" s="1703"/>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702" t="s">
        <v>2735</v>
      </c>
      <c r="R487" s="1441"/>
      <c r="S487" s="1441"/>
      <c r="T487" s="1441"/>
      <c r="U487" s="1441"/>
      <c r="V487" s="1441"/>
      <c r="W487" s="1441"/>
      <c r="X487" s="1441"/>
      <c r="Y487" s="1441"/>
      <c r="Z487" s="1441"/>
      <c r="AA487" s="1441"/>
      <c r="AB487" s="1441"/>
      <c r="AC487" s="1441"/>
      <c r="AD487" s="1441"/>
      <c r="AE487" s="1441"/>
      <c r="AF487" s="1441"/>
      <c r="AG487" s="1441"/>
      <c r="AH487" s="1441"/>
      <c r="AI487" s="1441"/>
      <c r="AJ487" s="1441"/>
      <c r="AK487" s="1703"/>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702" t="s">
        <v>2736</v>
      </c>
      <c r="R488" s="1441"/>
      <c r="S488" s="1441"/>
      <c r="T488" s="1441"/>
      <c r="U488" s="1441"/>
      <c r="V488" s="1441"/>
      <c r="W488" s="1441"/>
      <c r="X488" s="1441"/>
      <c r="Y488" s="1441"/>
      <c r="Z488" s="1441"/>
      <c r="AA488" s="1441"/>
      <c r="AB488" s="1441"/>
      <c r="AC488" s="1441"/>
      <c r="AD488" s="1441"/>
      <c r="AE488" s="1441"/>
      <c r="AF488" s="1441"/>
      <c r="AG488" s="1441"/>
      <c r="AH488" s="1441"/>
      <c r="AI488" s="1441"/>
      <c r="AJ488" s="1441"/>
      <c r="AK488" s="170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5" t="s">
        <v>398</v>
      </c>
      <c r="C489" s="1836"/>
      <c r="D489" s="1836"/>
      <c r="E489" s="1836"/>
      <c r="F489" s="1836"/>
      <c r="G489" s="1836"/>
      <c r="H489" s="1836"/>
      <c r="I489" s="1836"/>
      <c r="J489" s="1836"/>
      <c r="K489" s="1836"/>
      <c r="L489" s="1836"/>
      <c r="M489" s="1836"/>
      <c r="N489" s="1836"/>
      <c r="O489" s="1836"/>
      <c r="P489" s="1837"/>
      <c r="Q489" s="1841" t="s">
        <v>677</v>
      </c>
      <c r="R489" s="1842"/>
      <c r="S489" s="1826" t="s">
        <v>166</v>
      </c>
      <c r="T489" s="1827"/>
      <c r="U489" s="1827"/>
      <c r="V489" s="1827"/>
      <c r="W489" s="1827"/>
      <c r="X489" s="1827"/>
      <c r="Y489" s="1827"/>
      <c r="Z489" s="1827"/>
      <c r="AA489" s="1827"/>
      <c r="AB489" s="1827"/>
      <c r="AC489" s="1827"/>
      <c r="AD489" s="1827"/>
      <c r="AE489" s="1827"/>
      <c r="AF489" s="1827"/>
      <c r="AG489" s="1827"/>
      <c r="AH489" s="1827"/>
      <c r="AI489" s="1827"/>
      <c r="AJ489" s="1827"/>
      <c r="AK489" s="182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8"/>
      <c r="C490" s="1839"/>
      <c r="D490" s="1839"/>
      <c r="E490" s="1839"/>
      <c r="F490" s="1839"/>
      <c r="G490" s="1839"/>
      <c r="H490" s="1839"/>
      <c r="I490" s="1839"/>
      <c r="J490" s="1839"/>
      <c r="K490" s="1839"/>
      <c r="L490" s="1839"/>
      <c r="M490" s="1839"/>
      <c r="N490" s="1839"/>
      <c r="O490" s="1839"/>
      <c r="P490" s="1840"/>
      <c r="Q490" s="1843"/>
      <c r="R490" s="1844"/>
      <c r="S490" s="1829"/>
      <c r="T490" s="1795"/>
      <c r="U490" s="1795"/>
      <c r="V490" s="1795"/>
      <c r="W490" s="1795"/>
      <c r="X490" s="1795"/>
      <c r="Y490" s="1795"/>
      <c r="Z490" s="1795"/>
      <c r="AA490" s="1795"/>
      <c r="AB490" s="1795"/>
      <c r="AC490" s="1795"/>
      <c r="AD490" s="1795"/>
      <c r="AE490" s="1795"/>
      <c r="AF490" s="1795"/>
      <c r="AG490" s="1795"/>
      <c r="AH490" s="1795"/>
      <c r="AI490" s="1795"/>
      <c r="AJ490" s="1795"/>
      <c r="AK490" s="183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62" t="s">
        <v>2737</v>
      </c>
      <c r="R491" s="1863"/>
      <c r="S491" s="1863"/>
      <c r="T491" s="1863"/>
      <c r="U491" s="1863"/>
      <c r="V491" s="1863"/>
      <c r="W491" s="1863"/>
      <c r="X491" s="1863"/>
      <c r="Y491" s="1863"/>
      <c r="Z491" s="1863"/>
      <c r="AA491" s="1863"/>
      <c r="AB491" s="1863"/>
      <c r="AC491" s="1863"/>
      <c r="AD491" s="1863"/>
      <c r="AE491" s="1863"/>
      <c r="AF491" s="1863"/>
      <c r="AG491" s="1863"/>
      <c r="AH491" s="1863"/>
      <c r="AI491" s="1863"/>
      <c r="AJ491" s="1863"/>
      <c r="AK491" s="186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702" t="s">
        <v>2738</v>
      </c>
      <c r="R492" s="1441"/>
      <c r="S492" s="1441"/>
      <c r="T492" s="1441"/>
      <c r="U492" s="1441"/>
      <c r="V492" s="1441"/>
      <c r="W492" s="1441"/>
      <c r="X492" s="1441"/>
      <c r="Y492" s="1441"/>
      <c r="Z492" s="1441"/>
      <c r="AA492" s="1441"/>
      <c r="AB492" s="1441"/>
      <c r="AC492" s="1441"/>
      <c r="AD492" s="1441"/>
      <c r="AE492" s="1441"/>
      <c r="AF492" s="1441"/>
      <c r="AG492" s="1441"/>
      <c r="AH492" s="1441"/>
      <c r="AI492" s="1441"/>
      <c r="AJ492" s="1441"/>
      <c r="AK492" s="170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702" t="s">
        <v>2736</v>
      </c>
      <c r="R493" s="1441"/>
      <c r="S493" s="1441"/>
      <c r="T493" s="1441"/>
      <c r="U493" s="1441"/>
      <c r="V493" s="1441"/>
      <c r="W493" s="1441"/>
      <c r="X493" s="1441"/>
      <c r="Y493" s="1441"/>
      <c r="Z493" s="1441"/>
      <c r="AA493" s="1441"/>
      <c r="AB493" s="1441"/>
      <c r="AC493" s="1441"/>
      <c r="AD493" s="1441"/>
      <c r="AE493" s="1441"/>
      <c r="AF493" s="1441"/>
      <c r="AG493" s="1441"/>
      <c r="AH493" s="1441"/>
      <c r="AI493" s="1441"/>
      <c r="AJ493" s="1441"/>
      <c r="AK493" s="170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702">
        <v>180</v>
      </c>
      <c r="R494" s="1441"/>
      <c r="S494" s="1441"/>
      <c r="T494" s="1441"/>
      <c r="U494" s="1441"/>
      <c r="V494" s="1441"/>
      <c r="W494" s="1441"/>
      <c r="X494" s="1441"/>
      <c r="Y494" s="1441"/>
      <c r="Z494" s="1441"/>
      <c r="AA494" s="1441"/>
      <c r="AB494" s="1441"/>
      <c r="AC494" s="1441"/>
      <c r="AD494" s="1441"/>
      <c r="AE494" s="1441"/>
      <c r="AF494" s="1441"/>
      <c r="AG494" s="1441"/>
      <c r="AH494" s="1441"/>
      <c r="AI494" s="1441"/>
      <c r="AJ494" s="1441"/>
      <c r="AK494" s="170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53">
        <v>161</v>
      </c>
      <c r="N495" s="1454"/>
      <c r="O495" s="1454"/>
      <c r="P495" s="1455"/>
      <c r="Q495" s="121" t="s">
        <v>1782</v>
      </c>
      <c r="R495" s="5"/>
      <c r="S495" s="5"/>
      <c r="T495" s="5"/>
      <c r="U495" s="5"/>
      <c r="V495" s="5"/>
      <c r="W495" s="5"/>
      <c r="X495" s="5"/>
      <c r="Y495" s="5"/>
      <c r="Z495" s="5"/>
      <c r="AA495" s="5"/>
      <c r="AB495" s="5"/>
      <c r="AC495" s="5"/>
      <c r="AD495" s="5"/>
      <c r="AE495" s="5"/>
      <c r="AF495" s="5"/>
      <c r="AG495" s="5"/>
      <c r="AH495" s="1453">
        <v>19</v>
      </c>
      <c r="AI495" s="1454"/>
      <c r="AJ495" s="1454"/>
      <c r="AK495" s="145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4" t="s">
        <v>402</v>
      </c>
      <c r="AD499" s="1715"/>
      <c r="AE499" s="1715"/>
      <c r="AF499" s="1715"/>
      <c r="AG499" s="1715"/>
      <c r="AH499" s="1715"/>
      <c r="AI499" s="1715"/>
      <c r="AJ499" s="1715"/>
      <c r="AK499" s="171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4" t="s">
        <v>403</v>
      </c>
      <c r="AD500" s="1715"/>
      <c r="AE500" s="1715"/>
      <c r="AF500" s="1715"/>
      <c r="AG500" s="50" t="s">
        <v>404</v>
      </c>
      <c r="AH500" s="1715" t="s">
        <v>405</v>
      </c>
      <c r="AI500" s="1715"/>
      <c r="AJ500" s="1715"/>
      <c r="AK500" s="171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1" t="s">
        <v>406</v>
      </c>
      <c r="C501" s="1514"/>
      <c r="D501" s="1514"/>
      <c r="E501" s="1514"/>
      <c r="F501" s="1514"/>
      <c r="G501" s="1514"/>
      <c r="H501" s="1515"/>
      <c r="I501" s="42" t="s">
        <v>407</v>
      </c>
      <c r="J501" s="42"/>
      <c r="K501" s="42"/>
      <c r="L501" s="42"/>
      <c r="M501" s="42"/>
      <c r="N501" s="42"/>
      <c r="O501" s="42"/>
      <c r="P501" s="42"/>
      <c r="Q501" s="42"/>
      <c r="R501" s="42"/>
      <c r="S501" s="42"/>
      <c r="T501" s="42"/>
      <c r="U501" s="42"/>
      <c r="V501" s="42"/>
      <c r="W501" s="42"/>
      <c r="AC501" s="1710" t="s">
        <v>599</v>
      </c>
      <c r="AD501" s="1650"/>
      <c r="AE501" s="1650"/>
      <c r="AF501" s="1650"/>
      <c r="AG501" s="13" t="s">
        <v>404</v>
      </c>
      <c r="AH501" s="1433">
        <v>0</v>
      </c>
      <c r="AI501" s="1433"/>
      <c r="AJ501" s="1433"/>
      <c r="AK501" s="143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2"/>
      <c r="C502" s="1516"/>
      <c r="D502" s="1516"/>
      <c r="E502" s="1516"/>
      <c r="F502" s="1516"/>
      <c r="G502" s="1516"/>
      <c r="H502" s="1517"/>
      <c r="I502" s="48" t="s">
        <v>408</v>
      </c>
      <c r="J502" s="48"/>
      <c r="K502" s="48"/>
      <c r="L502" s="48"/>
      <c r="M502" s="48"/>
      <c r="N502" s="48"/>
      <c r="O502" s="48"/>
      <c r="P502" s="48"/>
      <c r="Q502" s="48"/>
      <c r="R502" s="48"/>
      <c r="S502" s="48"/>
      <c r="T502" s="48"/>
      <c r="U502" s="48"/>
      <c r="V502" s="48"/>
      <c r="W502" s="48"/>
      <c r="X502" s="48"/>
      <c r="Y502" s="48"/>
      <c r="Z502" s="48"/>
      <c r="AA502" s="48"/>
      <c r="AB502" s="48"/>
      <c r="AC502" s="1710">
        <v>1</v>
      </c>
      <c r="AD502" s="1650"/>
      <c r="AE502" s="1650"/>
      <c r="AF502" s="1650"/>
      <c r="AG502" s="38" t="s">
        <v>404</v>
      </c>
      <c r="AH502" s="1433">
        <v>2025</v>
      </c>
      <c r="AI502" s="1433"/>
      <c r="AJ502" s="1433"/>
      <c r="AK502" s="143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1" t="s">
        <v>409</v>
      </c>
      <c r="C503" s="1514"/>
      <c r="D503" s="1514"/>
      <c r="E503" s="1514"/>
      <c r="F503" s="1514"/>
      <c r="G503" s="1514"/>
      <c r="H503" s="1515"/>
      <c r="I503" s="42" t="s">
        <v>410</v>
      </c>
      <c r="J503" s="42"/>
      <c r="K503" s="42"/>
      <c r="L503" s="42"/>
      <c r="M503" s="42"/>
      <c r="N503" s="42"/>
      <c r="O503" s="42"/>
      <c r="P503" s="42"/>
      <c r="Q503" s="42"/>
      <c r="R503" s="42"/>
      <c r="S503" s="42"/>
      <c r="T503" s="42"/>
      <c r="U503" s="42"/>
      <c r="V503" s="42"/>
      <c r="W503" s="42"/>
      <c r="AC503" s="1710" t="s">
        <v>599</v>
      </c>
      <c r="AD503" s="1650"/>
      <c r="AE503" s="1650"/>
      <c r="AF503" s="1650"/>
      <c r="AG503" s="13" t="s">
        <v>404</v>
      </c>
      <c r="AH503" s="1433"/>
      <c r="AI503" s="1433"/>
      <c r="AJ503" s="1433"/>
      <c r="AK503" s="143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2"/>
      <c r="C504" s="1516"/>
      <c r="D504" s="1516"/>
      <c r="E504" s="1516"/>
      <c r="F504" s="1516"/>
      <c r="G504" s="1516"/>
      <c r="H504" s="1517"/>
      <c r="I504" t="s">
        <v>411</v>
      </c>
      <c r="AC504" s="1710" t="s">
        <v>599</v>
      </c>
      <c r="AD504" s="1650"/>
      <c r="AE504" s="1650"/>
      <c r="AF504" s="1650"/>
      <c r="AG504" s="13" t="s">
        <v>404</v>
      </c>
      <c r="AH504" s="1433"/>
      <c r="AI504" s="1433"/>
      <c r="AJ504" s="1433"/>
      <c r="AK504" s="143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2"/>
      <c r="C505" s="1516"/>
      <c r="D505" s="1516"/>
      <c r="E505" s="1516"/>
      <c r="F505" s="1516"/>
      <c r="G505" s="1516"/>
      <c r="H505" s="1517"/>
      <c r="I505" t="s">
        <v>412</v>
      </c>
      <c r="AC505" s="1710" t="s">
        <v>599</v>
      </c>
      <c r="AD505" s="1650"/>
      <c r="AE505" s="1650"/>
      <c r="AF505" s="1650"/>
      <c r="AG505" s="13" t="s">
        <v>404</v>
      </c>
      <c r="AH505" s="1433"/>
      <c r="AI505" s="1433"/>
      <c r="AJ505" s="1433"/>
      <c r="AK505" s="143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2"/>
      <c r="C506" s="1516"/>
      <c r="D506" s="1516"/>
      <c r="E506" s="1516"/>
      <c r="F506" s="1516"/>
      <c r="G506" s="1516"/>
      <c r="H506" s="1517"/>
      <c r="I506" t="s">
        <v>413</v>
      </c>
      <c r="AC506" s="1710" t="s">
        <v>599</v>
      </c>
      <c r="AD506" s="1650"/>
      <c r="AE506" s="1650"/>
      <c r="AF506" s="1650"/>
      <c r="AG506" s="13" t="s">
        <v>404</v>
      </c>
      <c r="AH506" s="1433"/>
      <c r="AI506" s="1433"/>
      <c r="AJ506" s="1433"/>
      <c r="AK506" s="143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2"/>
      <c r="C507" s="1516"/>
      <c r="D507" s="1516"/>
      <c r="E507" s="1516"/>
      <c r="F507" s="1516"/>
      <c r="G507" s="1516"/>
      <c r="H507" s="1517"/>
      <c r="I507" s="3" t="s">
        <v>414</v>
      </c>
      <c r="AC507" s="1366">
        <v>11</v>
      </c>
      <c r="AD507" s="1367"/>
      <c r="AE507" s="1367"/>
      <c r="AF507" s="1367"/>
      <c r="AG507" s="13" t="s">
        <v>404</v>
      </c>
      <c r="AH507" s="1433">
        <v>2024</v>
      </c>
      <c r="AI507" s="1433"/>
      <c r="AJ507" s="1433"/>
      <c r="AK507" s="143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2"/>
      <c r="C508" s="1516"/>
      <c r="D508" s="1516"/>
      <c r="E508" s="1516"/>
      <c r="F508" s="1516"/>
      <c r="G508" s="1516"/>
      <c r="H508" s="1517"/>
      <c r="I508" s="931" t="s">
        <v>170</v>
      </c>
      <c r="J508" s="48"/>
      <c r="K508" s="48"/>
      <c r="L508" s="1776" t="s">
        <v>335</v>
      </c>
      <c r="M508" s="1777"/>
      <c r="N508" s="1777"/>
      <c r="O508" s="1777"/>
      <c r="P508" s="1777"/>
      <c r="Q508" s="1777"/>
      <c r="R508" s="1777"/>
      <c r="S508" s="1777"/>
      <c r="T508" s="1777"/>
      <c r="U508" s="1777"/>
      <c r="V508" s="1777"/>
      <c r="W508" s="1777"/>
      <c r="X508" s="1777"/>
      <c r="Y508" s="1777"/>
      <c r="Z508" s="1777"/>
      <c r="AA508" s="1777"/>
      <c r="AB508" s="1845"/>
      <c r="AC508" s="1710" t="s">
        <v>599</v>
      </c>
      <c r="AD508" s="1650"/>
      <c r="AE508" s="1650"/>
      <c r="AF508" s="1650"/>
      <c r="AG508" s="38" t="s">
        <v>404</v>
      </c>
      <c r="AH508" s="1433"/>
      <c r="AI508" s="1433"/>
      <c r="AJ508" s="1433"/>
      <c r="AK508" s="143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33" t="s">
        <v>1290</v>
      </c>
      <c r="AD509" s="1833"/>
      <c r="AE509" s="1833"/>
      <c r="AF509" s="1833"/>
      <c r="AG509" s="13"/>
      <c r="AH509" s="1305"/>
      <c r="AI509" s="1305"/>
      <c r="AJ509" s="1305"/>
      <c r="AK509" s="1831"/>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66"/>
      <c r="AD510" s="1367"/>
      <c r="AE510" s="1367"/>
      <c r="AF510" s="1368"/>
      <c r="AG510" s="13"/>
      <c r="AH510" s="1305"/>
      <c r="AI510" s="1305"/>
      <c r="AJ510" s="1305"/>
      <c r="AK510" s="1831"/>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55">
        <v>1</v>
      </c>
      <c r="AD512" s="1856"/>
      <c r="AE512" s="1856"/>
      <c r="AF512" s="1857"/>
      <c r="AG512" s="38"/>
      <c r="AH512" s="1858"/>
      <c r="AI512" s="1858"/>
      <c r="AJ512" s="1858"/>
      <c r="AK512" s="1859"/>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32" t="s">
        <v>403</v>
      </c>
      <c r="AD513" s="1744"/>
      <c r="AE513" s="1744"/>
      <c r="AF513" s="1744"/>
      <c r="AG513" s="38" t="s">
        <v>404</v>
      </c>
      <c r="AH513" s="1744" t="s">
        <v>405</v>
      </c>
      <c r="AI513" s="1744"/>
      <c r="AJ513" s="1744"/>
      <c r="AK513" s="1854"/>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1" t="s">
        <v>415</v>
      </c>
      <c r="C514" s="1514"/>
      <c r="D514" s="1514"/>
      <c r="E514" s="1514"/>
      <c r="F514" s="1514"/>
      <c r="G514" s="1514"/>
      <c r="H514" s="1515"/>
      <c r="I514" s="42" t="s">
        <v>416</v>
      </c>
      <c r="J514" s="42"/>
      <c r="K514" s="42"/>
      <c r="L514" s="42"/>
      <c r="M514" s="42"/>
      <c r="N514" s="42"/>
      <c r="O514" s="42"/>
      <c r="P514" s="42"/>
      <c r="Q514" s="42"/>
      <c r="R514" s="42"/>
      <c r="S514" s="42"/>
      <c r="T514" s="42"/>
      <c r="U514" s="42"/>
      <c r="V514" s="42"/>
      <c r="W514" s="42"/>
      <c r="AC514" s="1710" t="s">
        <v>599</v>
      </c>
      <c r="AD514" s="1650"/>
      <c r="AE514" s="1650"/>
      <c r="AF514" s="1650"/>
      <c r="AG514" s="13" t="s">
        <v>404</v>
      </c>
      <c r="AH514" s="1433"/>
      <c r="AI514" s="1433"/>
      <c r="AJ514" s="1433"/>
      <c r="AK514" s="1434"/>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2"/>
      <c r="C515" s="1516"/>
      <c r="D515" s="1516"/>
      <c r="E515" s="1516"/>
      <c r="F515" s="1516"/>
      <c r="G515" s="1516"/>
      <c r="H515" s="1517"/>
      <c r="I515" t="s">
        <v>417</v>
      </c>
      <c r="AC515" s="1710">
        <v>7</v>
      </c>
      <c r="AD515" s="1650"/>
      <c r="AE515" s="1650"/>
      <c r="AF515" s="1650"/>
      <c r="AG515" s="13" t="s">
        <v>404</v>
      </c>
      <c r="AH515" s="1433">
        <v>2024</v>
      </c>
      <c r="AI515" s="1433"/>
      <c r="AJ515" s="1433"/>
      <c r="AK515" s="1434"/>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2"/>
      <c r="C516" s="1516"/>
      <c r="D516" s="1516"/>
      <c r="E516" s="1516"/>
      <c r="F516" s="1516"/>
      <c r="G516" s="1516"/>
      <c r="H516" s="1517"/>
      <c r="I516" s="48" t="s">
        <v>418</v>
      </c>
      <c r="J516" s="48"/>
      <c r="K516" s="48"/>
      <c r="L516" s="48"/>
      <c r="M516" s="48"/>
      <c r="N516" s="48"/>
      <c r="O516" s="48"/>
      <c r="P516" s="48"/>
      <c r="Q516" s="48"/>
      <c r="R516" s="48"/>
      <c r="S516" s="48"/>
      <c r="T516" s="48"/>
      <c r="U516" s="48"/>
      <c r="V516" s="48"/>
      <c r="W516" s="48"/>
      <c r="X516" s="48"/>
      <c r="Y516" s="48"/>
      <c r="Z516" s="48"/>
      <c r="AA516" s="48"/>
      <c r="AB516" s="48"/>
      <c r="AC516" s="1710">
        <v>1</v>
      </c>
      <c r="AD516" s="1650"/>
      <c r="AE516" s="1650"/>
      <c r="AF516" s="1650"/>
      <c r="AG516" s="38" t="s">
        <v>404</v>
      </c>
      <c r="AH516" s="1433">
        <v>2025</v>
      </c>
      <c r="AI516" s="1433"/>
      <c r="AJ516" s="1433"/>
      <c r="AK516" s="1434"/>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1" t="s">
        <v>419</v>
      </c>
      <c r="C517" s="1514"/>
      <c r="D517" s="1514"/>
      <c r="E517" s="1514"/>
      <c r="F517" s="1514"/>
      <c r="G517" s="1514"/>
      <c r="H517" s="1515"/>
      <c r="I517" s="42" t="s">
        <v>416</v>
      </c>
      <c r="J517" s="42"/>
      <c r="K517" s="42"/>
      <c r="L517" s="42"/>
      <c r="M517" s="42"/>
      <c r="N517" s="42"/>
      <c r="O517" s="42"/>
      <c r="P517" s="42"/>
      <c r="Q517" s="42"/>
      <c r="R517" s="42"/>
      <c r="S517" s="42"/>
      <c r="T517" s="42"/>
      <c r="U517" s="42"/>
      <c r="V517" s="42"/>
      <c r="W517" s="42"/>
      <c r="X517" s="42"/>
      <c r="Y517" s="42"/>
      <c r="Z517" s="42"/>
      <c r="AA517" s="42"/>
      <c r="AB517" s="42"/>
      <c r="AC517" s="1366" t="s">
        <v>599</v>
      </c>
      <c r="AD517" s="1367"/>
      <c r="AE517" s="1367"/>
      <c r="AF517" s="1367"/>
      <c r="AG517" s="129" t="s">
        <v>404</v>
      </c>
      <c r="AH517" s="1433"/>
      <c r="AI517" s="1433"/>
      <c r="AJ517" s="1433"/>
      <c r="AK517" s="1434"/>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2"/>
      <c r="C518" s="1516"/>
      <c r="D518" s="1516"/>
      <c r="E518" s="1516"/>
      <c r="F518" s="1516"/>
      <c r="G518" s="1516"/>
      <c r="H518" s="1517"/>
      <c r="I518" t="s">
        <v>417</v>
      </c>
      <c r="AC518" s="1710">
        <v>7</v>
      </c>
      <c r="AD518" s="1650"/>
      <c r="AE518" s="1650"/>
      <c r="AF518" s="1650"/>
      <c r="AG518" s="13" t="s">
        <v>404</v>
      </c>
      <c r="AH518" s="1433">
        <v>2024</v>
      </c>
      <c r="AI518" s="1433"/>
      <c r="AJ518" s="1433"/>
      <c r="AK518" s="1434"/>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3"/>
      <c r="C519" s="1518"/>
      <c r="D519" s="1518"/>
      <c r="E519" s="1518"/>
      <c r="F519" s="1518"/>
      <c r="G519" s="1518"/>
      <c r="H519" s="1519"/>
      <c r="I519" s="48" t="s">
        <v>418</v>
      </c>
      <c r="J519" s="48"/>
      <c r="K519" s="48"/>
      <c r="L519" s="48"/>
      <c r="M519" s="48"/>
      <c r="N519" s="48"/>
      <c r="O519" s="48"/>
      <c r="P519" s="48"/>
      <c r="Q519" s="48"/>
      <c r="R519" s="48"/>
      <c r="S519" s="48"/>
      <c r="T519" s="48"/>
      <c r="U519" s="48"/>
      <c r="V519" s="48"/>
      <c r="W519" s="48"/>
      <c r="X519" s="48"/>
      <c r="Y519" s="48"/>
      <c r="Z519" s="48"/>
      <c r="AA519" s="48"/>
      <c r="AB519" s="48"/>
      <c r="AC519" s="1710">
        <v>1</v>
      </c>
      <c r="AD519" s="1650"/>
      <c r="AE519" s="1650"/>
      <c r="AF519" s="1650"/>
      <c r="AG519" s="38" t="s">
        <v>404</v>
      </c>
      <c r="AH519" s="1433">
        <v>2025</v>
      </c>
      <c r="AI519" s="1433"/>
      <c r="AJ519" s="1433"/>
      <c r="AK519" s="1434"/>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1" t="s">
        <v>420</v>
      </c>
      <c r="C520" s="1514"/>
      <c r="D520" s="1514"/>
      <c r="E520" s="1514"/>
      <c r="F520" s="1514"/>
      <c r="G520" s="1514"/>
      <c r="H520" s="1515"/>
      <c r="I520" s="41" t="s">
        <v>421</v>
      </c>
      <c r="J520" s="42"/>
      <c r="K520" s="42"/>
      <c r="L520" s="42"/>
      <c r="M520" s="42"/>
      <c r="N520" s="42"/>
      <c r="O520" s="1776" t="s">
        <v>335</v>
      </c>
      <c r="P520" s="1777"/>
      <c r="Q520" s="1777"/>
      <c r="R520" s="1777"/>
      <c r="S520" s="1777"/>
      <c r="T520" s="1777"/>
      <c r="U520" s="1777"/>
      <c r="V520" s="1777"/>
      <c r="W520" s="1777"/>
      <c r="X520" s="1777"/>
      <c r="Y520" s="1777"/>
      <c r="Z520" s="1777"/>
      <c r="AA520" s="1777"/>
      <c r="AB520" s="58"/>
      <c r="AC520" s="1366" t="s">
        <v>599</v>
      </c>
      <c r="AD520" s="1367"/>
      <c r="AE520" s="1367"/>
      <c r="AF520" s="1367"/>
      <c r="AG520" s="129" t="s">
        <v>404</v>
      </c>
      <c r="AH520" s="1433"/>
      <c r="AI520" s="1433"/>
      <c r="AJ520" s="1433"/>
      <c r="AK520" s="1434"/>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2"/>
      <c r="C521" s="1516"/>
      <c r="D521" s="1516"/>
      <c r="E521" s="1516"/>
      <c r="F521" s="1516"/>
      <c r="G521" s="1516"/>
      <c r="H521" s="1517"/>
      <c r="I521" s="114" t="s">
        <v>422</v>
      </c>
      <c r="AB521" s="65"/>
      <c r="AC521" s="1710" t="s">
        <v>599</v>
      </c>
      <c r="AD521" s="1650"/>
      <c r="AE521" s="1650"/>
      <c r="AF521" s="1650"/>
      <c r="AG521" s="13" t="s">
        <v>404</v>
      </c>
      <c r="AH521" s="1433"/>
      <c r="AI521" s="1433"/>
      <c r="AJ521" s="1433"/>
      <c r="AK521" s="1434"/>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2"/>
      <c r="C522" s="1516"/>
      <c r="D522" s="1516"/>
      <c r="E522" s="1516"/>
      <c r="F522" s="1516"/>
      <c r="G522" s="1516"/>
      <c r="H522" s="1517"/>
      <c r="I522" s="47" t="s">
        <v>423</v>
      </c>
      <c r="J522" s="48"/>
      <c r="K522" s="48"/>
      <c r="L522" s="48"/>
      <c r="M522" s="48"/>
      <c r="N522" s="48"/>
      <c r="O522" s="48"/>
      <c r="P522" s="48"/>
      <c r="Q522" s="48"/>
      <c r="R522" s="48"/>
      <c r="S522" s="48"/>
      <c r="T522" s="48"/>
      <c r="U522" s="48"/>
      <c r="V522" s="48"/>
      <c r="W522" s="48"/>
      <c r="X522" s="48"/>
      <c r="Y522" s="48"/>
      <c r="Z522" s="48"/>
      <c r="AA522" s="48"/>
      <c r="AB522" s="49"/>
      <c r="AC522" s="1710" t="s">
        <v>599</v>
      </c>
      <c r="AD522" s="1650"/>
      <c r="AE522" s="1650"/>
      <c r="AF522" s="1650"/>
      <c r="AG522" s="38" t="s">
        <v>404</v>
      </c>
      <c r="AH522" s="1433"/>
      <c r="AI522" s="1433"/>
      <c r="AJ522" s="1433"/>
      <c r="AK522" s="1434"/>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2"/>
      <c r="C523" s="1516"/>
      <c r="D523" s="1516"/>
      <c r="E523" s="1516"/>
      <c r="F523" s="1516"/>
      <c r="G523" s="1516"/>
      <c r="H523" s="1517"/>
      <c r="I523" s="42" t="s">
        <v>424</v>
      </c>
      <c r="J523" s="42"/>
      <c r="K523" s="42"/>
      <c r="L523" s="42"/>
      <c r="M523" s="42"/>
      <c r="N523" s="42"/>
      <c r="O523" s="1776" t="s">
        <v>335</v>
      </c>
      <c r="P523" s="1777"/>
      <c r="Q523" s="1777"/>
      <c r="R523" s="1777"/>
      <c r="S523" s="1777"/>
      <c r="T523" s="1777"/>
      <c r="U523" s="1777"/>
      <c r="V523" s="1777"/>
      <c r="W523" s="1777"/>
      <c r="X523" s="1777"/>
      <c r="Y523" s="1777"/>
      <c r="Z523" s="1777"/>
      <c r="AA523" s="1777"/>
      <c r="AC523" s="1710" t="s">
        <v>599</v>
      </c>
      <c r="AD523" s="1650"/>
      <c r="AE523" s="1650"/>
      <c r="AF523" s="1650"/>
      <c r="AG523" s="13" t="s">
        <v>404</v>
      </c>
      <c r="AH523" s="1433"/>
      <c r="AI523" s="1433"/>
      <c r="AJ523" s="1433"/>
      <c r="AK523" s="1434"/>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2"/>
      <c r="C524" s="1516"/>
      <c r="D524" s="1516"/>
      <c r="E524" s="1516"/>
      <c r="F524" s="1516"/>
      <c r="G524" s="1516"/>
      <c r="H524" s="1517"/>
      <c r="I524" t="s">
        <v>422</v>
      </c>
      <c r="AC524" s="1710" t="s">
        <v>599</v>
      </c>
      <c r="AD524" s="1650"/>
      <c r="AE524" s="1650"/>
      <c r="AF524" s="1650"/>
      <c r="AG524" s="13" t="s">
        <v>404</v>
      </c>
      <c r="AH524" s="1433"/>
      <c r="AI524" s="1433"/>
      <c r="AJ524" s="1433"/>
      <c r="AK524" s="1434"/>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2"/>
      <c r="C525" s="1516"/>
      <c r="D525" s="1516"/>
      <c r="E525" s="1516"/>
      <c r="F525" s="1516"/>
      <c r="G525" s="1516"/>
      <c r="H525" s="1517"/>
      <c r="I525" s="48" t="s">
        <v>423</v>
      </c>
      <c r="J525" s="48"/>
      <c r="K525" s="48"/>
      <c r="L525" s="48"/>
      <c r="M525" s="48"/>
      <c r="N525" s="48"/>
      <c r="O525" s="48"/>
      <c r="P525" s="48"/>
      <c r="Q525" s="48"/>
      <c r="R525" s="48"/>
      <c r="S525" s="48"/>
      <c r="T525" s="48"/>
      <c r="U525" s="48"/>
      <c r="V525" s="48"/>
      <c r="W525" s="48"/>
      <c r="X525" s="48"/>
      <c r="Y525" s="48"/>
      <c r="Z525" s="48"/>
      <c r="AA525" s="48"/>
      <c r="AB525" s="48"/>
      <c r="AC525" s="1710" t="s">
        <v>599</v>
      </c>
      <c r="AD525" s="1650"/>
      <c r="AE525" s="1650"/>
      <c r="AF525" s="1650"/>
      <c r="AG525" s="38" t="s">
        <v>404</v>
      </c>
      <c r="AH525" s="1433"/>
      <c r="AI525" s="1433"/>
      <c r="AJ525" s="1433"/>
      <c r="AK525" s="1434"/>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2"/>
      <c r="C526" s="1516"/>
      <c r="D526" s="1516"/>
      <c r="E526" s="1516"/>
      <c r="F526" s="1516"/>
      <c r="G526" s="1516"/>
      <c r="H526" s="1517"/>
      <c r="I526" s="42" t="s">
        <v>424</v>
      </c>
      <c r="J526" s="42"/>
      <c r="K526" s="42"/>
      <c r="L526" s="42"/>
      <c r="M526" s="42"/>
      <c r="N526" s="42"/>
      <c r="O526" s="1776" t="s">
        <v>335</v>
      </c>
      <c r="P526" s="1777"/>
      <c r="Q526" s="1777"/>
      <c r="R526" s="1777"/>
      <c r="S526" s="1777"/>
      <c r="T526" s="1777"/>
      <c r="U526" s="1777"/>
      <c r="V526" s="1777"/>
      <c r="W526" s="1777"/>
      <c r="X526" s="1777"/>
      <c r="Y526" s="1777"/>
      <c r="Z526" s="1777"/>
      <c r="AA526" s="1777"/>
      <c r="AC526" s="1710" t="s">
        <v>599</v>
      </c>
      <c r="AD526" s="1650"/>
      <c r="AE526" s="1650"/>
      <c r="AF526" s="1650"/>
      <c r="AG526" s="13" t="s">
        <v>404</v>
      </c>
      <c r="AH526" s="1433"/>
      <c r="AI526" s="1433"/>
      <c r="AJ526" s="1433"/>
      <c r="AK526" s="1434"/>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2"/>
      <c r="C527" s="1516"/>
      <c r="D527" s="1516"/>
      <c r="E527" s="1516"/>
      <c r="F527" s="1516"/>
      <c r="G527" s="1516"/>
      <c r="H527" s="1517"/>
      <c r="I527" t="s">
        <v>422</v>
      </c>
      <c r="AC527" s="1710" t="s">
        <v>599</v>
      </c>
      <c r="AD527" s="1650"/>
      <c r="AE527" s="1650"/>
      <c r="AF527" s="1650"/>
      <c r="AG527" s="13" t="s">
        <v>404</v>
      </c>
      <c r="AH527" s="1433"/>
      <c r="AI527" s="1433"/>
      <c r="AJ527" s="1433"/>
      <c r="AK527" s="1434"/>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2"/>
      <c r="C528" s="1516"/>
      <c r="D528" s="1516"/>
      <c r="E528" s="1516"/>
      <c r="F528" s="1516"/>
      <c r="G528" s="1516"/>
      <c r="H528" s="1517"/>
      <c r="I528" s="48" t="s">
        <v>423</v>
      </c>
      <c r="J528" s="48"/>
      <c r="K528" s="48"/>
      <c r="L528" s="48"/>
      <c r="M528" s="48"/>
      <c r="N528" s="48"/>
      <c r="O528" s="48"/>
      <c r="P528" s="48"/>
      <c r="Q528" s="48"/>
      <c r="R528" s="48"/>
      <c r="S528" s="48"/>
      <c r="T528" s="48"/>
      <c r="U528" s="48"/>
      <c r="V528" s="48"/>
      <c r="W528" s="48"/>
      <c r="X528" s="48"/>
      <c r="Y528" s="48"/>
      <c r="Z528" s="48"/>
      <c r="AA528" s="48"/>
      <c r="AB528" s="48"/>
      <c r="AC528" s="1710" t="s">
        <v>599</v>
      </c>
      <c r="AD528" s="1650"/>
      <c r="AE528" s="1650"/>
      <c r="AF528" s="1650"/>
      <c r="AG528" s="38" t="s">
        <v>404</v>
      </c>
      <c r="AH528" s="1433"/>
      <c r="AI528" s="1433"/>
      <c r="AJ528" s="1433"/>
      <c r="AK528" s="1434"/>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2"/>
      <c r="C529" s="1516"/>
      <c r="D529" s="1516"/>
      <c r="E529" s="1516"/>
      <c r="F529" s="1516"/>
      <c r="G529" s="1516"/>
      <c r="H529" s="1517"/>
      <c r="I529" s="42" t="s">
        <v>424</v>
      </c>
      <c r="J529" s="42"/>
      <c r="K529" s="42"/>
      <c r="L529" s="42"/>
      <c r="M529" s="42"/>
      <c r="N529" s="42"/>
      <c r="O529" s="1776" t="s">
        <v>335</v>
      </c>
      <c r="P529" s="1777"/>
      <c r="Q529" s="1777"/>
      <c r="R529" s="1777"/>
      <c r="S529" s="1777"/>
      <c r="T529" s="1777"/>
      <c r="U529" s="1777"/>
      <c r="V529" s="1777"/>
      <c r="W529" s="1777"/>
      <c r="X529" s="1777"/>
      <c r="Y529" s="1777"/>
      <c r="Z529" s="1777"/>
      <c r="AA529" s="1777"/>
      <c r="AC529" s="1710" t="s">
        <v>599</v>
      </c>
      <c r="AD529" s="1650"/>
      <c r="AE529" s="1650"/>
      <c r="AF529" s="1650"/>
      <c r="AG529" s="13" t="s">
        <v>404</v>
      </c>
      <c r="AH529" s="1433"/>
      <c r="AI529" s="1433"/>
      <c r="AJ529" s="1433"/>
      <c r="AK529" s="1434"/>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2"/>
      <c r="C530" s="1516"/>
      <c r="D530" s="1516"/>
      <c r="E530" s="1516"/>
      <c r="F530" s="1516"/>
      <c r="G530" s="1516"/>
      <c r="H530" s="1517"/>
      <c r="I530" t="s">
        <v>422</v>
      </c>
      <c r="AC530" s="1710" t="s">
        <v>599</v>
      </c>
      <c r="AD530" s="1650"/>
      <c r="AE530" s="1650"/>
      <c r="AF530" s="1650"/>
      <c r="AG530" s="13" t="s">
        <v>404</v>
      </c>
      <c r="AH530" s="1433"/>
      <c r="AI530" s="1433"/>
      <c r="AJ530" s="1433"/>
      <c r="AK530" s="1434"/>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2"/>
      <c r="C531" s="1516"/>
      <c r="D531" s="1516"/>
      <c r="E531" s="1516"/>
      <c r="F531" s="1516"/>
      <c r="G531" s="1516"/>
      <c r="H531" s="1517"/>
      <c r="I531" s="48" t="s">
        <v>423</v>
      </c>
      <c r="J531" s="48"/>
      <c r="K531" s="48"/>
      <c r="L531" s="48"/>
      <c r="M531" s="48"/>
      <c r="N531" s="48"/>
      <c r="O531" s="48"/>
      <c r="P531" s="48"/>
      <c r="Q531" s="48"/>
      <c r="R531" s="48"/>
      <c r="S531" s="48"/>
      <c r="T531" s="48"/>
      <c r="U531" s="48"/>
      <c r="V531" s="48"/>
      <c r="W531" s="48"/>
      <c r="X531" s="48"/>
      <c r="Y531" s="48"/>
      <c r="Z531" s="48"/>
      <c r="AA531" s="48"/>
      <c r="AB531" s="48"/>
      <c r="AC531" s="1710" t="s">
        <v>599</v>
      </c>
      <c r="AD531" s="1650"/>
      <c r="AE531" s="1650"/>
      <c r="AF531" s="1650"/>
      <c r="AG531" s="38" t="s">
        <v>404</v>
      </c>
      <c r="AH531" s="1433"/>
      <c r="AI531" s="1433"/>
      <c r="AJ531" s="1433"/>
      <c r="AK531" s="1434"/>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2"/>
      <c r="C532" s="1516"/>
      <c r="D532" s="1516"/>
      <c r="E532" s="1516"/>
      <c r="F532" s="1516"/>
      <c r="G532" s="1516"/>
      <c r="H532" s="1517"/>
      <c r="I532" s="42" t="s">
        <v>424</v>
      </c>
      <c r="J532" s="42"/>
      <c r="K532" s="42"/>
      <c r="L532" s="42"/>
      <c r="M532" s="42"/>
      <c r="N532" s="42"/>
      <c r="O532" s="1776" t="s">
        <v>335</v>
      </c>
      <c r="P532" s="1777"/>
      <c r="Q532" s="1777"/>
      <c r="R532" s="1777"/>
      <c r="S532" s="1777"/>
      <c r="T532" s="1777"/>
      <c r="U532" s="1777"/>
      <c r="V532" s="1777"/>
      <c r="W532" s="1777"/>
      <c r="X532" s="1777"/>
      <c r="Y532" s="1777"/>
      <c r="Z532" s="1777"/>
      <c r="AA532" s="1777"/>
      <c r="AC532" s="1710" t="s">
        <v>599</v>
      </c>
      <c r="AD532" s="1650"/>
      <c r="AE532" s="1650"/>
      <c r="AF532" s="1650"/>
      <c r="AG532" s="13" t="s">
        <v>404</v>
      </c>
      <c r="AH532" s="1433"/>
      <c r="AI532" s="1433"/>
      <c r="AJ532" s="1433"/>
      <c r="AK532" s="1434"/>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2"/>
      <c r="C533" s="1516"/>
      <c r="D533" s="1516"/>
      <c r="E533" s="1516"/>
      <c r="F533" s="1516"/>
      <c r="G533" s="1516"/>
      <c r="H533" s="1517"/>
      <c r="I533" t="s">
        <v>422</v>
      </c>
      <c r="AC533" s="1710" t="s">
        <v>599</v>
      </c>
      <c r="AD533" s="1650"/>
      <c r="AE533" s="1650"/>
      <c r="AF533" s="1650"/>
      <c r="AG533" s="38" t="s">
        <v>404</v>
      </c>
      <c r="AH533" s="1433"/>
      <c r="AI533" s="1433"/>
      <c r="AJ533" s="1433"/>
      <c r="AK533" s="1434"/>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2"/>
      <c r="C534" s="1516"/>
      <c r="D534" s="1516"/>
      <c r="E534" s="1516"/>
      <c r="F534" s="1516"/>
      <c r="G534" s="1516"/>
      <c r="H534" s="1517"/>
      <c r="I534" s="48" t="s">
        <v>423</v>
      </c>
      <c r="J534" s="48"/>
      <c r="K534" s="48"/>
      <c r="L534" s="48"/>
      <c r="M534" s="48"/>
      <c r="N534" s="48"/>
      <c r="O534" s="48"/>
      <c r="P534" s="48"/>
      <c r="Q534" s="48"/>
      <c r="R534" s="48"/>
      <c r="S534" s="48"/>
      <c r="T534" s="48"/>
      <c r="U534" s="48"/>
      <c r="V534" s="48"/>
      <c r="W534" s="48"/>
      <c r="X534" s="48"/>
      <c r="Y534" s="48"/>
      <c r="Z534" s="48"/>
      <c r="AA534" s="48"/>
      <c r="AB534" s="48"/>
      <c r="AC534" s="1710" t="s">
        <v>599</v>
      </c>
      <c r="AD534" s="1650"/>
      <c r="AE534" s="1650"/>
      <c r="AF534" s="1650"/>
      <c r="AG534" s="13" t="s">
        <v>404</v>
      </c>
      <c r="AH534" s="1433"/>
      <c r="AI534" s="1433"/>
      <c r="AJ534" s="1433"/>
      <c r="AK534" s="1434"/>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2"/>
      <c r="C535" s="1516"/>
      <c r="D535" s="1516"/>
      <c r="E535" s="1516"/>
      <c r="F535" s="1516"/>
      <c r="G535" s="1516"/>
      <c r="H535" s="1517"/>
      <c r="I535" s="42" t="s">
        <v>424</v>
      </c>
      <c r="J535" s="42"/>
      <c r="K535" s="42"/>
      <c r="L535" s="42"/>
      <c r="M535" s="42"/>
      <c r="N535" s="42"/>
      <c r="O535" s="1776" t="s">
        <v>335</v>
      </c>
      <c r="P535" s="1777"/>
      <c r="Q535" s="1777"/>
      <c r="R535" s="1777"/>
      <c r="S535" s="1777"/>
      <c r="T535" s="1777"/>
      <c r="U535" s="1777"/>
      <c r="V535" s="1777"/>
      <c r="W535" s="1777"/>
      <c r="X535" s="1777"/>
      <c r="Y535" s="1777"/>
      <c r="Z535" s="1777"/>
      <c r="AA535" s="1777"/>
      <c r="AC535" s="1710" t="s">
        <v>599</v>
      </c>
      <c r="AD535" s="1650"/>
      <c r="AE535" s="1650"/>
      <c r="AF535" s="1650"/>
      <c r="AG535" s="38" t="s">
        <v>404</v>
      </c>
      <c r="AH535" s="1433"/>
      <c r="AI535" s="1433"/>
      <c r="AJ535" s="1433"/>
      <c r="AK535" s="1434"/>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2"/>
      <c r="C536" s="1516"/>
      <c r="D536" s="1516"/>
      <c r="E536" s="1516"/>
      <c r="F536" s="1516"/>
      <c r="G536" s="1516"/>
      <c r="H536" s="1517"/>
      <c r="I536" t="s">
        <v>422</v>
      </c>
      <c r="AC536" s="1710" t="s">
        <v>599</v>
      </c>
      <c r="AD536" s="1650"/>
      <c r="AE536" s="1650"/>
      <c r="AF536" s="1650"/>
      <c r="AG536" s="13" t="s">
        <v>404</v>
      </c>
      <c r="AH536" s="1433"/>
      <c r="AI536" s="1433"/>
      <c r="AJ536" s="1433"/>
      <c r="AK536" s="1434"/>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2"/>
      <c r="C537" s="1516"/>
      <c r="D537" s="1516"/>
      <c r="E537" s="1516"/>
      <c r="F537" s="1516"/>
      <c r="G537" s="1516"/>
      <c r="H537" s="1517"/>
      <c r="I537" s="48" t="s">
        <v>423</v>
      </c>
      <c r="J537" s="48"/>
      <c r="K537" s="48"/>
      <c r="L537" s="48"/>
      <c r="M537" s="48"/>
      <c r="N537" s="48"/>
      <c r="O537" s="48"/>
      <c r="P537" s="48"/>
      <c r="Q537" s="48"/>
      <c r="R537" s="48"/>
      <c r="S537" s="48"/>
      <c r="T537" s="48"/>
      <c r="U537" s="48"/>
      <c r="V537" s="48"/>
      <c r="W537" s="48"/>
      <c r="X537" s="48"/>
      <c r="Y537" s="48"/>
      <c r="Z537" s="48"/>
      <c r="AA537" s="48"/>
      <c r="AB537" s="48"/>
      <c r="AC537" s="1710" t="s">
        <v>599</v>
      </c>
      <c r="AD537" s="1650"/>
      <c r="AE537" s="1650"/>
      <c r="AF537" s="1650"/>
      <c r="AG537" s="38" t="s">
        <v>404</v>
      </c>
      <c r="AH537" s="1433"/>
      <c r="AI537" s="1433"/>
      <c r="AJ537" s="1433"/>
      <c r="AK537" s="1434"/>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2"/>
      <c r="C538" s="1516"/>
      <c r="D538" s="1516"/>
      <c r="E538" s="1516"/>
      <c r="F538" s="1516"/>
      <c r="G538" s="1516"/>
      <c r="H538" s="1517"/>
      <c r="I538" s="42" t="s">
        <v>570</v>
      </c>
      <c r="J538" s="42"/>
      <c r="K538" s="42"/>
      <c r="L538" s="42"/>
      <c r="M538" s="42"/>
      <c r="N538" s="42"/>
      <c r="O538" s="42"/>
      <c r="P538" s="42"/>
      <c r="Q538" s="42"/>
      <c r="R538" s="42"/>
      <c r="S538" s="42"/>
      <c r="T538" s="42"/>
      <c r="U538" s="42"/>
      <c r="V538" s="42"/>
      <c r="W538" s="42"/>
      <c r="AC538" s="1710">
        <v>1</v>
      </c>
      <c r="AD538" s="1650"/>
      <c r="AE538" s="1650"/>
      <c r="AF538" s="1650"/>
      <c r="AG538" s="38" t="s">
        <v>404</v>
      </c>
      <c r="AH538" s="1433">
        <v>2025</v>
      </c>
      <c r="AI538" s="1433"/>
      <c r="AJ538" s="1433"/>
      <c r="AK538" s="143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2"/>
      <c r="C539" s="1516"/>
      <c r="D539" s="1516"/>
      <c r="E539" s="1516"/>
      <c r="F539" s="1516"/>
      <c r="G539" s="1516"/>
      <c r="H539" s="1517"/>
      <c r="I539" t="s">
        <v>571</v>
      </c>
      <c r="AC539" s="1710">
        <v>1</v>
      </c>
      <c r="AD539" s="1650"/>
      <c r="AE539" s="1650"/>
      <c r="AF539" s="1650"/>
      <c r="AG539" s="13" t="s">
        <v>404</v>
      </c>
      <c r="AH539" s="1433">
        <v>2025</v>
      </c>
      <c r="AI539" s="1433"/>
      <c r="AJ539" s="1433"/>
      <c r="AK539" s="143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2"/>
      <c r="C540" s="1516"/>
      <c r="D540" s="1516"/>
      <c r="E540" s="1516"/>
      <c r="F540" s="1516"/>
      <c r="G540" s="1516"/>
      <c r="H540" s="1517"/>
      <c r="I540" t="s">
        <v>572</v>
      </c>
      <c r="AC540" s="1710">
        <v>1</v>
      </c>
      <c r="AD540" s="1650"/>
      <c r="AE540" s="1650"/>
      <c r="AF540" s="1650"/>
      <c r="AG540" s="38" t="s">
        <v>404</v>
      </c>
      <c r="AH540" s="1433">
        <v>2026</v>
      </c>
      <c r="AI540" s="1433"/>
      <c r="AJ540" s="1433"/>
      <c r="AK540" s="143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2"/>
      <c r="C541" s="1516"/>
      <c r="D541" s="1516"/>
      <c r="E541" s="1516"/>
      <c r="F541" s="1516"/>
      <c r="G541" s="1516"/>
      <c r="H541" s="1517"/>
      <c r="I541" t="s">
        <v>573</v>
      </c>
      <c r="AC541" s="1710">
        <v>1</v>
      </c>
      <c r="AD541" s="1650"/>
      <c r="AE541" s="1650"/>
      <c r="AF541" s="1650"/>
      <c r="AG541" s="38" t="s">
        <v>404</v>
      </c>
      <c r="AH541" s="1433">
        <v>2026</v>
      </c>
      <c r="AI541" s="1433"/>
      <c r="AJ541" s="1433"/>
      <c r="AK541" s="143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3"/>
      <c r="C542" s="1518"/>
      <c r="D542" s="1518"/>
      <c r="E542" s="1518"/>
      <c r="F542" s="1518"/>
      <c r="G542" s="1518"/>
      <c r="H542" s="1519"/>
      <c r="I542" s="48" t="s">
        <v>459</v>
      </c>
      <c r="J542" s="48"/>
      <c r="K542" s="48"/>
      <c r="L542" s="48"/>
      <c r="M542" s="48"/>
      <c r="N542" s="48"/>
      <c r="O542" s="48"/>
      <c r="P542" s="48"/>
      <c r="Q542" s="48"/>
      <c r="R542" s="48"/>
      <c r="S542" s="48"/>
      <c r="T542" s="48"/>
      <c r="U542" s="48"/>
      <c r="V542" s="48"/>
      <c r="W542" s="48"/>
      <c r="X542" s="48"/>
      <c r="Y542" s="48"/>
      <c r="Z542" s="48"/>
      <c r="AA542" s="48"/>
      <c r="AB542" s="48"/>
      <c r="AC542" s="1710">
        <v>1</v>
      </c>
      <c r="AD542" s="1650"/>
      <c r="AE542" s="1650"/>
      <c r="AF542" s="1650"/>
      <c r="AG542" s="38" t="s">
        <v>404</v>
      </c>
      <c r="AH542" s="1433">
        <v>2026</v>
      </c>
      <c r="AI542" s="1433"/>
      <c r="AJ542" s="1433"/>
      <c r="AK542" s="143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8" t="s">
        <v>551</v>
      </c>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c r="AI544" s="1268"/>
      <c r="AJ544" s="1268"/>
      <c r="AK544" s="1268"/>
      <c r="AL544" s="1268"/>
      <c r="AM544" s="1268"/>
      <c r="AN544" s="1268"/>
      <c r="AO544" s="1268"/>
      <c r="AP544" s="1268"/>
      <c r="AQ544" s="1268"/>
      <c r="AR544" s="1268"/>
      <c r="AS544" s="1268"/>
      <c r="AT544" s="1268"/>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c r="AI545" s="1268"/>
      <c r="AJ545" s="1268"/>
      <c r="AK545" s="1268"/>
      <c r="AL545" s="1268"/>
      <c r="AM545" s="1268"/>
      <c r="AN545" s="1268"/>
      <c r="AO545" s="1268"/>
      <c r="AP545" s="1268"/>
      <c r="AQ545" s="1268"/>
      <c r="AR545" s="1268"/>
      <c r="AS545" s="1268"/>
      <c r="AT545" s="1268"/>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1" t="s">
        <v>2420</v>
      </c>
      <c r="C551" s="1514"/>
      <c r="D551" s="1514"/>
      <c r="E551" s="1514"/>
      <c r="F551" s="1514"/>
      <c r="G551" s="1514"/>
      <c r="H551" s="1514"/>
      <c r="I551" s="1514"/>
      <c r="J551" s="1514"/>
      <c r="K551" s="1514"/>
      <c r="L551" s="1515"/>
      <c r="M551" s="1711" t="s">
        <v>2421</v>
      </c>
      <c r="N551" s="1514"/>
      <c r="O551" s="1514"/>
      <c r="P551" s="1515"/>
      <c r="Q551" s="1711" t="s">
        <v>2447</v>
      </c>
      <c r="R551" s="1514"/>
      <c r="S551" s="1515"/>
      <c r="T551" s="1711" t="s">
        <v>2448</v>
      </c>
      <c r="U551" s="1514"/>
      <c r="V551" s="1515"/>
      <c r="W551" s="1711" t="s">
        <v>461</v>
      </c>
      <c r="X551" s="1514"/>
      <c r="Y551" s="1515"/>
      <c r="Z551" s="1711" t="s">
        <v>2041</v>
      </c>
      <c r="AA551" s="1514"/>
      <c r="AB551" s="1514"/>
      <c r="AC551" s="1514"/>
      <c r="AD551" s="1515"/>
      <c r="AE551" s="1711" t="s">
        <v>1863</v>
      </c>
      <c r="AF551" s="1514"/>
      <c r="AG551" s="1514"/>
      <c r="AH551" s="1515"/>
      <c r="AI551" s="1711" t="s">
        <v>1864</v>
      </c>
      <c r="AJ551" s="1514"/>
      <c r="AK551" s="1514"/>
      <c r="AL551" s="1515"/>
      <c r="AM551" s="1711" t="s">
        <v>462</v>
      </c>
      <c r="AN551" s="1514"/>
      <c r="AO551" s="1514"/>
      <c r="AP551" s="1514"/>
      <c r="AQ551" s="1514"/>
      <c r="AR551" s="1514"/>
      <c r="AS551" s="1515"/>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2"/>
      <c r="C552" s="1516"/>
      <c r="D552" s="1516"/>
      <c r="E552" s="1516"/>
      <c r="F552" s="1516"/>
      <c r="G552" s="1516"/>
      <c r="H552" s="1516"/>
      <c r="I552" s="1516"/>
      <c r="J552" s="1516"/>
      <c r="K552" s="1516"/>
      <c r="L552" s="1517"/>
      <c r="M552" s="1712"/>
      <c r="N552" s="1516"/>
      <c r="O552" s="1516"/>
      <c r="P552" s="1517"/>
      <c r="Q552" s="1712"/>
      <c r="R552" s="1516"/>
      <c r="S552" s="1517"/>
      <c r="T552" s="1712"/>
      <c r="U552" s="1516"/>
      <c r="V552" s="1517"/>
      <c r="W552" s="1712"/>
      <c r="X552" s="1516"/>
      <c r="Y552" s="1517"/>
      <c r="Z552" s="1712"/>
      <c r="AA552" s="1516"/>
      <c r="AB552" s="1516"/>
      <c r="AC552" s="1516"/>
      <c r="AD552" s="1517"/>
      <c r="AE552" s="1712"/>
      <c r="AF552" s="1516"/>
      <c r="AG552" s="1516"/>
      <c r="AH552" s="1517"/>
      <c r="AI552" s="1712"/>
      <c r="AJ552" s="1516"/>
      <c r="AK552" s="1516"/>
      <c r="AL552" s="1517"/>
      <c r="AM552" s="1712"/>
      <c r="AN552" s="1516"/>
      <c r="AO552" s="1516"/>
      <c r="AP552" s="1516"/>
      <c r="AQ552" s="1516"/>
      <c r="AR552" s="1516"/>
      <c r="AS552" s="1517"/>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3"/>
      <c r="C553" s="1518"/>
      <c r="D553" s="1518"/>
      <c r="E553" s="1518"/>
      <c r="F553" s="1518"/>
      <c r="G553" s="1518"/>
      <c r="H553" s="1518"/>
      <c r="I553" s="1518"/>
      <c r="J553" s="1518"/>
      <c r="K553" s="1518"/>
      <c r="L553" s="1519"/>
      <c r="M553" s="1713"/>
      <c r="N553" s="1518"/>
      <c r="O553" s="1518"/>
      <c r="P553" s="1519"/>
      <c r="Q553" s="1713"/>
      <c r="R553" s="1518"/>
      <c r="S553" s="1519"/>
      <c r="T553" s="1713"/>
      <c r="U553" s="1518"/>
      <c r="V553" s="1519"/>
      <c r="W553" s="1713"/>
      <c r="X553" s="1518"/>
      <c r="Y553" s="1519"/>
      <c r="Z553" s="1713"/>
      <c r="AA553" s="1518"/>
      <c r="AB553" s="1518"/>
      <c r="AC553" s="1518"/>
      <c r="AD553" s="1519"/>
      <c r="AE553" s="1713"/>
      <c r="AF553" s="1518"/>
      <c r="AG553" s="1518"/>
      <c r="AH553" s="1519"/>
      <c r="AI553" s="1713"/>
      <c r="AJ553" s="1518"/>
      <c r="AK553" s="1518"/>
      <c r="AL553" s="1519"/>
      <c r="AM553" s="1713"/>
      <c r="AN553" s="1518"/>
      <c r="AO553" s="1518"/>
      <c r="AP553" s="1518"/>
      <c r="AQ553" s="1518"/>
      <c r="AR553" s="1518"/>
      <c r="AS553" s="151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1" t="s">
        <v>2759</v>
      </c>
      <c r="D554" s="1701"/>
      <c r="E554" s="1701"/>
      <c r="F554" s="1701"/>
      <c r="G554" s="1701"/>
      <c r="H554" s="1701"/>
      <c r="I554" s="1701"/>
      <c r="J554" s="1701"/>
      <c r="K554" s="1701"/>
      <c r="L554" s="1701"/>
      <c r="M554" s="1701" t="s">
        <v>2437</v>
      </c>
      <c r="N554" s="1701"/>
      <c r="O554" s="1701"/>
      <c r="P554" s="1701"/>
      <c r="Q554" s="1475">
        <v>192</v>
      </c>
      <c r="R554" s="1475"/>
      <c r="S554" s="1476"/>
      <c r="T554" s="1474">
        <v>480</v>
      </c>
      <c r="U554" s="1475"/>
      <c r="V554" s="1476"/>
      <c r="W554" s="1477">
        <v>5.2299999999999999E-2</v>
      </c>
      <c r="X554" s="1478"/>
      <c r="Y554" s="1479"/>
      <c r="Z554" s="1644" t="s">
        <v>2739</v>
      </c>
      <c r="AA554" s="1644"/>
      <c r="AB554" s="1644"/>
      <c r="AC554" s="1644"/>
      <c r="AD554" s="1644"/>
      <c r="AE554" s="1641">
        <v>1</v>
      </c>
      <c r="AF554" s="1642"/>
      <c r="AG554" s="1642"/>
      <c r="AH554" s="1643"/>
      <c r="AI554" s="1707">
        <f>AF627</f>
        <v>1447806.472402211</v>
      </c>
      <c r="AJ554" s="1708"/>
      <c r="AK554" s="1708"/>
      <c r="AL554" s="1709"/>
      <c r="AM554" s="1691">
        <v>30000000</v>
      </c>
      <c r="AN554" s="1692"/>
      <c r="AO554" s="1692"/>
      <c r="AP554" s="1692"/>
      <c r="AQ554" s="1692"/>
      <c r="AR554" s="1692"/>
      <c r="AS554" s="169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0" t="s">
        <v>2758</v>
      </c>
      <c r="D555" s="1700"/>
      <c r="E555" s="1700"/>
      <c r="F555" s="1700"/>
      <c r="G555" s="1700"/>
      <c r="H555" s="1700"/>
      <c r="I555" s="1700"/>
      <c r="J555" s="1700"/>
      <c r="K555" s="1700"/>
      <c r="L555" s="1700"/>
      <c r="M555" s="1701" t="s">
        <v>2438</v>
      </c>
      <c r="N555" s="1701"/>
      <c r="O555" s="1701"/>
      <c r="P555" s="1701"/>
      <c r="Q555" s="1474">
        <v>36</v>
      </c>
      <c r="R555" s="1475"/>
      <c r="S555" s="1476"/>
      <c r="T555" s="1474">
        <v>480</v>
      </c>
      <c r="U555" s="1475"/>
      <c r="V555" s="1476"/>
      <c r="W555" s="1477">
        <v>4.7500000000000001E-2</v>
      </c>
      <c r="X555" s="1478"/>
      <c r="Y555" s="1479"/>
      <c r="Z555" s="1644" t="s">
        <v>599</v>
      </c>
      <c r="AA555" s="1644"/>
      <c r="AB555" s="1644"/>
      <c r="AC555" s="1644"/>
      <c r="AD555" s="1644"/>
      <c r="AE555" s="1641"/>
      <c r="AF555" s="1642"/>
      <c r="AG555" s="1642"/>
      <c r="AH555" s="1643"/>
      <c r="AI555" s="1707"/>
      <c r="AJ555" s="1708"/>
      <c r="AK555" s="1708"/>
      <c r="AL555" s="1709"/>
      <c r="AM555" s="1691">
        <v>5000000</v>
      </c>
      <c r="AN555" s="1692"/>
      <c r="AO555" s="1692"/>
      <c r="AP555" s="1692"/>
      <c r="AQ555" s="1692"/>
      <c r="AR555" s="1692"/>
      <c r="AS555" s="169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0" t="s">
        <v>2740</v>
      </c>
      <c r="D556" s="1700"/>
      <c r="E556" s="1700"/>
      <c r="F556" s="1700"/>
      <c r="G556" s="1700"/>
      <c r="H556" s="1700"/>
      <c r="I556" s="1700"/>
      <c r="J556" s="1700"/>
      <c r="K556" s="1700"/>
      <c r="L556" s="1700"/>
      <c r="M556" s="1701" t="s">
        <v>2429</v>
      </c>
      <c r="N556" s="1701"/>
      <c r="O556" s="1701"/>
      <c r="P556" s="1701"/>
      <c r="Q556" s="1474"/>
      <c r="R556" s="1475"/>
      <c r="S556" s="1476"/>
      <c r="T556" s="1474"/>
      <c r="U556" s="1475"/>
      <c r="V556" s="1476"/>
      <c r="W556" s="1477"/>
      <c r="X556" s="1478"/>
      <c r="Y556" s="1479"/>
      <c r="Z556" s="1644" t="s">
        <v>599</v>
      </c>
      <c r="AA556" s="1644"/>
      <c r="AB556" s="1644"/>
      <c r="AC556" s="1644"/>
      <c r="AD556" s="1644"/>
      <c r="AE556" s="1641"/>
      <c r="AF556" s="1642"/>
      <c r="AG556" s="1642"/>
      <c r="AH556" s="1643"/>
      <c r="AI556" s="1707"/>
      <c r="AJ556" s="1708"/>
      <c r="AK556" s="1708"/>
      <c r="AL556" s="1709"/>
      <c r="AM556" s="1691">
        <v>100</v>
      </c>
      <c r="AN556" s="1692"/>
      <c r="AO556" s="1692"/>
      <c r="AP556" s="1692"/>
      <c r="AQ556" s="1692"/>
      <c r="AR556" s="1692"/>
      <c r="AS556" s="169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700" t="s">
        <v>2741</v>
      </c>
      <c r="D557" s="1700"/>
      <c r="E557" s="1700"/>
      <c r="F557" s="1700"/>
      <c r="G557" s="1700"/>
      <c r="H557" s="1700"/>
      <c r="I557" s="1700"/>
      <c r="J557" s="1700"/>
      <c r="K557" s="1700"/>
      <c r="L557" s="1700"/>
      <c r="M557" s="1701" t="s">
        <v>2427</v>
      </c>
      <c r="N557" s="1701"/>
      <c r="O557" s="1701"/>
      <c r="P557" s="1701"/>
      <c r="Q557" s="1474"/>
      <c r="R557" s="1475"/>
      <c r="S557" s="1476"/>
      <c r="T557" s="1474"/>
      <c r="U557" s="1475"/>
      <c r="V557" s="1476"/>
      <c r="W557" s="1477"/>
      <c r="X557" s="1478"/>
      <c r="Y557" s="1479"/>
      <c r="Z557" s="1644" t="s">
        <v>599</v>
      </c>
      <c r="AA557" s="1644"/>
      <c r="AB557" s="1644"/>
      <c r="AC557" s="1644"/>
      <c r="AD557" s="1644"/>
      <c r="AE557" s="1641"/>
      <c r="AF557" s="1642"/>
      <c r="AG557" s="1642"/>
      <c r="AH557" s="1643"/>
      <c r="AI557" s="1707"/>
      <c r="AJ557" s="1708"/>
      <c r="AK557" s="1708"/>
      <c r="AL557" s="1709"/>
      <c r="AM557" s="1691">
        <v>100</v>
      </c>
      <c r="AN557" s="1692"/>
      <c r="AO557" s="1692"/>
      <c r="AP557" s="1692"/>
      <c r="AQ557" s="1692"/>
      <c r="AR557" s="1692"/>
      <c r="AS557" s="169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700" t="s">
        <v>2742</v>
      </c>
      <c r="D558" s="1700"/>
      <c r="E558" s="1700"/>
      <c r="F558" s="1700"/>
      <c r="G558" s="1700"/>
      <c r="H558" s="1700"/>
      <c r="I558" s="1700"/>
      <c r="J558" s="1700"/>
      <c r="K558" s="1700"/>
      <c r="L558" s="1700"/>
      <c r="M558" s="1701" t="s">
        <v>2435</v>
      </c>
      <c r="N558" s="1701"/>
      <c r="O558" s="1701"/>
      <c r="P558" s="1701"/>
      <c r="Q558" s="1474"/>
      <c r="R558" s="1475"/>
      <c r="S558" s="1476"/>
      <c r="T558" s="1474"/>
      <c r="U558" s="1475"/>
      <c r="V558" s="1476"/>
      <c r="W558" s="1477">
        <v>0.06</v>
      </c>
      <c r="X558" s="1478"/>
      <c r="Y558" s="1479"/>
      <c r="Z558" s="1644" t="s">
        <v>2739</v>
      </c>
      <c r="AA558" s="1644"/>
      <c r="AB558" s="1644"/>
      <c r="AC558" s="1644"/>
      <c r="AD558" s="1644"/>
      <c r="AE558" s="1641"/>
      <c r="AF558" s="1642"/>
      <c r="AG558" s="1642"/>
      <c r="AH558" s="1643"/>
      <c r="AI558" s="1707">
        <v>0</v>
      </c>
      <c r="AJ558" s="1708"/>
      <c r="AK558" s="1708"/>
      <c r="AL558" s="1709"/>
      <c r="AM558" s="1691">
        <f>8225993</f>
        <v>8225993</v>
      </c>
      <c r="AN558" s="1692"/>
      <c r="AO558" s="1692"/>
      <c r="AP558" s="1692"/>
      <c r="AQ558" s="1692"/>
      <c r="AR558" s="1692"/>
      <c r="AS558" s="1693"/>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700" t="s">
        <v>2743</v>
      </c>
      <c r="D559" s="1700"/>
      <c r="E559" s="1700"/>
      <c r="F559" s="1700"/>
      <c r="G559" s="1700"/>
      <c r="H559" s="1700"/>
      <c r="I559" s="1700"/>
      <c r="J559" s="1700"/>
      <c r="K559" s="1700"/>
      <c r="L559" s="1700"/>
      <c r="M559" s="1701" t="s">
        <v>2439</v>
      </c>
      <c r="N559" s="1701"/>
      <c r="O559" s="1701"/>
      <c r="P559" s="1701"/>
      <c r="Q559" s="1474"/>
      <c r="R559" s="1475"/>
      <c r="S559" s="1476"/>
      <c r="T559" s="1474"/>
      <c r="U559" s="1475"/>
      <c r="V559" s="1476"/>
      <c r="W559" s="1477"/>
      <c r="X559" s="1478"/>
      <c r="Y559" s="1479"/>
      <c r="Z559" s="1644" t="s">
        <v>599</v>
      </c>
      <c r="AA559" s="1644"/>
      <c r="AB559" s="1644"/>
      <c r="AC559" s="1644"/>
      <c r="AD559" s="1644"/>
      <c r="AE559" s="1641"/>
      <c r="AF559" s="1642"/>
      <c r="AG559" s="1642"/>
      <c r="AH559" s="1643"/>
      <c r="AI559" s="1707"/>
      <c r="AJ559" s="1708"/>
      <c r="AK559" s="1708"/>
      <c r="AL559" s="1709"/>
      <c r="AM559" s="1691">
        <v>1603138</v>
      </c>
      <c r="AN559" s="1692"/>
      <c r="AO559" s="1692"/>
      <c r="AP559" s="1692"/>
      <c r="AQ559" s="1692"/>
      <c r="AR559" s="1692"/>
      <c r="AS559" s="1693"/>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700" t="s">
        <v>2744</v>
      </c>
      <c r="D560" s="1700"/>
      <c r="E560" s="1700"/>
      <c r="F560" s="1700"/>
      <c r="G560" s="1700"/>
      <c r="H560" s="1700"/>
      <c r="I560" s="1700"/>
      <c r="J560" s="1700"/>
      <c r="K560" s="1700"/>
      <c r="L560" s="1700"/>
      <c r="M560" s="1701" t="s">
        <v>2428</v>
      </c>
      <c r="N560" s="1701"/>
      <c r="O560" s="1701"/>
      <c r="P560" s="1701"/>
      <c r="Q560" s="1474"/>
      <c r="R560" s="1475"/>
      <c r="S560" s="1476"/>
      <c r="T560" s="1474"/>
      <c r="U560" s="1475"/>
      <c r="V560" s="1476"/>
      <c r="W560" s="1477"/>
      <c r="X560" s="1478"/>
      <c r="Y560" s="1479"/>
      <c r="Z560" s="1644" t="s">
        <v>599</v>
      </c>
      <c r="AA560" s="1644"/>
      <c r="AB560" s="1644"/>
      <c r="AC560" s="1644"/>
      <c r="AD560" s="1644"/>
      <c r="AE560" s="1641"/>
      <c r="AF560" s="1642"/>
      <c r="AG560" s="1642"/>
      <c r="AH560" s="1643"/>
      <c r="AI560" s="1707"/>
      <c r="AJ560" s="1708"/>
      <c r="AK560" s="1708"/>
      <c r="AL560" s="1709"/>
      <c r="AM560" s="1691">
        <v>5000000</v>
      </c>
      <c r="AN560" s="1692"/>
      <c r="AO560" s="1692"/>
      <c r="AP560" s="1692"/>
      <c r="AQ560" s="1692"/>
      <c r="AR560" s="1692"/>
      <c r="AS560" s="169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700" t="s">
        <v>1849</v>
      </c>
      <c r="D561" s="1700"/>
      <c r="E561" s="1700"/>
      <c r="F561" s="1700"/>
      <c r="G561" s="1700"/>
      <c r="H561" s="1700"/>
      <c r="I561" s="1700"/>
      <c r="J561" s="1700"/>
      <c r="K561" s="1700"/>
      <c r="L561" s="1700"/>
      <c r="M561" s="1701" t="s">
        <v>2424</v>
      </c>
      <c r="N561" s="1701"/>
      <c r="O561" s="1701"/>
      <c r="P561" s="1701"/>
      <c r="Q561" s="1474"/>
      <c r="R561" s="1475"/>
      <c r="S561" s="1476"/>
      <c r="T561" s="1474"/>
      <c r="U561" s="1475"/>
      <c r="V561" s="1476"/>
      <c r="W561" s="1477"/>
      <c r="X561" s="1478"/>
      <c r="Y561" s="1479"/>
      <c r="Z561" s="1644" t="s">
        <v>599</v>
      </c>
      <c r="AA561" s="1644"/>
      <c r="AB561" s="1644"/>
      <c r="AC561" s="1644"/>
      <c r="AD561" s="1644"/>
      <c r="AE561" s="1641"/>
      <c r="AF561" s="1642"/>
      <c r="AG561" s="1642"/>
      <c r="AH561" s="1643"/>
      <c r="AI561" s="1707"/>
      <c r="AJ561" s="1708"/>
      <c r="AK561" s="1708"/>
      <c r="AL561" s="1709"/>
      <c r="AM561" s="1691">
        <v>6742396.0499999998</v>
      </c>
      <c r="AN561" s="1692"/>
      <c r="AO561" s="1692"/>
      <c r="AP561" s="1692"/>
      <c r="AQ561" s="1692"/>
      <c r="AR561" s="1692"/>
      <c r="AS561" s="169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700"/>
      <c r="D562" s="1700"/>
      <c r="E562" s="1700"/>
      <c r="F562" s="1700"/>
      <c r="G562" s="1700"/>
      <c r="H562" s="1700"/>
      <c r="I562" s="1700"/>
      <c r="J562" s="1700"/>
      <c r="K562" s="1700"/>
      <c r="L562" s="1700"/>
      <c r="M562" s="1701"/>
      <c r="N562" s="1701"/>
      <c r="O562" s="1701"/>
      <c r="P562" s="1701"/>
      <c r="Q562" s="1474"/>
      <c r="R562" s="1475"/>
      <c r="S562" s="1476"/>
      <c r="T562" s="1474"/>
      <c r="U562" s="1475"/>
      <c r="V562" s="1476"/>
      <c r="W562" s="1477"/>
      <c r="X562" s="1478"/>
      <c r="Y562" s="1479"/>
      <c r="Z562" s="1644"/>
      <c r="AA562" s="1644"/>
      <c r="AB562" s="1644"/>
      <c r="AC562" s="1644"/>
      <c r="AD562" s="1644"/>
      <c r="AE562" s="1641"/>
      <c r="AF562" s="1642"/>
      <c r="AG562" s="1642"/>
      <c r="AH562" s="1643"/>
      <c r="AI562" s="1707"/>
      <c r="AJ562" s="1708"/>
      <c r="AK562" s="1708"/>
      <c r="AL562" s="1709"/>
      <c r="AM562" s="1691"/>
      <c r="AN562" s="1692"/>
      <c r="AO562" s="1692"/>
      <c r="AP562" s="1692"/>
      <c r="AQ562" s="1692"/>
      <c r="AR562" s="1692"/>
      <c r="AS562" s="169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700"/>
      <c r="D563" s="1700"/>
      <c r="E563" s="1700"/>
      <c r="F563" s="1700"/>
      <c r="G563" s="1700"/>
      <c r="H563" s="1700"/>
      <c r="I563" s="1700"/>
      <c r="J563" s="1700"/>
      <c r="K563" s="1700"/>
      <c r="L563" s="1700"/>
      <c r="M563" s="1701" t="s">
        <v>1290</v>
      </c>
      <c r="N563" s="1701"/>
      <c r="O563" s="1701"/>
      <c r="P563" s="1701"/>
      <c r="Q563" s="1474"/>
      <c r="R563" s="1475"/>
      <c r="S563" s="1476"/>
      <c r="T563" s="1474"/>
      <c r="U563" s="1475"/>
      <c r="V563" s="1476"/>
      <c r="W563" s="1477"/>
      <c r="X563" s="1478"/>
      <c r="Y563" s="1479"/>
      <c r="Z563" s="1644" t="s">
        <v>1290</v>
      </c>
      <c r="AA563" s="1644"/>
      <c r="AB563" s="1644"/>
      <c r="AC563" s="1644"/>
      <c r="AD563" s="1644"/>
      <c r="AE563" s="1641"/>
      <c r="AF563" s="1642"/>
      <c r="AG563" s="1642"/>
      <c r="AH563" s="1643"/>
      <c r="AI563" s="1707"/>
      <c r="AJ563" s="1708"/>
      <c r="AK563" s="1708"/>
      <c r="AL563" s="1709"/>
      <c r="AM563" s="1691"/>
      <c r="AN563" s="1692"/>
      <c r="AO563" s="1692"/>
      <c r="AP563" s="1692"/>
      <c r="AQ563" s="1692"/>
      <c r="AR563" s="1692"/>
      <c r="AS563" s="169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0"/>
      <c r="D564" s="1700"/>
      <c r="E564" s="1700"/>
      <c r="F564" s="1700"/>
      <c r="G564" s="1700"/>
      <c r="H564" s="1700"/>
      <c r="I564" s="1700"/>
      <c r="J564" s="1700"/>
      <c r="K564" s="1700"/>
      <c r="L564" s="1700"/>
      <c r="M564" s="1701" t="s">
        <v>1290</v>
      </c>
      <c r="N564" s="1701"/>
      <c r="O564" s="1701"/>
      <c r="P564" s="1701"/>
      <c r="Q564" s="1474"/>
      <c r="R564" s="1475"/>
      <c r="S564" s="1476"/>
      <c r="T564" s="1474"/>
      <c r="U564" s="1475"/>
      <c r="V564" s="1476"/>
      <c r="W564" s="1477"/>
      <c r="X564" s="1478"/>
      <c r="Y564" s="1479"/>
      <c r="Z564" s="1644" t="s">
        <v>1290</v>
      </c>
      <c r="AA564" s="1644"/>
      <c r="AB564" s="1644"/>
      <c r="AC564" s="1644"/>
      <c r="AD564" s="1644"/>
      <c r="AE564" s="1641"/>
      <c r="AF564" s="1642"/>
      <c r="AG564" s="1642"/>
      <c r="AH564" s="1643"/>
      <c r="AI564" s="1707"/>
      <c r="AJ564" s="1708"/>
      <c r="AK564" s="1708"/>
      <c r="AL564" s="1709"/>
      <c r="AM564" s="1691"/>
      <c r="AN564" s="1692"/>
      <c r="AO564" s="1692"/>
      <c r="AP564" s="1692"/>
      <c r="AQ564" s="1692"/>
      <c r="AR564" s="1692"/>
      <c r="AS564" s="169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0"/>
      <c r="D565" s="1700"/>
      <c r="E565" s="1700"/>
      <c r="F565" s="1700"/>
      <c r="G565" s="1700"/>
      <c r="H565" s="1700"/>
      <c r="I565" s="1700"/>
      <c r="J565" s="1700"/>
      <c r="K565" s="1700"/>
      <c r="L565" s="1700"/>
      <c r="M565" s="1701" t="s">
        <v>1290</v>
      </c>
      <c r="N565" s="1701"/>
      <c r="O565" s="1701"/>
      <c r="P565" s="1701"/>
      <c r="Q565" s="1474"/>
      <c r="R565" s="1475"/>
      <c r="S565" s="1476"/>
      <c r="T565" s="1474"/>
      <c r="U565" s="1475"/>
      <c r="V565" s="1476"/>
      <c r="W565" s="1477"/>
      <c r="X565" s="1478"/>
      <c r="Y565" s="1479"/>
      <c r="Z565" s="1644" t="s">
        <v>1290</v>
      </c>
      <c r="AA565" s="1644"/>
      <c r="AB565" s="1644"/>
      <c r="AC565" s="1644"/>
      <c r="AD565" s="1644"/>
      <c r="AE565" s="1641"/>
      <c r="AF565" s="1642"/>
      <c r="AG565" s="1642"/>
      <c r="AH565" s="1643"/>
      <c r="AI565" s="1707"/>
      <c r="AJ565" s="1708"/>
      <c r="AK565" s="1708"/>
      <c r="AL565" s="1709"/>
      <c r="AM565" s="1691"/>
      <c r="AN565" s="1692"/>
      <c r="AO565" s="1692"/>
      <c r="AP565" s="1692"/>
      <c r="AQ565" s="1692"/>
      <c r="AR565" s="1692"/>
      <c r="AS565" s="169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65" t="s">
        <v>127</v>
      </c>
      <c r="C566" s="1466"/>
      <c r="D566" s="1466"/>
      <c r="E566" s="1466"/>
      <c r="F566" s="1466"/>
      <c r="G566" s="1466"/>
      <c r="H566" s="1466"/>
      <c r="I566" s="1466"/>
      <c r="J566" s="1466"/>
      <c r="K566" s="1466"/>
      <c r="L566" s="1466"/>
      <c r="M566" s="1466"/>
      <c r="N566" s="1466"/>
      <c r="O566" s="1466"/>
      <c r="P566" s="1466"/>
      <c r="Q566" s="1466"/>
      <c r="R566" s="1466"/>
      <c r="S566" s="1466"/>
      <c r="T566" s="1466"/>
      <c r="U566" s="1469"/>
      <c r="V566" s="1466"/>
      <c r="W566" s="1466"/>
      <c r="X566" s="1466"/>
      <c r="Y566" s="1466"/>
      <c r="Z566" s="1466"/>
      <c r="AA566" s="1466"/>
      <c r="AB566" s="1466"/>
      <c r="AC566" s="1466"/>
      <c r="AD566" s="1466"/>
      <c r="AE566" s="1466"/>
      <c r="AF566" s="1466"/>
      <c r="AG566" s="1466"/>
      <c r="AH566" s="1466"/>
      <c r="AI566" s="1466"/>
      <c r="AJ566" s="1466"/>
      <c r="AK566" s="1466"/>
      <c r="AL566" s="1467"/>
      <c r="AM566" s="1654">
        <f>SUM(AM554:AS565)</f>
        <v>56571727.049999997</v>
      </c>
      <c r="AN566" s="1655"/>
      <c r="AO566" s="1655"/>
      <c r="AP566" s="1655"/>
      <c r="AQ566" s="1655"/>
      <c r="AR566" s="1655"/>
      <c r="AS566" s="1656"/>
      <c r="BB566" s="3"/>
      <c r="BC566" s="3"/>
      <c r="BD566" s="3"/>
      <c r="BE566" s="3"/>
      <c r="BF566" s="3"/>
      <c r="BG566" s="3"/>
      <c r="BH566" s="3" t="s">
        <v>463</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71" t="str">
        <f>C554</f>
        <v>Freddie Mac - TEL</v>
      </c>
      <c r="H568" s="1471"/>
      <c r="I568" s="1471"/>
      <c r="J568" s="1471"/>
      <c r="K568" s="1471"/>
      <c r="L568" s="1471"/>
      <c r="M568" s="1471"/>
      <c r="N568" s="1471"/>
      <c r="O568" s="1471"/>
      <c r="P568" s="1471"/>
      <c r="Q568" s="1471"/>
      <c r="R568" s="1471"/>
      <c r="S568" s="8"/>
      <c r="T568" s="55" t="s">
        <v>113</v>
      </c>
      <c r="U568" t="s">
        <v>471</v>
      </c>
      <c r="Z568" s="1471" t="str">
        <f>C555</f>
        <v>CSCDA Recycled Bonds</v>
      </c>
      <c r="AA568" s="1471"/>
      <c r="AB568" s="1471"/>
      <c r="AC568" s="1471"/>
      <c r="AD568" s="1471"/>
      <c r="AE568" s="1471"/>
      <c r="AF568" s="1471"/>
      <c r="AG568" s="1471"/>
      <c r="AH568" s="1471"/>
      <c r="AI568" s="1471"/>
      <c r="AJ568" s="1471"/>
      <c r="AK568" s="147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4" t="s">
        <v>2745</v>
      </c>
      <c r="H569" s="1384"/>
      <c r="I569" s="1384"/>
      <c r="J569" s="1384"/>
      <c r="K569" s="1384"/>
      <c r="L569" s="1384"/>
      <c r="M569" s="1384"/>
      <c r="N569" s="1384"/>
      <c r="O569" s="1384"/>
      <c r="P569" s="1384"/>
      <c r="Q569" s="1384"/>
      <c r="R569" s="1384"/>
      <c r="S569" s="8"/>
      <c r="T569" s="22"/>
      <c r="U569" t="s">
        <v>85</v>
      </c>
      <c r="Z569" s="1384"/>
      <c r="AA569" s="1384"/>
      <c r="AB569" s="1384"/>
      <c r="AC569" s="1384"/>
      <c r="AD569" s="1384"/>
      <c r="AE569" s="1384"/>
      <c r="AF569" s="1384"/>
      <c r="AG569" s="1384"/>
      <c r="AH569" s="1384"/>
      <c r="AI569" s="1384"/>
      <c r="AJ569" s="1384"/>
      <c r="AK569" s="1384"/>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384" t="s">
        <v>2746</v>
      </c>
      <c r="H570" s="1384"/>
      <c r="I570" s="1384"/>
      <c r="J570" s="1384"/>
      <c r="K570" s="1384"/>
      <c r="L570" s="1384"/>
      <c r="M570" s="1384"/>
      <c r="N570" s="1384"/>
      <c r="O570" s="1384"/>
      <c r="P570" s="1384"/>
      <c r="Q570" s="1384"/>
      <c r="R570" s="1384"/>
      <c r="T570" s="22"/>
      <c r="U570" t="s">
        <v>588</v>
      </c>
      <c r="Z570" s="1441"/>
      <c r="AA570" s="1441"/>
      <c r="AB570" s="1441"/>
      <c r="AC570" s="1441"/>
      <c r="AD570" s="1441"/>
      <c r="AE570" s="1441"/>
      <c r="AF570" s="1441"/>
      <c r="AG570" s="1441"/>
      <c r="AH570" s="1441"/>
      <c r="AI570" s="1441"/>
      <c r="AJ570" s="1441"/>
      <c r="AK570" s="144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4" t="s">
        <v>2747</v>
      </c>
      <c r="H571" s="1384"/>
      <c r="I571" s="1384"/>
      <c r="J571" s="1384"/>
      <c r="K571" s="1384"/>
      <c r="L571" s="1384"/>
      <c r="M571" s="1384"/>
      <c r="N571" s="1384"/>
      <c r="O571" s="1384"/>
      <c r="P571" s="1384"/>
      <c r="Q571" s="1384"/>
      <c r="R571" s="1384"/>
      <c r="S571" s="8"/>
      <c r="T571" s="22"/>
      <c r="U571" t="s">
        <v>17</v>
      </c>
      <c r="Z571" s="1441" t="s">
        <v>2760</v>
      </c>
      <c r="AA571" s="1441"/>
      <c r="AB571" s="1441"/>
      <c r="AC571" s="1441"/>
      <c r="AD571" s="1441"/>
      <c r="AE571" s="1441"/>
      <c r="AF571" s="1441"/>
      <c r="AG571" s="1441"/>
      <c r="AH571" s="1441"/>
      <c r="AI571" s="1441"/>
      <c r="AJ571" s="1441"/>
      <c r="AK571" s="144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94" t="s">
        <v>2748</v>
      </c>
      <c r="H572" s="1395"/>
      <c r="I572" s="1395"/>
      <c r="J572" s="1395"/>
      <c r="K572" s="1395"/>
      <c r="L572" s="1395"/>
      <c r="O572" s="33" t="s">
        <v>207</v>
      </c>
      <c r="P572" s="1472"/>
      <c r="Q572" s="1472"/>
      <c r="R572" s="1472"/>
      <c r="S572" s="10"/>
      <c r="T572" s="22"/>
      <c r="U572" t="s">
        <v>317</v>
      </c>
      <c r="Z572" s="1394" t="s">
        <v>2748</v>
      </c>
      <c r="AA572" s="1395"/>
      <c r="AB572" s="1395"/>
      <c r="AC572" s="1395"/>
      <c r="AD572" s="1395"/>
      <c r="AE572" s="1395"/>
      <c r="AH572" s="33" t="s">
        <v>207</v>
      </c>
      <c r="AI572" s="1472"/>
      <c r="AJ572" s="1472"/>
      <c r="AK572" s="147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4" t="str">
        <f>M554</f>
        <v>Loan, Tax-Exempt</v>
      </c>
      <c r="I573" s="1384"/>
      <c r="J573" s="1384"/>
      <c r="K573" s="1384"/>
      <c r="L573" s="1384"/>
      <c r="M573" s="1384"/>
      <c r="N573" s="1384"/>
      <c r="O573" s="1384"/>
      <c r="P573" s="1384"/>
      <c r="Q573" s="1384"/>
      <c r="R573" s="1384"/>
      <c r="S573" s="8"/>
      <c r="T573" s="22"/>
      <c r="U573" t="s">
        <v>18</v>
      </c>
      <c r="AA573" s="1384" t="s">
        <v>2761</v>
      </c>
      <c r="AB573" s="1384"/>
      <c r="AC573" s="1384"/>
      <c r="AD573" s="1384"/>
      <c r="AE573" s="1384"/>
      <c r="AF573" s="1384"/>
      <c r="AG573" s="1384"/>
      <c r="AH573" s="1384"/>
      <c r="AI573" s="1384"/>
      <c r="AJ573" s="1384"/>
      <c r="AK573" s="1384"/>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720"/>
      <c r="N574" s="1720"/>
      <c r="O574" s="1720"/>
      <c r="P574" s="1720"/>
      <c r="Q574" s="1720"/>
      <c r="R574" s="1720"/>
      <c r="S574" s="8"/>
      <c r="T574" s="22"/>
      <c r="U574" s="348" t="s">
        <v>1291</v>
      </c>
      <c r="AA574" s="8"/>
      <c r="AB574" s="8"/>
      <c r="AC574" s="8"/>
      <c r="AD574" s="8"/>
      <c r="AE574" s="8"/>
      <c r="AF574" s="1720"/>
      <c r="AG574" s="1720"/>
      <c r="AH574" s="1720"/>
      <c r="AI574" s="1720"/>
      <c r="AJ574" s="1720"/>
      <c r="AK574" s="172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3" t="s">
        <v>553</v>
      </c>
      <c r="O575" s="1383"/>
      <c r="T575" s="22"/>
      <c r="U575" t="s">
        <v>20</v>
      </c>
      <c r="AG575" s="1383" t="s">
        <v>553</v>
      </c>
      <c r="AH575" s="138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71" t="str">
        <f>C556</f>
        <v>Special Limited Partner Equity</v>
      </c>
      <c r="H577" s="1471"/>
      <c r="I577" s="1471"/>
      <c r="J577" s="1471"/>
      <c r="K577" s="1471"/>
      <c r="L577" s="1471"/>
      <c r="M577" s="1471"/>
      <c r="N577" s="1471"/>
      <c r="O577" s="1471"/>
      <c r="P577" s="1471"/>
      <c r="Q577" s="1471"/>
      <c r="R577" s="1471"/>
      <c r="T577" s="55" t="s">
        <v>589</v>
      </c>
      <c r="U577" t="s">
        <v>471</v>
      </c>
      <c r="Z577" s="1471" t="str">
        <f>C557</f>
        <v>General Partner Equity</v>
      </c>
      <c r="AA577" s="1471"/>
      <c r="AB577" s="1471"/>
      <c r="AC577" s="1471"/>
      <c r="AD577" s="1471"/>
      <c r="AE577" s="1471"/>
      <c r="AF577" s="1471"/>
      <c r="AG577" s="1471"/>
      <c r="AH577" s="1471"/>
      <c r="AI577" s="1471"/>
      <c r="AJ577" s="1471"/>
      <c r="AK577" s="147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84" t="s">
        <v>2711</v>
      </c>
      <c r="H578" s="1384"/>
      <c r="I578" s="1384"/>
      <c r="J578" s="1384"/>
      <c r="K578" s="1384"/>
      <c r="L578" s="1384"/>
      <c r="M578" s="1384"/>
      <c r="N578" s="1384"/>
      <c r="O578" s="1384"/>
      <c r="P578" s="1384"/>
      <c r="Q578" s="1384"/>
      <c r="R578" s="1384"/>
      <c r="T578" s="22"/>
      <c r="U578" t="s">
        <v>85</v>
      </c>
      <c r="Z578" s="1384" t="s">
        <v>2655</v>
      </c>
      <c r="AA578" s="1384"/>
      <c r="AB578" s="1384"/>
      <c r="AC578" s="1384"/>
      <c r="AD578" s="1384"/>
      <c r="AE578" s="1384"/>
      <c r="AF578" s="1384"/>
      <c r="AG578" s="1384"/>
      <c r="AH578" s="1384"/>
      <c r="AI578" s="1384"/>
      <c r="AJ578" s="1384"/>
      <c r="AK578" s="1384"/>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41"/>
      <c r="H579" s="1441"/>
      <c r="I579" s="1441"/>
      <c r="J579" s="1441"/>
      <c r="K579" s="1441"/>
      <c r="L579" s="1441"/>
      <c r="M579" s="1441"/>
      <c r="N579" s="1441"/>
      <c r="O579" s="1441"/>
      <c r="P579" s="1441"/>
      <c r="Q579" s="1441"/>
      <c r="R579" s="1441"/>
      <c r="T579" s="22"/>
      <c r="U579" t="s">
        <v>588</v>
      </c>
      <c r="Z579" s="1441" t="s">
        <v>739</v>
      </c>
      <c r="AA579" s="1441"/>
      <c r="AB579" s="1441"/>
      <c r="AC579" s="1441"/>
      <c r="AD579" s="1441"/>
      <c r="AE579" s="1441"/>
      <c r="AF579" s="1441"/>
      <c r="AG579" s="1441"/>
      <c r="AH579" s="1441"/>
      <c r="AI579" s="1441"/>
      <c r="AJ579" s="1441"/>
      <c r="AK579" s="144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1" t="s">
        <v>2713</v>
      </c>
      <c r="H580" s="1441"/>
      <c r="I580" s="1441"/>
      <c r="J580" s="1441"/>
      <c r="K580" s="1441"/>
      <c r="L580" s="1441"/>
      <c r="M580" s="1441"/>
      <c r="N580" s="1441"/>
      <c r="O580" s="1441"/>
      <c r="P580" s="1441"/>
      <c r="Q580" s="1441"/>
      <c r="R580" s="1441"/>
      <c r="T580" s="22"/>
      <c r="U580" t="s">
        <v>17</v>
      </c>
      <c r="Z580" s="1441" t="s">
        <v>2657</v>
      </c>
      <c r="AA580" s="1441"/>
      <c r="AB580" s="1441"/>
      <c r="AC580" s="1441"/>
      <c r="AD580" s="1441"/>
      <c r="AE580" s="1441"/>
      <c r="AF580" s="1441"/>
      <c r="AG580" s="1441"/>
      <c r="AH580" s="1441"/>
      <c r="AI580" s="1441"/>
      <c r="AJ580" s="1441"/>
      <c r="AK580" s="144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94" t="s">
        <v>2714</v>
      </c>
      <c r="H581" s="1395"/>
      <c r="I581" s="1395"/>
      <c r="J581" s="1395"/>
      <c r="K581" s="1395"/>
      <c r="L581" s="1395"/>
      <c r="O581" s="33" t="s">
        <v>207</v>
      </c>
      <c r="P581" s="1472"/>
      <c r="Q581" s="1472"/>
      <c r="R581" s="1472"/>
      <c r="T581" s="22"/>
      <c r="U581" t="s">
        <v>317</v>
      </c>
      <c r="Z581" s="1394" t="s">
        <v>2658</v>
      </c>
      <c r="AA581" s="1395"/>
      <c r="AB581" s="1395"/>
      <c r="AC581" s="1395"/>
      <c r="AD581" s="1395"/>
      <c r="AE581" s="1395"/>
      <c r="AH581" s="33" t="s">
        <v>207</v>
      </c>
      <c r="AI581" s="1472"/>
      <c r="AJ581" s="1472"/>
      <c r="AK581" s="147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84" t="str">
        <f>M556</f>
        <v>Equity, Other Investor</v>
      </c>
      <c r="I582" s="1384"/>
      <c r="J582" s="1384"/>
      <c r="K582" s="1384"/>
      <c r="L582" s="1384"/>
      <c r="M582" s="1384"/>
      <c r="N582" s="1384"/>
      <c r="O582" s="1384"/>
      <c r="P582" s="1384"/>
      <c r="Q582" s="1384"/>
      <c r="R582" s="1384"/>
      <c r="T582" s="22"/>
      <c r="U582" t="s">
        <v>18</v>
      </c>
      <c r="AA582" s="1384" t="str">
        <f>M561</f>
        <v>Developer Fee, Deferral</v>
      </c>
      <c r="AB582" s="1384"/>
      <c r="AC582" s="1384"/>
      <c r="AD582" s="1384"/>
      <c r="AE582" s="1384"/>
      <c r="AF582" s="1384"/>
      <c r="AG582" s="1384"/>
      <c r="AH582" s="1384"/>
      <c r="AI582" s="1384"/>
      <c r="AJ582" s="1384"/>
      <c r="AK582" s="1384"/>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3" t="s">
        <v>553</v>
      </c>
      <c r="O583" s="1383"/>
      <c r="T583" s="22"/>
      <c r="U583" t="s">
        <v>20</v>
      </c>
      <c r="AG583" s="1383" t="s">
        <v>553</v>
      </c>
      <c r="AH583" s="138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471" t="str">
        <f>C558</f>
        <v>GP Subordinate Note</v>
      </c>
      <c r="H585" s="1471"/>
      <c r="I585" s="1471"/>
      <c r="J585" s="1471"/>
      <c r="K585" s="1471"/>
      <c r="L585" s="1471"/>
      <c r="M585" s="1471"/>
      <c r="N585" s="1471"/>
      <c r="O585" s="1471"/>
      <c r="P585" s="1471"/>
      <c r="Q585" s="1471"/>
      <c r="R585" s="1471"/>
      <c r="T585" s="55" t="s">
        <v>592</v>
      </c>
      <c r="U585" t="s">
        <v>471</v>
      </c>
      <c r="Z585" s="1471" t="str">
        <f>C559</f>
        <v>Cashflow During Operations</v>
      </c>
      <c r="AA585" s="1471"/>
      <c r="AB585" s="1471"/>
      <c r="AC585" s="1471"/>
      <c r="AD585" s="1471"/>
      <c r="AE585" s="1471"/>
      <c r="AF585" s="1471"/>
      <c r="AG585" s="1471"/>
      <c r="AH585" s="1471"/>
      <c r="AI585" s="1471"/>
      <c r="AJ585" s="1471"/>
      <c r="AK585" s="147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4" t="s">
        <v>2655</v>
      </c>
      <c r="H586" s="1384"/>
      <c r="I586" s="1384"/>
      <c r="J586" s="1384"/>
      <c r="K586" s="1384"/>
      <c r="L586" s="1384"/>
      <c r="M586" s="1384"/>
      <c r="N586" s="1384"/>
      <c r="O586" s="1384"/>
      <c r="P586" s="1384"/>
      <c r="Q586" s="1384"/>
      <c r="R586" s="1384"/>
      <c r="T586" s="22"/>
      <c r="U586" t="s">
        <v>85</v>
      </c>
      <c r="Z586" s="1384" t="s">
        <v>2655</v>
      </c>
      <c r="AA586" s="1384"/>
      <c r="AB586" s="1384"/>
      <c r="AC586" s="1384"/>
      <c r="AD586" s="1384"/>
      <c r="AE586" s="1384"/>
      <c r="AF586" s="1384"/>
      <c r="AG586" s="1384"/>
      <c r="AH586" s="1384"/>
      <c r="AI586" s="1384"/>
      <c r="AJ586" s="1384"/>
      <c r="AK586" s="1384"/>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84" t="s">
        <v>739</v>
      </c>
      <c r="H587" s="1384"/>
      <c r="I587" s="1384"/>
      <c r="J587" s="1384"/>
      <c r="K587" s="1384"/>
      <c r="L587" s="1384"/>
      <c r="M587" s="1384"/>
      <c r="N587" s="1384"/>
      <c r="O587" s="1384"/>
      <c r="P587" s="1384"/>
      <c r="Q587" s="1384"/>
      <c r="R587" s="1384"/>
      <c r="T587" s="22"/>
      <c r="U587" t="s">
        <v>588</v>
      </c>
      <c r="Z587" s="1441" t="s">
        <v>739</v>
      </c>
      <c r="AA587" s="1441"/>
      <c r="AB587" s="1441"/>
      <c r="AC587" s="1441"/>
      <c r="AD587" s="1441"/>
      <c r="AE587" s="1441"/>
      <c r="AF587" s="1441"/>
      <c r="AG587" s="1441"/>
      <c r="AH587" s="1441"/>
      <c r="AI587" s="1441"/>
      <c r="AJ587" s="1441"/>
      <c r="AK587" s="144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84" t="s">
        <v>2657</v>
      </c>
      <c r="H588" s="1384"/>
      <c r="I588" s="1384"/>
      <c r="J588" s="1384"/>
      <c r="K588" s="1384"/>
      <c r="L588" s="1384"/>
      <c r="M588" s="1384"/>
      <c r="N588" s="1384"/>
      <c r="O588" s="1384"/>
      <c r="P588" s="1384"/>
      <c r="Q588" s="1384"/>
      <c r="R588" s="1384"/>
      <c r="T588" s="22"/>
      <c r="U588" t="s">
        <v>17</v>
      </c>
      <c r="Z588" s="1441" t="s">
        <v>2657</v>
      </c>
      <c r="AA588" s="1441"/>
      <c r="AB588" s="1441"/>
      <c r="AC588" s="1441"/>
      <c r="AD588" s="1441"/>
      <c r="AE588" s="1441"/>
      <c r="AF588" s="1441"/>
      <c r="AG588" s="1441"/>
      <c r="AH588" s="1441"/>
      <c r="AI588" s="1441"/>
      <c r="AJ588" s="1441"/>
      <c r="AK588" s="1441"/>
    </row>
    <row r="589" spans="1:110" ht="12.95" customHeight="1">
      <c r="A589" s="22"/>
      <c r="B589" t="s">
        <v>317</v>
      </c>
      <c r="G589" s="1394" t="s">
        <v>2658</v>
      </c>
      <c r="H589" s="1395"/>
      <c r="I589" s="1395"/>
      <c r="J589" s="1395"/>
      <c r="K589" s="1395"/>
      <c r="L589" s="1395"/>
      <c r="O589" s="33" t="s">
        <v>207</v>
      </c>
      <c r="P589" s="1472"/>
      <c r="Q589" s="1472"/>
      <c r="R589" s="1472"/>
      <c r="T589" s="22"/>
      <c r="U589" t="s">
        <v>317</v>
      </c>
      <c r="Z589" s="1394" t="s">
        <v>2658</v>
      </c>
      <c r="AA589" s="1395"/>
      <c r="AB589" s="1395"/>
      <c r="AC589" s="1395"/>
      <c r="AD589" s="1395"/>
      <c r="AE589" s="1395"/>
      <c r="AH589" s="33" t="s">
        <v>207</v>
      </c>
      <c r="AI589" s="1472"/>
      <c r="AJ589" s="1472"/>
      <c r="AK589" s="147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84" t="str">
        <f>M558</f>
        <v>Loan, General Partner</v>
      </c>
      <c r="I590" s="1384"/>
      <c r="J590" s="1384"/>
      <c r="K590" s="1384"/>
      <c r="L590" s="1384"/>
      <c r="M590" s="1384"/>
      <c r="N590" s="1384"/>
      <c r="O590" s="1384"/>
      <c r="P590" s="1384"/>
      <c r="Q590" s="1384"/>
      <c r="R590" s="1384"/>
      <c r="T590" s="22"/>
      <c r="U590" t="s">
        <v>18</v>
      </c>
      <c r="AA590" s="1384" t="str">
        <f>M559</f>
        <v>Net Operating Income</v>
      </c>
      <c r="AB590" s="1384"/>
      <c r="AC590" s="1384"/>
      <c r="AD590" s="1384"/>
      <c r="AE590" s="1384"/>
      <c r="AF590" s="1384"/>
      <c r="AG590" s="1384"/>
      <c r="AH590" s="1384"/>
      <c r="AI590" s="1384"/>
      <c r="AJ590" s="1384"/>
      <c r="AK590" s="1384"/>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3" t="s">
        <v>553</v>
      </c>
      <c r="O591" s="1383"/>
      <c r="T591" s="22"/>
      <c r="U591" t="s">
        <v>20</v>
      </c>
      <c r="AG591" s="1383" t="s">
        <v>553</v>
      </c>
      <c r="AH591" s="138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71" t="str">
        <f>C560</f>
        <v>Investor Tax Credit Equity</v>
      </c>
      <c r="H593" s="1471"/>
      <c r="I593" s="1471"/>
      <c r="J593" s="1471"/>
      <c r="K593" s="1471"/>
      <c r="L593" s="1471"/>
      <c r="M593" s="1471"/>
      <c r="N593" s="1471"/>
      <c r="O593" s="1471"/>
      <c r="P593" s="1471"/>
      <c r="Q593" s="1471"/>
      <c r="R593" s="1471"/>
      <c r="T593" s="55" t="s">
        <v>464</v>
      </c>
      <c r="U593" t="s">
        <v>471</v>
      </c>
      <c r="Z593" s="1471" t="str">
        <f>C561</f>
        <v>Deferred Developer Fee</v>
      </c>
      <c r="AA593" s="1471"/>
      <c r="AB593" s="1471"/>
      <c r="AC593" s="1471"/>
      <c r="AD593" s="1471"/>
      <c r="AE593" s="1471"/>
      <c r="AF593" s="1471"/>
      <c r="AG593" s="1471"/>
      <c r="AH593" s="1471"/>
      <c r="AI593" s="1471"/>
      <c r="AJ593" s="1471"/>
      <c r="AK593" s="147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4" t="s">
        <v>2711</v>
      </c>
      <c r="H594" s="1384"/>
      <c r="I594" s="1384"/>
      <c r="J594" s="1384"/>
      <c r="K594" s="1384"/>
      <c r="L594" s="1384"/>
      <c r="M594" s="1384"/>
      <c r="N594" s="1384"/>
      <c r="O594" s="1384"/>
      <c r="P594" s="1384"/>
      <c r="Q594" s="1384"/>
      <c r="R594" s="1384"/>
      <c r="S594"/>
      <c r="T594" s="22"/>
      <c r="U594" t="s">
        <v>85</v>
      </c>
      <c r="V594"/>
      <c r="W594"/>
      <c r="X594"/>
      <c r="Y594"/>
      <c r="Z594" s="1384" t="str">
        <f>Z586</f>
        <v>1015 Fillmore St. PMB 31735</v>
      </c>
      <c r="AA594" s="1384"/>
      <c r="AB594" s="1384"/>
      <c r="AC594" s="1384"/>
      <c r="AD594" s="1384"/>
      <c r="AE594" s="1384"/>
      <c r="AF594" s="1384"/>
      <c r="AG594" s="1384"/>
      <c r="AH594" s="1384"/>
      <c r="AI594" s="1384"/>
      <c r="AJ594" s="1384"/>
      <c r="AK594" s="1384"/>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84"/>
      <c r="H595" s="1384"/>
      <c r="I595" s="1384"/>
      <c r="J595" s="1384"/>
      <c r="K595" s="1384"/>
      <c r="L595" s="1384"/>
      <c r="M595" s="1384"/>
      <c r="N595" s="1384"/>
      <c r="O595" s="1384"/>
      <c r="P595" s="1384"/>
      <c r="Q595" s="1384"/>
      <c r="R595" s="1384"/>
      <c r="S595"/>
      <c r="T595" s="22"/>
      <c r="U595" t="s">
        <v>588</v>
      </c>
      <c r="V595"/>
      <c r="W595"/>
      <c r="X595"/>
      <c r="Y595"/>
      <c r="Z595" s="1441" t="str">
        <f>Z587</f>
        <v>San Francisco</v>
      </c>
      <c r="AA595" s="1441"/>
      <c r="AB595" s="1441"/>
      <c r="AC595" s="1441"/>
      <c r="AD595" s="1441"/>
      <c r="AE595" s="1441"/>
      <c r="AF595" s="1441"/>
      <c r="AG595" s="1441"/>
      <c r="AH595" s="1441"/>
      <c r="AI595" s="1441"/>
      <c r="AJ595" s="1441"/>
      <c r="AK595" s="144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4" t="s">
        <v>2713</v>
      </c>
      <c r="H596" s="1384"/>
      <c r="I596" s="1384"/>
      <c r="J596" s="1384"/>
      <c r="K596" s="1384"/>
      <c r="L596" s="1384"/>
      <c r="M596" s="1384"/>
      <c r="N596" s="1384"/>
      <c r="O596" s="1384"/>
      <c r="P596" s="1384"/>
      <c r="Q596" s="1384"/>
      <c r="R596" s="1384"/>
      <c r="S596"/>
      <c r="T596" s="22"/>
      <c r="U596" t="s">
        <v>17</v>
      </c>
      <c r="V596"/>
      <c r="W596"/>
      <c r="X596"/>
      <c r="Y596"/>
      <c r="Z596" s="1441" t="str">
        <f>Z588</f>
        <v>Robert Lee</v>
      </c>
      <c r="AA596" s="1441"/>
      <c r="AB596" s="1441"/>
      <c r="AC596" s="1441"/>
      <c r="AD596" s="1441"/>
      <c r="AE596" s="1441"/>
      <c r="AF596" s="1441"/>
      <c r="AG596" s="1441"/>
      <c r="AH596" s="1441"/>
      <c r="AI596" s="1441"/>
      <c r="AJ596" s="1441"/>
      <c r="AK596" s="1441"/>
      <c r="AL596"/>
      <c r="AM596"/>
      <c r="AN596"/>
      <c r="AO596"/>
      <c r="AP596"/>
      <c r="AQ596"/>
      <c r="AR596"/>
      <c r="AS596"/>
      <c r="AT596"/>
      <c r="AU596"/>
      <c r="AV596"/>
      <c r="AW596"/>
      <c r="AX596"/>
      <c r="AY596"/>
      <c r="BA596" s="4" t="s">
        <v>325</v>
      </c>
      <c r="BB596" s="3"/>
      <c r="BC596" s="3"/>
      <c r="BD596" s="3"/>
      <c r="BE596" s="121" t="s">
        <v>482</v>
      </c>
      <c r="BF596" s="122"/>
      <c r="BG596" s="1508"/>
      <c r="BH596" s="1510"/>
      <c r="BI596" s="121" t="s">
        <v>483</v>
      </c>
      <c r="BJ596" s="122"/>
      <c r="BK596" s="1508"/>
      <c r="BL596" s="1510"/>
      <c r="BM596" s="3"/>
      <c r="BN596" s="1415" t="s">
        <v>641</v>
      </c>
      <c r="BO596" s="1416"/>
      <c r="BP596" s="1416"/>
      <c r="BQ596" s="1416"/>
      <c r="BR596" s="1417"/>
      <c r="BS596" s="1525" t="s">
        <v>326</v>
      </c>
      <c r="BT596" s="1525"/>
      <c r="BU596" s="1525"/>
      <c r="BV596" s="1525"/>
      <c r="BW596" s="1525"/>
      <c r="BX596" s="1525" t="s">
        <v>163</v>
      </c>
      <c r="BY596" s="1525"/>
      <c r="BZ596" s="1525"/>
      <c r="CA596" s="1525"/>
      <c r="CB596" s="1525"/>
      <c r="CC596" s="1525" t="s">
        <v>164</v>
      </c>
      <c r="CD596" s="1525"/>
      <c r="CE596" s="1525"/>
      <c r="CF596" s="1525"/>
      <c r="CG596" s="1525"/>
      <c r="CH596" s="1525" t="s">
        <v>468</v>
      </c>
      <c r="CI596" s="1525"/>
      <c r="CJ596" s="1525"/>
      <c r="CK596" s="1525"/>
      <c r="CL596" s="1525"/>
      <c r="CM596" s="1525" t="s">
        <v>30</v>
      </c>
      <c r="CN596" s="1525"/>
      <c r="CO596" s="1525"/>
      <c r="CP596" s="1525"/>
      <c r="CQ596" s="1525"/>
      <c r="CR596" s="89"/>
      <c r="CS596" s="1525" t="s">
        <v>641</v>
      </c>
      <c r="CT596" s="1525"/>
      <c r="CU596" s="1525"/>
      <c r="CV596" s="1525"/>
      <c r="CW596" s="1525"/>
      <c r="CX596" s="1525" t="s">
        <v>326</v>
      </c>
      <c r="CY596" s="1525"/>
      <c r="CZ596" s="1525"/>
      <c r="DA596" s="1525"/>
      <c r="DB596" s="1525"/>
      <c r="DC596" s="1525" t="s">
        <v>163</v>
      </c>
      <c r="DD596" s="1525"/>
      <c r="DE596" s="1525"/>
      <c r="DF596" s="1525"/>
      <c r="DG596" s="1525"/>
      <c r="DH596" s="1525" t="s">
        <v>164</v>
      </c>
      <c r="DI596" s="1525"/>
      <c r="DJ596" s="1525"/>
      <c r="DK596" s="1525"/>
      <c r="DL596" s="1525"/>
      <c r="DM596" s="1525" t="s">
        <v>468</v>
      </c>
      <c r="DN596" s="1525"/>
      <c r="DO596" s="1525"/>
      <c r="DP596" s="1525"/>
      <c r="DQ596" s="1525"/>
      <c r="DR596" s="1525" t="s">
        <v>30</v>
      </c>
      <c r="DS596" s="1525"/>
      <c r="DT596" s="1525"/>
      <c r="DU596" s="1525"/>
      <c r="DV596" s="1525"/>
      <c r="DX596" s="1525" t="s">
        <v>641</v>
      </c>
      <c r="DY596" s="1525"/>
      <c r="DZ596" s="1525"/>
      <c r="EA596" s="1525"/>
      <c r="EB596" s="1525"/>
      <c r="EC596" s="1525" t="s">
        <v>326</v>
      </c>
      <c r="ED596" s="1525"/>
      <c r="EE596" s="1525"/>
      <c r="EF596" s="1525"/>
      <c r="EG596" s="1525"/>
      <c r="EH596" s="1525" t="s">
        <v>163</v>
      </c>
      <c r="EI596" s="1525"/>
      <c r="EJ596" s="1525"/>
      <c r="EK596" s="1525"/>
      <c r="EL596" s="1525"/>
      <c r="EM596" s="1525" t="s">
        <v>164</v>
      </c>
      <c r="EN596" s="1525"/>
      <c r="EO596" s="1525"/>
      <c r="EP596" s="1525"/>
      <c r="EQ596" s="1525"/>
      <c r="ER596" s="1525" t="s">
        <v>468</v>
      </c>
      <c r="ES596" s="1525"/>
      <c r="ET596" s="1525"/>
      <c r="EU596" s="1525"/>
      <c r="EV596" s="1525"/>
      <c r="EW596" s="1525" t="s">
        <v>30</v>
      </c>
      <c r="EX596" s="1525"/>
      <c r="EY596" s="1525"/>
      <c r="EZ596" s="1525"/>
      <c r="FA596" s="1525"/>
    </row>
    <row r="597" spans="1:157" s="4" customFormat="1" ht="12.95" customHeight="1">
      <c r="A597" s="22"/>
      <c r="B597" t="s">
        <v>317</v>
      </c>
      <c r="C597"/>
      <c r="D597"/>
      <c r="E597"/>
      <c r="F597"/>
      <c r="G597" s="1394" t="s">
        <v>2714</v>
      </c>
      <c r="H597" s="1395"/>
      <c r="I597" s="1395"/>
      <c r="J597" s="1395"/>
      <c r="K597" s="1395"/>
      <c r="L597" s="1395"/>
      <c r="M597"/>
      <c r="N597"/>
      <c r="O597" s="33" t="s">
        <v>207</v>
      </c>
      <c r="P597" s="1472"/>
      <c r="Q597" s="1472"/>
      <c r="R597" s="1472"/>
      <c r="S597"/>
      <c r="T597" s="22"/>
      <c r="U597" t="s">
        <v>317</v>
      </c>
      <c r="V597"/>
      <c r="W597"/>
      <c r="X597"/>
      <c r="Y597"/>
      <c r="Z597" s="1395" t="str">
        <f>Z589</f>
        <v>604-716-6225</v>
      </c>
      <c r="AA597" s="1395"/>
      <c r="AB597" s="1395"/>
      <c r="AC597" s="1395"/>
      <c r="AD597" s="1395"/>
      <c r="AE597" s="1395"/>
      <c r="AF597"/>
      <c r="AG597"/>
      <c r="AH597" s="33" t="s">
        <v>207</v>
      </c>
      <c r="AI597" s="1472"/>
      <c r="AJ597" s="1472"/>
      <c r="AK597" s="1472"/>
      <c r="AL597"/>
      <c r="AM597"/>
      <c r="AN597"/>
      <c r="AO597"/>
      <c r="AP597"/>
      <c r="AQ597"/>
      <c r="AR597"/>
      <c r="AS597"/>
      <c r="AT597"/>
      <c r="AU597"/>
      <c r="AV597"/>
      <c r="AW597"/>
      <c r="AX597"/>
      <c r="AY597"/>
      <c r="BA597" s="4" t="s">
        <v>326</v>
      </c>
      <c r="BB597" s="3"/>
      <c r="BC597" s="3"/>
      <c r="BD597" s="3"/>
      <c r="BE597" s="1494">
        <f t="shared" ref="BE597:BE631" si="1">IF(AND(AC718&lt;=0.5,AC718&gt;=0.36),1,0)</f>
        <v>0</v>
      </c>
      <c r="BF597" s="1496"/>
      <c r="BG597" s="1508">
        <f t="shared" ref="BG597:BG631" si="2">IF(BE597=1,G718,0)</f>
        <v>0</v>
      </c>
      <c r="BH597" s="1510"/>
      <c r="BI597" s="1494">
        <f t="shared" ref="BI597:BI631" si="3">IF(AND(AC718&lt;=0.35,AC718&gt;0),1,0)</f>
        <v>1</v>
      </c>
      <c r="BJ597" s="1496"/>
      <c r="BK597" s="1508">
        <f t="shared" ref="BK597:BK631" si="4">IF(BI597=1,G718,0)</f>
        <v>15</v>
      </c>
      <c r="BL597" s="1510"/>
      <c r="BM597" s="3"/>
      <c r="BN597" s="1498">
        <f t="shared" ref="BN597:BN631" si="5">IF(B718="SRO/Studio",G718,0)</f>
        <v>0</v>
      </c>
      <c r="BO597" s="1499"/>
      <c r="BP597" s="1499"/>
      <c r="BQ597" s="1499"/>
      <c r="BR597" s="1500"/>
      <c r="BS597" s="1497">
        <f t="shared" ref="BS597:BS631" si="6">IF(B718="1 Bedroom",G718,0)</f>
        <v>15</v>
      </c>
      <c r="BT597" s="1497"/>
      <c r="BU597" s="1497"/>
      <c r="BV597" s="1497"/>
      <c r="BW597" s="1497"/>
      <c r="BX597" s="1497">
        <f t="shared" ref="BX597:BX631" si="7">IF(B718="2 Bedrooms",G718,0)</f>
        <v>0</v>
      </c>
      <c r="BY597" s="1497"/>
      <c r="BZ597" s="1497"/>
      <c r="CA597" s="1497"/>
      <c r="CB597" s="1497"/>
      <c r="CC597" s="1497">
        <f t="shared" ref="CC597:CC631" si="8">IF(B718="3 Bedrooms",G718,0)</f>
        <v>0</v>
      </c>
      <c r="CD597" s="1497"/>
      <c r="CE597" s="1497"/>
      <c r="CF597" s="1497"/>
      <c r="CG597" s="1497"/>
      <c r="CH597" s="1497">
        <f t="shared" ref="CH597:CH631" si="9">IF(B718="4 Bedrooms",G718,0)</f>
        <v>0</v>
      </c>
      <c r="CI597" s="1497"/>
      <c r="CJ597" s="1497"/>
      <c r="CK597" s="1497"/>
      <c r="CL597" s="1497"/>
      <c r="CM597" s="1497">
        <f t="shared" ref="CM597:CM631" si="10">IF(B718="5 Bedrooms",G718,0)</f>
        <v>0</v>
      </c>
      <c r="CN597" s="1497"/>
      <c r="CO597" s="1497"/>
      <c r="CP597" s="1497"/>
      <c r="CQ597" s="1497"/>
      <c r="CR597" s="6"/>
      <c r="CS597" s="1507">
        <f t="shared" ref="CS597:CS631" si="11">IF(AND(B718="SRO/Studio",AC718&lt;=0.3),G718,0)</f>
        <v>0</v>
      </c>
      <c r="CT597" s="1507"/>
      <c r="CU597" s="1507"/>
      <c r="CV597" s="1507"/>
      <c r="CW597" s="1507"/>
      <c r="CX597" s="1507">
        <f t="shared" ref="CX597:CX631" si="12">IF(AND(B718="1 Bedroom",AC718&lt;=0.3),G718,0)</f>
        <v>15</v>
      </c>
      <c r="CY597" s="1507"/>
      <c r="CZ597" s="1507"/>
      <c r="DA597" s="1507"/>
      <c r="DB597" s="1507"/>
      <c r="DC597" s="1507">
        <f t="shared" ref="DC597:DC631" si="13">IF(AND(B718="2 Bedrooms",AC718&lt;=0.3),G718,0)</f>
        <v>0</v>
      </c>
      <c r="DD597" s="1507"/>
      <c r="DE597" s="1507"/>
      <c r="DF597" s="1507"/>
      <c r="DG597" s="1507"/>
      <c r="DH597" s="1507">
        <f t="shared" ref="DH597:DH631" si="14">IF(AND(B718="3 Bedrooms",AC718&lt;=0.3),G718,0)</f>
        <v>0</v>
      </c>
      <c r="DI597" s="1507"/>
      <c r="DJ597" s="1507"/>
      <c r="DK597" s="1507"/>
      <c r="DL597" s="1507"/>
      <c r="DM597" s="1507">
        <f t="shared" ref="DM597:DM631" si="15">IF(AND(B718="4 Bedrooms",AC718&lt;=0.3),G718,0)</f>
        <v>0</v>
      </c>
      <c r="DN597" s="1507"/>
      <c r="DO597" s="1507"/>
      <c r="DP597" s="1507"/>
      <c r="DQ597" s="1507"/>
      <c r="DR597" s="1507">
        <f t="shared" ref="DR597:DR631" si="16">IF(AND(B718="5 Bedrooms",AC718&lt;=0.3),G718,0)</f>
        <v>0</v>
      </c>
      <c r="DS597" s="1507"/>
      <c r="DT597" s="1507"/>
      <c r="DU597" s="1507"/>
      <c r="DV597" s="1507"/>
      <c r="DX597" s="1494" t="str">
        <f t="shared" ref="DX597:DX631" si="17">IF(BN597&gt;0,O718,"")</f>
        <v/>
      </c>
      <c r="DY597" s="1495"/>
      <c r="DZ597" s="1495"/>
      <c r="EA597" s="1495"/>
      <c r="EB597" s="1496"/>
      <c r="EC597" s="1494">
        <f t="shared" ref="EC597:EC631" si="18">IF(BS597&gt;0,O718,"")</f>
        <v>576</v>
      </c>
      <c r="ED597" s="1495"/>
      <c r="EE597" s="1495"/>
      <c r="EF597" s="1495"/>
      <c r="EG597" s="1496"/>
      <c r="EH597" s="1494" t="str">
        <f t="shared" ref="EH597:EH631" si="19">IF(BX597&gt;0,O718,"")</f>
        <v/>
      </c>
      <c r="EI597" s="1495"/>
      <c r="EJ597" s="1495"/>
      <c r="EK597" s="1495"/>
      <c r="EL597" s="1496"/>
      <c r="EM597" s="1494" t="str">
        <f t="shared" ref="EM597:EM631" si="20">IF(CC597&gt;0,O718,"")</f>
        <v/>
      </c>
      <c r="EN597" s="1495"/>
      <c r="EO597" s="1495"/>
      <c r="EP597" s="1495"/>
      <c r="EQ597" s="1496"/>
      <c r="ER597" s="1494" t="str">
        <f t="shared" ref="ER597:ER631" si="21">IF(CH597&gt;0,O718,"")</f>
        <v/>
      </c>
      <c r="ES597" s="1495"/>
      <c r="ET597" s="1495"/>
      <c r="EU597" s="1495"/>
      <c r="EV597" s="1496"/>
      <c r="EW597" s="1494" t="str">
        <f t="shared" ref="EW597:EW631" si="22">IF(CM597&gt;0,O718,"")</f>
        <v/>
      </c>
      <c r="EX597" s="1495"/>
      <c r="EY597" s="1495"/>
      <c r="EZ597" s="1495"/>
      <c r="FA597" s="1496"/>
    </row>
    <row r="598" spans="1:157" s="4" customFormat="1" ht="12.95" customHeight="1">
      <c r="A598" s="22"/>
      <c r="B598" t="s">
        <v>18</v>
      </c>
      <c r="C598"/>
      <c r="D598"/>
      <c r="E598"/>
      <c r="F598"/>
      <c r="G598"/>
      <c r="H598" s="1384" t="str">
        <f>M560</f>
        <v>Equity, LIHTC Investor</v>
      </c>
      <c r="I598" s="1384"/>
      <c r="J598" s="1384"/>
      <c r="K598" s="1384"/>
      <c r="L598" s="1384"/>
      <c r="M598" s="1384"/>
      <c r="N598" s="1384"/>
      <c r="O598" s="1384"/>
      <c r="P598" s="1384"/>
      <c r="Q598" s="1384"/>
      <c r="R598" s="1384"/>
      <c r="S598"/>
      <c r="T598" s="22"/>
      <c r="U598" t="s">
        <v>18</v>
      </c>
      <c r="V598"/>
      <c r="W598"/>
      <c r="X598"/>
      <c r="Y598"/>
      <c r="Z598"/>
      <c r="AA598" s="1384" t="str">
        <f>M561</f>
        <v>Developer Fee, Deferral</v>
      </c>
      <c r="AB598" s="1384"/>
      <c r="AC598" s="1384"/>
      <c r="AD598" s="1384"/>
      <c r="AE598" s="1384"/>
      <c r="AF598" s="1384"/>
      <c r="AG598" s="1384"/>
      <c r="AH598" s="1384"/>
      <c r="AI598" s="1384"/>
      <c r="AJ598" s="1384"/>
      <c r="AK598" s="1384"/>
      <c r="AL598"/>
      <c r="AM598"/>
      <c r="AN598"/>
      <c r="AO598"/>
      <c r="AP598"/>
      <c r="AQ598"/>
      <c r="AR598"/>
      <c r="AS598"/>
      <c r="AT598"/>
      <c r="AU598"/>
      <c r="AV598"/>
      <c r="AW598"/>
      <c r="AX598"/>
      <c r="AY598"/>
      <c r="BA598" s="4" t="s">
        <v>163</v>
      </c>
      <c r="BB598" s="3"/>
      <c r="BC598" s="3"/>
      <c r="BD598" s="3"/>
      <c r="BE598" s="1494">
        <f t="shared" si="1"/>
        <v>1</v>
      </c>
      <c r="BF598" s="1496"/>
      <c r="BG598" s="1508">
        <f t="shared" si="2"/>
        <v>15</v>
      </c>
      <c r="BH598" s="1510"/>
      <c r="BI598" s="1494">
        <f t="shared" si="3"/>
        <v>0</v>
      </c>
      <c r="BJ598" s="1496"/>
      <c r="BK598" s="1508">
        <f t="shared" si="4"/>
        <v>0</v>
      </c>
      <c r="BL598" s="1510"/>
      <c r="BM598" s="3"/>
      <c r="BN598" s="1498">
        <f t="shared" si="5"/>
        <v>0</v>
      </c>
      <c r="BO598" s="1499"/>
      <c r="BP598" s="1499"/>
      <c r="BQ598" s="1499"/>
      <c r="BR598" s="1500"/>
      <c r="BS598" s="1497">
        <f t="shared" si="6"/>
        <v>15</v>
      </c>
      <c r="BT598" s="1497"/>
      <c r="BU598" s="1497"/>
      <c r="BV598" s="1497"/>
      <c r="BW598" s="1497"/>
      <c r="BX598" s="1497">
        <f t="shared" si="7"/>
        <v>0</v>
      </c>
      <c r="BY598" s="1497"/>
      <c r="BZ598" s="1497"/>
      <c r="CA598" s="1497"/>
      <c r="CB598" s="1497"/>
      <c r="CC598" s="1497">
        <f t="shared" si="8"/>
        <v>0</v>
      </c>
      <c r="CD598" s="1497"/>
      <c r="CE598" s="1497"/>
      <c r="CF598" s="1497"/>
      <c r="CG598" s="1497"/>
      <c r="CH598" s="1497">
        <f t="shared" si="9"/>
        <v>0</v>
      </c>
      <c r="CI598" s="1497"/>
      <c r="CJ598" s="1497"/>
      <c r="CK598" s="1497"/>
      <c r="CL598" s="1497"/>
      <c r="CM598" s="1497">
        <f t="shared" si="10"/>
        <v>0</v>
      </c>
      <c r="CN598" s="1497"/>
      <c r="CO598" s="1497"/>
      <c r="CP598" s="1497"/>
      <c r="CQ598" s="1497"/>
      <c r="CR598" s="6"/>
      <c r="CS598" s="1507">
        <f t="shared" si="11"/>
        <v>0</v>
      </c>
      <c r="CT598" s="1507"/>
      <c r="CU598" s="1507"/>
      <c r="CV598" s="1507"/>
      <c r="CW598" s="1507"/>
      <c r="CX598" s="1507">
        <f t="shared" si="12"/>
        <v>0</v>
      </c>
      <c r="CY598" s="1507"/>
      <c r="CZ598" s="1507"/>
      <c r="DA598" s="1507"/>
      <c r="DB598" s="1507"/>
      <c r="DC598" s="1507">
        <f t="shared" si="13"/>
        <v>0</v>
      </c>
      <c r="DD598" s="1507"/>
      <c r="DE598" s="1507"/>
      <c r="DF598" s="1507"/>
      <c r="DG598" s="1507"/>
      <c r="DH598" s="1507">
        <f t="shared" si="14"/>
        <v>0</v>
      </c>
      <c r="DI598" s="1507"/>
      <c r="DJ598" s="1507"/>
      <c r="DK598" s="1507"/>
      <c r="DL598" s="1507"/>
      <c r="DM598" s="1507">
        <f t="shared" si="15"/>
        <v>0</v>
      </c>
      <c r="DN598" s="1507"/>
      <c r="DO598" s="1507"/>
      <c r="DP598" s="1507"/>
      <c r="DQ598" s="1507"/>
      <c r="DR598" s="1507">
        <f t="shared" si="16"/>
        <v>0</v>
      </c>
      <c r="DS598" s="1507"/>
      <c r="DT598" s="1507"/>
      <c r="DU598" s="1507"/>
      <c r="DV598" s="1507"/>
      <c r="DX598" s="1494" t="str">
        <f t="shared" si="17"/>
        <v/>
      </c>
      <c r="DY598" s="1495"/>
      <c r="DZ598" s="1495"/>
      <c r="EA598" s="1495"/>
      <c r="EB598" s="1496"/>
      <c r="EC598" s="1494">
        <f t="shared" si="18"/>
        <v>960</v>
      </c>
      <c r="ED598" s="1495"/>
      <c r="EE598" s="1495"/>
      <c r="EF598" s="1495"/>
      <c r="EG598" s="1496"/>
      <c r="EH598" s="1494" t="str">
        <f t="shared" si="19"/>
        <v/>
      </c>
      <c r="EI598" s="1495"/>
      <c r="EJ598" s="1495"/>
      <c r="EK598" s="1495"/>
      <c r="EL598" s="1496"/>
      <c r="EM598" s="1494" t="str">
        <f t="shared" si="20"/>
        <v/>
      </c>
      <c r="EN598" s="1495"/>
      <c r="EO598" s="1495"/>
      <c r="EP598" s="1495"/>
      <c r="EQ598" s="1496"/>
      <c r="ER598" s="1494" t="str">
        <f t="shared" si="21"/>
        <v/>
      </c>
      <c r="ES598" s="1495"/>
      <c r="ET598" s="1495"/>
      <c r="EU598" s="1495"/>
      <c r="EV598" s="1496"/>
      <c r="EW598" s="1494" t="str">
        <f t="shared" si="22"/>
        <v/>
      </c>
      <c r="EX598" s="1495"/>
      <c r="EY598" s="1495"/>
      <c r="EZ598" s="1495"/>
      <c r="FA598" s="1496"/>
    </row>
    <row r="599" spans="1:157" ht="12.95" customHeight="1">
      <c r="A599" s="22"/>
      <c r="B599" t="s">
        <v>20</v>
      </c>
      <c r="N599" s="1383" t="s">
        <v>553</v>
      </c>
      <c r="O599" s="1383"/>
      <c r="T599" s="22"/>
      <c r="U599" t="s">
        <v>20</v>
      </c>
      <c r="AG599" s="1383" t="s">
        <v>553</v>
      </c>
      <c r="AH599" s="1383"/>
      <c r="BA599" s="4" t="s">
        <v>164</v>
      </c>
      <c r="BB599" s="3"/>
      <c r="BC599" s="3"/>
      <c r="BD599" s="3"/>
      <c r="BE599" s="1494">
        <f t="shared" si="1"/>
        <v>0</v>
      </c>
      <c r="BF599" s="1496"/>
      <c r="BG599" s="1508">
        <f t="shared" si="2"/>
        <v>0</v>
      </c>
      <c r="BH599" s="1510"/>
      <c r="BI599" s="1494">
        <f t="shared" si="3"/>
        <v>0</v>
      </c>
      <c r="BJ599" s="1496"/>
      <c r="BK599" s="1508">
        <f t="shared" si="4"/>
        <v>0</v>
      </c>
      <c r="BL599" s="1510"/>
      <c r="BM599" s="3"/>
      <c r="BN599" s="1498">
        <f t="shared" si="5"/>
        <v>0</v>
      </c>
      <c r="BO599" s="1499"/>
      <c r="BP599" s="1499"/>
      <c r="BQ599" s="1499"/>
      <c r="BR599" s="1500"/>
      <c r="BS599" s="1497">
        <f t="shared" si="6"/>
        <v>118</v>
      </c>
      <c r="BT599" s="1497"/>
      <c r="BU599" s="1497"/>
      <c r="BV599" s="1497"/>
      <c r="BW599" s="1497"/>
      <c r="BX599" s="1497">
        <f t="shared" si="7"/>
        <v>0</v>
      </c>
      <c r="BY599" s="1497"/>
      <c r="BZ599" s="1497"/>
      <c r="CA599" s="1497"/>
      <c r="CB599" s="1497"/>
      <c r="CC599" s="1497">
        <f t="shared" si="8"/>
        <v>0</v>
      </c>
      <c r="CD599" s="1497"/>
      <c r="CE599" s="1497"/>
      <c r="CF599" s="1497"/>
      <c r="CG599" s="1497"/>
      <c r="CH599" s="1497">
        <f t="shared" si="9"/>
        <v>0</v>
      </c>
      <c r="CI599" s="1497"/>
      <c r="CJ599" s="1497"/>
      <c r="CK599" s="1497"/>
      <c r="CL599" s="1497"/>
      <c r="CM599" s="1497">
        <f t="shared" si="10"/>
        <v>0</v>
      </c>
      <c r="CN599" s="1497"/>
      <c r="CO599" s="1497"/>
      <c r="CP599" s="1497"/>
      <c r="CQ599" s="1497"/>
      <c r="CR599" s="6"/>
      <c r="CS599" s="1507">
        <f t="shared" si="11"/>
        <v>0</v>
      </c>
      <c r="CT599" s="1507"/>
      <c r="CU599" s="1507"/>
      <c r="CV599" s="1507"/>
      <c r="CW599" s="1507"/>
      <c r="CX599" s="1507">
        <f t="shared" si="12"/>
        <v>0</v>
      </c>
      <c r="CY599" s="1507"/>
      <c r="CZ599" s="1507"/>
      <c r="DA599" s="1507"/>
      <c r="DB599" s="1507"/>
      <c r="DC599" s="1507">
        <f t="shared" si="13"/>
        <v>0</v>
      </c>
      <c r="DD599" s="1507"/>
      <c r="DE599" s="1507"/>
      <c r="DF599" s="1507"/>
      <c r="DG599" s="1507"/>
      <c r="DH599" s="1507">
        <f t="shared" si="14"/>
        <v>0</v>
      </c>
      <c r="DI599" s="1507"/>
      <c r="DJ599" s="1507"/>
      <c r="DK599" s="1507"/>
      <c r="DL599" s="1507"/>
      <c r="DM599" s="1507">
        <f t="shared" si="15"/>
        <v>0</v>
      </c>
      <c r="DN599" s="1507"/>
      <c r="DO599" s="1507"/>
      <c r="DP599" s="1507"/>
      <c r="DQ599" s="1507"/>
      <c r="DR599" s="1507">
        <f t="shared" si="16"/>
        <v>0</v>
      </c>
      <c r="DS599" s="1507"/>
      <c r="DT599" s="1507"/>
      <c r="DU599" s="1507"/>
      <c r="DV599" s="1507"/>
      <c r="DX599" s="1494" t="str">
        <f t="shared" si="17"/>
        <v/>
      </c>
      <c r="DY599" s="1495"/>
      <c r="DZ599" s="1495"/>
      <c r="EA599" s="1495"/>
      <c r="EB599" s="1496"/>
      <c r="EC599" s="1494">
        <f t="shared" si="18"/>
        <v>1153</v>
      </c>
      <c r="ED599" s="1495"/>
      <c r="EE599" s="1495"/>
      <c r="EF599" s="1495"/>
      <c r="EG599" s="1496"/>
      <c r="EH599" s="1494" t="str">
        <f t="shared" si="19"/>
        <v/>
      </c>
      <c r="EI599" s="1495"/>
      <c r="EJ599" s="1495"/>
      <c r="EK599" s="1495"/>
      <c r="EL599" s="1496"/>
      <c r="EM599" s="1494" t="str">
        <f t="shared" si="20"/>
        <v/>
      </c>
      <c r="EN599" s="1495"/>
      <c r="EO599" s="1495"/>
      <c r="EP599" s="1495"/>
      <c r="EQ599" s="1496"/>
      <c r="ER599" s="1494" t="str">
        <f t="shared" si="21"/>
        <v/>
      </c>
      <c r="ES599" s="1495"/>
      <c r="ET599" s="1495"/>
      <c r="EU599" s="1495"/>
      <c r="EV599" s="1496"/>
      <c r="EW599" s="1494" t="str">
        <f t="shared" si="22"/>
        <v/>
      </c>
      <c r="EX599" s="1495"/>
      <c r="EY599" s="1495"/>
      <c r="EZ599" s="1495"/>
      <c r="FA599" s="1496"/>
    </row>
    <row r="600" spans="1:157" ht="12.95" customHeight="1">
      <c r="A600" s="22"/>
      <c r="T600" s="22"/>
      <c r="BA600" s="4" t="s">
        <v>165</v>
      </c>
      <c r="BB600" s="3"/>
      <c r="BC600" s="3"/>
      <c r="BD600" s="3"/>
      <c r="BE600" s="1494">
        <f t="shared" si="1"/>
        <v>0</v>
      </c>
      <c r="BF600" s="1496"/>
      <c r="BG600" s="1508">
        <f t="shared" si="2"/>
        <v>0</v>
      </c>
      <c r="BH600" s="1510"/>
      <c r="BI600" s="1494">
        <f t="shared" si="3"/>
        <v>1</v>
      </c>
      <c r="BJ600" s="1496"/>
      <c r="BK600" s="1508">
        <f t="shared" si="4"/>
        <v>4</v>
      </c>
      <c r="BL600" s="1510"/>
      <c r="BM600" s="3"/>
      <c r="BN600" s="1498">
        <f t="shared" si="5"/>
        <v>0</v>
      </c>
      <c r="BO600" s="1499"/>
      <c r="BP600" s="1499"/>
      <c r="BQ600" s="1499"/>
      <c r="BR600" s="1500"/>
      <c r="BS600" s="1497">
        <f t="shared" si="6"/>
        <v>0</v>
      </c>
      <c r="BT600" s="1497"/>
      <c r="BU600" s="1497"/>
      <c r="BV600" s="1497"/>
      <c r="BW600" s="1497"/>
      <c r="BX600" s="1497">
        <f t="shared" si="7"/>
        <v>4</v>
      </c>
      <c r="BY600" s="1497"/>
      <c r="BZ600" s="1497"/>
      <c r="CA600" s="1497"/>
      <c r="CB600" s="1497"/>
      <c r="CC600" s="1497">
        <f t="shared" si="8"/>
        <v>0</v>
      </c>
      <c r="CD600" s="1497"/>
      <c r="CE600" s="1497"/>
      <c r="CF600" s="1497"/>
      <c r="CG600" s="1497"/>
      <c r="CH600" s="1497">
        <f t="shared" si="9"/>
        <v>0</v>
      </c>
      <c r="CI600" s="1497"/>
      <c r="CJ600" s="1497"/>
      <c r="CK600" s="1497"/>
      <c r="CL600" s="1497"/>
      <c r="CM600" s="1497">
        <f t="shared" si="10"/>
        <v>0</v>
      </c>
      <c r="CN600" s="1497"/>
      <c r="CO600" s="1497"/>
      <c r="CP600" s="1497"/>
      <c r="CQ600" s="1497"/>
      <c r="CR600" s="6"/>
      <c r="CS600" s="1507">
        <f t="shared" si="11"/>
        <v>0</v>
      </c>
      <c r="CT600" s="1507"/>
      <c r="CU600" s="1507"/>
      <c r="CV600" s="1507"/>
      <c r="CW600" s="1507"/>
      <c r="CX600" s="1507">
        <f t="shared" si="12"/>
        <v>0</v>
      </c>
      <c r="CY600" s="1507"/>
      <c r="CZ600" s="1507"/>
      <c r="DA600" s="1507"/>
      <c r="DB600" s="1507"/>
      <c r="DC600" s="1507">
        <f t="shared" si="13"/>
        <v>4</v>
      </c>
      <c r="DD600" s="1507"/>
      <c r="DE600" s="1507"/>
      <c r="DF600" s="1507"/>
      <c r="DG600" s="1507"/>
      <c r="DH600" s="1507">
        <f t="shared" si="14"/>
        <v>0</v>
      </c>
      <c r="DI600" s="1507"/>
      <c r="DJ600" s="1507"/>
      <c r="DK600" s="1507"/>
      <c r="DL600" s="1507"/>
      <c r="DM600" s="1507">
        <f t="shared" si="15"/>
        <v>0</v>
      </c>
      <c r="DN600" s="1507"/>
      <c r="DO600" s="1507"/>
      <c r="DP600" s="1507"/>
      <c r="DQ600" s="1507"/>
      <c r="DR600" s="1507">
        <f t="shared" si="16"/>
        <v>0</v>
      </c>
      <c r="DS600" s="1507"/>
      <c r="DT600" s="1507"/>
      <c r="DU600" s="1507"/>
      <c r="DV600" s="1507"/>
      <c r="DX600" s="1494" t="str">
        <f t="shared" si="17"/>
        <v/>
      </c>
      <c r="DY600" s="1495"/>
      <c r="DZ600" s="1495"/>
      <c r="EA600" s="1495"/>
      <c r="EB600" s="1496"/>
      <c r="EC600" s="1494" t="str">
        <f t="shared" si="18"/>
        <v/>
      </c>
      <c r="ED600" s="1495"/>
      <c r="EE600" s="1495"/>
      <c r="EF600" s="1495"/>
      <c r="EG600" s="1496"/>
      <c r="EH600" s="1494">
        <f t="shared" si="19"/>
        <v>691</v>
      </c>
      <c r="EI600" s="1495"/>
      <c r="EJ600" s="1495"/>
      <c r="EK600" s="1495"/>
      <c r="EL600" s="1496"/>
      <c r="EM600" s="1494" t="str">
        <f t="shared" si="20"/>
        <v/>
      </c>
      <c r="EN600" s="1495"/>
      <c r="EO600" s="1495"/>
      <c r="EP600" s="1495"/>
      <c r="EQ600" s="1496"/>
      <c r="ER600" s="1494" t="str">
        <f t="shared" si="21"/>
        <v/>
      </c>
      <c r="ES600" s="1495"/>
      <c r="ET600" s="1495"/>
      <c r="EU600" s="1495"/>
      <c r="EV600" s="1496"/>
      <c r="EW600" s="1494" t="str">
        <f t="shared" si="22"/>
        <v/>
      </c>
      <c r="EX600" s="1495"/>
      <c r="EY600" s="1495"/>
      <c r="EZ600" s="1495"/>
      <c r="FA600" s="1496"/>
    </row>
    <row r="601" spans="1:157" ht="12.95" customHeight="1">
      <c r="A601" s="55" t="s">
        <v>469</v>
      </c>
      <c r="B601" t="s">
        <v>471</v>
      </c>
      <c r="G601" s="1471">
        <f>C562</f>
        <v>0</v>
      </c>
      <c r="H601" s="1471"/>
      <c r="I601" s="1471"/>
      <c r="J601" s="1471"/>
      <c r="K601" s="1471"/>
      <c r="L601" s="1471"/>
      <c r="M601" s="1471"/>
      <c r="N601" s="1471"/>
      <c r="O601" s="1471"/>
      <c r="P601" s="1471"/>
      <c r="Q601" s="1471"/>
      <c r="R601" s="1471"/>
      <c r="T601" s="55" t="s">
        <v>654</v>
      </c>
      <c r="U601" t="s">
        <v>471</v>
      </c>
      <c r="Z601" s="1471">
        <f>C563</f>
        <v>0</v>
      </c>
      <c r="AA601" s="1471"/>
      <c r="AB601" s="1471"/>
      <c r="AC601" s="1471"/>
      <c r="AD601" s="1471"/>
      <c r="AE601" s="1471"/>
      <c r="AF601" s="1471"/>
      <c r="AG601" s="1471"/>
      <c r="AH601" s="1471"/>
      <c r="AI601" s="1471"/>
      <c r="AJ601" s="1471"/>
      <c r="AK601" s="1471"/>
      <c r="BA601" s="4" t="s">
        <v>30</v>
      </c>
      <c r="BB601" s="3"/>
      <c r="BC601" s="3"/>
      <c r="BD601" s="3"/>
      <c r="BE601" s="1494">
        <f t="shared" si="1"/>
        <v>1</v>
      </c>
      <c r="BF601" s="1496"/>
      <c r="BG601" s="1508">
        <f t="shared" si="2"/>
        <v>4</v>
      </c>
      <c r="BH601" s="1510"/>
      <c r="BI601" s="1494">
        <f t="shared" si="3"/>
        <v>0</v>
      </c>
      <c r="BJ601" s="1496"/>
      <c r="BK601" s="1508">
        <f t="shared" si="4"/>
        <v>0</v>
      </c>
      <c r="BL601" s="1510"/>
      <c r="BM601" s="3"/>
      <c r="BN601" s="1498">
        <f t="shared" si="5"/>
        <v>0</v>
      </c>
      <c r="BO601" s="1499"/>
      <c r="BP601" s="1499"/>
      <c r="BQ601" s="1499"/>
      <c r="BR601" s="1500"/>
      <c r="BS601" s="1497">
        <f t="shared" si="6"/>
        <v>0</v>
      </c>
      <c r="BT601" s="1497"/>
      <c r="BU601" s="1497"/>
      <c r="BV601" s="1497"/>
      <c r="BW601" s="1497"/>
      <c r="BX601" s="1497">
        <f t="shared" si="7"/>
        <v>4</v>
      </c>
      <c r="BY601" s="1497"/>
      <c r="BZ601" s="1497"/>
      <c r="CA601" s="1497"/>
      <c r="CB601" s="1497"/>
      <c r="CC601" s="1497">
        <f t="shared" si="8"/>
        <v>0</v>
      </c>
      <c r="CD601" s="1497"/>
      <c r="CE601" s="1497"/>
      <c r="CF601" s="1497"/>
      <c r="CG601" s="1497"/>
      <c r="CH601" s="1497">
        <f t="shared" si="9"/>
        <v>0</v>
      </c>
      <c r="CI601" s="1497"/>
      <c r="CJ601" s="1497"/>
      <c r="CK601" s="1497"/>
      <c r="CL601" s="1497"/>
      <c r="CM601" s="1497">
        <f t="shared" si="10"/>
        <v>0</v>
      </c>
      <c r="CN601" s="1497"/>
      <c r="CO601" s="1497"/>
      <c r="CP601" s="1497"/>
      <c r="CQ601" s="1497"/>
      <c r="CR601" s="6"/>
      <c r="CS601" s="1507">
        <f t="shared" si="11"/>
        <v>0</v>
      </c>
      <c r="CT601" s="1507"/>
      <c r="CU601" s="1507"/>
      <c r="CV601" s="1507"/>
      <c r="CW601" s="1507"/>
      <c r="CX601" s="1507">
        <f t="shared" si="12"/>
        <v>0</v>
      </c>
      <c r="CY601" s="1507"/>
      <c r="CZ601" s="1507"/>
      <c r="DA601" s="1507"/>
      <c r="DB601" s="1507"/>
      <c r="DC601" s="1507">
        <f t="shared" si="13"/>
        <v>0</v>
      </c>
      <c r="DD601" s="1507"/>
      <c r="DE601" s="1507"/>
      <c r="DF601" s="1507"/>
      <c r="DG601" s="1507"/>
      <c r="DH601" s="1507">
        <f t="shared" si="14"/>
        <v>0</v>
      </c>
      <c r="DI601" s="1507"/>
      <c r="DJ601" s="1507"/>
      <c r="DK601" s="1507"/>
      <c r="DL601" s="1507"/>
      <c r="DM601" s="1507">
        <f t="shared" si="15"/>
        <v>0</v>
      </c>
      <c r="DN601" s="1507"/>
      <c r="DO601" s="1507"/>
      <c r="DP601" s="1507"/>
      <c r="DQ601" s="1507"/>
      <c r="DR601" s="1507">
        <f t="shared" si="16"/>
        <v>0</v>
      </c>
      <c r="DS601" s="1507"/>
      <c r="DT601" s="1507"/>
      <c r="DU601" s="1507"/>
      <c r="DV601" s="1507"/>
      <c r="DX601" s="1494" t="str">
        <f t="shared" si="17"/>
        <v/>
      </c>
      <c r="DY601" s="1495"/>
      <c r="DZ601" s="1495"/>
      <c r="EA601" s="1495"/>
      <c r="EB601" s="1496"/>
      <c r="EC601" s="1494" t="str">
        <f t="shared" si="18"/>
        <v/>
      </c>
      <c r="ED601" s="1495"/>
      <c r="EE601" s="1495"/>
      <c r="EF601" s="1495"/>
      <c r="EG601" s="1496"/>
      <c r="EH601" s="1494">
        <f t="shared" si="19"/>
        <v>1152</v>
      </c>
      <c r="EI601" s="1495"/>
      <c r="EJ601" s="1495"/>
      <c r="EK601" s="1495"/>
      <c r="EL601" s="1496"/>
      <c r="EM601" s="1494" t="str">
        <f t="shared" si="20"/>
        <v/>
      </c>
      <c r="EN601" s="1495"/>
      <c r="EO601" s="1495"/>
      <c r="EP601" s="1495"/>
      <c r="EQ601" s="1496"/>
      <c r="ER601" s="1494" t="str">
        <f t="shared" si="21"/>
        <v/>
      </c>
      <c r="ES601" s="1495"/>
      <c r="ET601" s="1495"/>
      <c r="EU601" s="1495"/>
      <c r="EV601" s="1496"/>
      <c r="EW601" s="1494" t="str">
        <f t="shared" si="22"/>
        <v/>
      </c>
      <c r="EX601" s="1495"/>
      <c r="EY601" s="1495"/>
      <c r="EZ601" s="1495"/>
      <c r="FA601" s="1496"/>
    </row>
    <row r="602" spans="1:157" ht="12.95" customHeight="1">
      <c r="A602" s="22"/>
      <c r="B602" t="s">
        <v>85</v>
      </c>
      <c r="G602" s="1384"/>
      <c r="H602" s="1384"/>
      <c r="I602" s="1384"/>
      <c r="J602" s="1384"/>
      <c r="K602" s="1384"/>
      <c r="L602" s="1384"/>
      <c r="M602" s="1384"/>
      <c r="N602" s="1384"/>
      <c r="O602" s="1384"/>
      <c r="P602" s="1384"/>
      <c r="Q602" s="1384"/>
      <c r="R602" s="1384"/>
      <c r="T602" s="22"/>
      <c r="U602" t="s">
        <v>85</v>
      </c>
      <c r="Z602" s="1384"/>
      <c r="AA602" s="1384"/>
      <c r="AB602" s="1384"/>
      <c r="AC602" s="1384"/>
      <c r="AD602" s="1384"/>
      <c r="AE602" s="1384"/>
      <c r="AF602" s="1384"/>
      <c r="AG602" s="1384"/>
      <c r="AH602" s="1384"/>
      <c r="AI602" s="1384"/>
      <c r="AJ602" s="1384"/>
      <c r="AK602" s="1384"/>
      <c r="AZ602" s="3"/>
      <c r="BA602" s="3"/>
      <c r="BB602" s="3"/>
      <c r="BC602" s="3"/>
      <c r="BD602" s="3"/>
      <c r="BE602" s="1494">
        <f t="shared" si="1"/>
        <v>0</v>
      </c>
      <c r="BF602" s="1496"/>
      <c r="BG602" s="1508">
        <f t="shared" si="2"/>
        <v>0</v>
      </c>
      <c r="BH602" s="1510"/>
      <c r="BI602" s="1494">
        <f t="shared" si="3"/>
        <v>0</v>
      </c>
      <c r="BJ602" s="1496"/>
      <c r="BK602" s="1508">
        <f t="shared" si="4"/>
        <v>0</v>
      </c>
      <c r="BL602" s="1510"/>
      <c r="BM602" s="3"/>
      <c r="BN602" s="1498">
        <f t="shared" si="5"/>
        <v>0</v>
      </c>
      <c r="BO602" s="1499"/>
      <c r="BP602" s="1499"/>
      <c r="BQ602" s="1499"/>
      <c r="BR602" s="1500"/>
      <c r="BS602" s="1497">
        <f t="shared" si="6"/>
        <v>0</v>
      </c>
      <c r="BT602" s="1497"/>
      <c r="BU602" s="1497"/>
      <c r="BV602" s="1497"/>
      <c r="BW602" s="1497"/>
      <c r="BX602" s="1497">
        <f t="shared" si="7"/>
        <v>32</v>
      </c>
      <c r="BY602" s="1497"/>
      <c r="BZ602" s="1497"/>
      <c r="CA602" s="1497"/>
      <c r="CB602" s="1497"/>
      <c r="CC602" s="1497">
        <f t="shared" si="8"/>
        <v>0</v>
      </c>
      <c r="CD602" s="1497"/>
      <c r="CE602" s="1497"/>
      <c r="CF602" s="1497"/>
      <c r="CG602" s="1497"/>
      <c r="CH602" s="1497">
        <f t="shared" si="9"/>
        <v>0</v>
      </c>
      <c r="CI602" s="1497"/>
      <c r="CJ602" s="1497"/>
      <c r="CK602" s="1497"/>
      <c r="CL602" s="1497"/>
      <c r="CM602" s="1497">
        <f t="shared" si="10"/>
        <v>0</v>
      </c>
      <c r="CN602" s="1497"/>
      <c r="CO602" s="1497"/>
      <c r="CP602" s="1497"/>
      <c r="CQ602" s="1497"/>
      <c r="CR602" s="6"/>
      <c r="CS602" s="1507">
        <f t="shared" si="11"/>
        <v>0</v>
      </c>
      <c r="CT602" s="1507"/>
      <c r="CU602" s="1507"/>
      <c r="CV602" s="1507"/>
      <c r="CW602" s="1507"/>
      <c r="CX602" s="1507">
        <f t="shared" si="12"/>
        <v>0</v>
      </c>
      <c r="CY602" s="1507"/>
      <c r="CZ602" s="1507"/>
      <c r="DA602" s="1507"/>
      <c r="DB602" s="1507"/>
      <c r="DC602" s="1507">
        <f t="shared" si="13"/>
        <v>0</v>
      </c>
      <c r="DD602" s="1507"/>
      <c r="DE602" s="1507"/>
      <c r="DF602" s="1507"/>
      <c r="DG602" s="1507"/>
      <c r="DH602" s="1507">
        <f t="shared" si="14"/>
        <v>0</v>
      </c>
      <c r="DI602" s="1507"/>
      <c r="DJ602" s="1507"/>
      <c r="DK602" s="1507"/>
      <c r="DL602" s="1507"/>
      <c r="DM602" s="1507">
        <f t="shared" si="15"/>
        <v>0</v>
      </c>
      <c r="DN602" s="1507"/>
      <c r="DO602" s="1507"/>
      <c r="DP602" s="1507"/>
      <c r="DQ602" s="1507"/>
      <c r="DR602" s="1507">
        <f t="shared" si="16"/>
        <v>0</v>
      </c>
      <c r="DS602" s="1507"/>
      <c r="DT602" s="1507"/>
      <c r="DU602" s="1507"/>
      <c r="DV602" s="1507"/>
      <c r="DX602" s="1494" t="str">
        <f t="shared" si="17"/>
        <v/>
      </c>
      <c r="DY602" s="1495"/>
      <c r="DZ602" s="1495"/>
      <c r="EA602" s="1495"/>
      <c r="EB602" s="1496"/>
      <c r="EC602" s="1494" t="str">
        <f t="shared" si="18"/>
        <v/>
      </c>
      <c r="ED602" s="1495"/>
      <c r="EE602" s="1495"/>
      <c r="EF602" s="1495"/>
      <c r="EG602" s="1496"/>
      <c r="EH602" s="1494">
        <f t="shared" si="19"/>
        <v>1383</v>
      </c>
      <c r="EI602" s="1495"/>
      <c r="EJ602" s="1495"/>
      <c r="EK602" s="1495"/>
      <c r="EL602" s="1496"/>
      <c r="EM602" s="1494" t="str">
        <f t="shared" si="20"/>
        <v/>
      </c>
      <c r="EN602" s="1495"/>
      <c r="EO602" s="1495"/>
      <c r="EP602" s="1495"/>
      <c r="EQ602" s="1496"/>
      <c r="ER602" s="1494" t="str">
        <f t="shared" si="21"/>
        <v/>
      </c>
      <c r="ES602" s="1495"/>
      <c r="ET602" s="1495"/>
      <c r="EU602" s="1495"/>
      <c r="EV602" s="1496"/>
      <c r="EW602" s="1494" t="str">
        <f t="shared" si="22"/>
        <v/>
      </c>
      <c r="EX602" s="1495"/>
      <c r="EY602" s="1495"/>
      <c r="EZ602" s="1495"/>
      <c r="FA602" s="1496"/>
    </row>
    <row r="603" spans="1:157" ht="12.95" customHeight="1">
      <c r="A603" s="22"/>
      <c r="B603" t="s">
        <v>588</v>
      </c>
      <c r="G603" s="1384"/>
      <c r="H603" s="1384"/>
      <c r="I603" s="1384"/>
      <c r="J603" s="1384"/>
      <c r="K603" s="1384"/>
      <c r="L603" s="1384"/>
      <c r="M603" s="1384"/>
      <c r="N603" s="1384"/>
      <c r="O603" s="1384"/>
      <c r="P603" s="1384"/>
      <c r="Q603" s="1384"/>
      <c r="R603" s="1384"/>
      <c r="T603" s="22"/>
      <c r="U603" t="s">
        <v>588</v>
      </c>
      <c r="Z603" s="1441"/>
      <c r="AA603" s="1441"/>
      <c r="AB603" s="1441"/>
      <c r="AC603" s="1441"/>
      <c r="AD603" s="1441"/>
      <c r="AE603" s="1441"/>
      <c r="AF603" s="1441"/>
      <c r="AG603" s="1441"/>
      <c r="AH603" s="1441"/>
      <c r="AI603" s="1441"/>
      <c r="AJ603" s="1441"/>
      <c r="AK603" s="1441"/>
      <c r="AZ603" s="3"/>
      <c r="BA603" s="3"/>
      <c r="BB603" s="3"/>
      <c r="BC603" s="3"/>
      <c r="BD603" s="3"/>
      <c r="BE603" s="1494">
        <f t="shared" si="1"/>
        <v>0</v>
      </c>
      <c r="BF603" s="1496"/>
      <c r="BG603" s="1508">
        <f t="shared" si="2"/>
        <v>0</v>
      </c>
      <c r="BH603" s="1510"/>
      <c r="BI603" s="1494">
        <f t="shared" si="3"/>
        <v>1</v>
      </c>
      <c r="BJ603" s="1496"/>
      <c r="BK603" s="1508">
        <f t="shared" si="4"/>
        <v>1</v>
      </c>
      <c r="BL603" s="1510"/>
      <c r="BM603" s="3"/>
      <c r="BN603" s="1498">
        <f t="shared" si="5"/>
        <v>0</v>
      </c>
      <c r="BO603" s="1499"/>
      <c r="BP603" s="1499"/>
      <c r="BQ603" s="1499"/>
      <c r="BR603" s="1500"/>
      <c r="BS603" s="1497">
        <f t="shared" si="6"/>
        <v>0</v>
      </c>
      <c r="BT603" s="1497"/>
      <c r="BU603" s="1497"/>
      <c r="BV603" s="1497"/>
      <c r="BW603" s="1497"/>
      <c r="BX603" s="1497">
        <f t="shared" si="7"/>
        <v>1</v>
      </c>
      <c r="BY603" s="1497"/>
      <c r="BZ603" s="1497"/>
      <c r="CA603" s="1497"/>
      <c r="CB603" s="1497"/>
      <c r="CC603" s="1497">
        <f t="shared" si="8"/>
        <v>0</v>
      </c>
      <c r="CD603" s="1497"/>
      <c r="CE603" s="1497"/>
      <c r="CF603" s="1497"/>
      <c r="CG603" s="1497"/>
      <c r="CH603" s="1497">
        <f t="shared" si="9"/>
        <v>0</v>
      </c>
      <c r="CI603" s="1497"/>
      <c r="CJ603" s="1497"/>
      <c r="CK603" s="1497"/>
      <c r="CL603" s="1497"/>
      <c r="CM603" s="1497">
        <f t="shared" si="10"/>
        <v>0</v>
      </c>
      <c r="CN603" s="1497"/>
      <c r="CO603" s="1497"/>
      <c r="CP603" s="1497"/>
      <c r="CQ603" s="1497"/>
      <c r="CR603" s="6"/>
      <c r="CS603" s="1507">
        <f t="shared" si="11"/>
        <v>0</v>
      </c>
      <c r="CT603" s="1507"/>
      <c r="CU603" s="1507"/>
      <c r="CV603" s="1507"/>
      <c r="CW603" s="1507"/>
      <c r="CX603" s="1507">
        <f t="shared" si="12"/>
        <v>0</v>
      </c>
      <c r="CY603" s="1507"/>
      <c r="CZ603" s="1507"/>
      <c r="DA603" s="1507"/>
      <c r="DB603" s="1507"/>
      <c r="DC603" s="1507">
        <f t="shared" si="13"/>
        <v>1</v>
      </c>
      <c r="DD603" s="1507"/>
      <c r="DE603" s="1507"/>
      <c r="DF603" s="1507"/>
      <c r="DG603" s="1507"/>
      <c r="DH603" s="1507">
        <f t="shared" si="14"/>
        <v>0</v>
      </c>
      <c r="DI603" s="1507"/>
      <c r="DJ603" s="1507"/>
      <c r="DK603" s="1507"/>
      <c r="DL603" s="1507"/>
      <c r="DM603" s="1507">
        <f t="shared" si="15"/>
        <v>0</v>
      </c>
      <c r="DN603" s="1507"/>
      <c r="DO603" s="1507"/>
      <c r="DP603" s="1507"/>
      <c r="DQ603" s="1507"/>
      <c r="DR603" s="1507">
        <f t="shared" si="16"/>
        <v>0</v>
      </c>
      <c r="DS603" s="1507"/>
      <c r="DT603" s="1507"/>
      <c r="DU603" s="1507"/>
      <c r="DV603" s="1507"/>
      <c r="DX603" s="1494" t="str">
        <f t="shared" si="17"/>
        <v/>
      </c>
      <c r="DY603" s="1495"/>
      <c r="DZ603" s="1495"/>
      <c r="EA603" s="1495"/>
      <c r="EB603" s="1496"/>
      <c r="EC603" s="1494" t="str">
        <f t="shared" si="18"/>
        <v/>
      </c>
      <c r="ED603" s="1495"/>
      <c r="EE603" s="1495"/>
      <c r="EF603" s="1495"/>
      <c r="EG603" s="1496"/>
      <c r="EH603" s="1494">
        <f t="shared" si="19"/>
        <v>691</v>
      </c>
      <c r="EI603" s="1495"/>
      <c r="EJ603" s="1495"/>
      <c r="EK603" s="1495"/>
      <c r="EL603" s="1496"/>
      <c r="EM603" s="1494" t="str">
        <f t="shared" si="20"/>
        <v/>
      </c>
      <c r="EN603" s="1495"/>
      <c r="EO603" s="1495"/>
      <c r="EP603" s="1495"/>
      <c r="EQ603" s="1496"/>
      <c r="ER603" s="1494" t="str">
        <f t="shared" si="21"/>
        <v/>
      </c>
      <c r="ES603" s="1495"/>
      <c r="ET603" s="1495"/>
      <c r="EU603" s="1495"/>
      <c r="EV603" s="1496"/>
      <c r="EW603" s="1494" t="str">
        <f t="shared" si="22"/>
        <v/>
      </c>
      <c r="EX603" s="1495"/>
      <c r="EY603" s="1495"/>
      <c r="EZ603" s="1495"/>
      <c r="FA603" s="1496"/>
    </row>
    <row r="604" spans="1:157" ht="12.95" customHeight="1">
      <c r="A604" s="22"/>
      <c r="B604" t="s">
        <v>17</v>
      </c>
      <c r="G604" s="1384"/>
      <c r="H604" s="1384"/>
      <c r="I604" s="1384"/>
      <c r="J604" s="1384"/>
      <c r="K604" s="1384"/>
      <c r="L604" s="1384"/>
      <c r="M604" s="1384"/>
      <c r="N604" s="1384"/>
      <c r="O604" s="1384"/>
      <c r="P604" s="1384"/>
      <c r="Q604" s="1384"/>
      <c r="R604" s="1384"/>
      <c r="T604" s="22"/>
      <c r="U604" t="s">
        <v>17</v>
      </c>
      <c r="Z604" s="1441"/>
      <c r="AA604" s="1441"/>
      <c r="AB604" s="1441"/>
      <c r="AC604" s="1441"/>
      <c r="AD604" s="1441"/>
      <c r="AE604" s="1441"/>
      <c r="AF604" s="1441"/>
      <c r="AG604" s="1441"/>
      <c r="AH604" s="1441"/>
      <c r="AI604" s="1441"/>
      <c r="AJ604" s="1441"/>
      <c r="AK604" s="1441"/>
      <c r="AZ604" s="3"/>
      <c r="BA604" s="3"/>
      <c r="BB604" s="3"/>
      <c r="BC604" s="3"/>
      <c r="BD604" s="3"/>
      <c r="BE604" s="1494">
        <f t="shared" si="1"/>
        <v>1</v>
      </c>
      <c r="BF604" s="1496"/>
      <c r="BG604" s="1508">
        <f t="shared" si="2"/>
        <v>1</v>
      </c>
      <c r="BH604" s="1510"/>
      <c r="BI604" s="1494">
        <f t="shared" si="3"/>
        <v>0</v>
      </c>
      <c r="BJ604" s="1496"/>
      <c r="BK604" s="1508">
        <f t="shared" si="4"/>
        <v>0</v>
      </c>
      <c r="BL604" s="1510"/>
      <c r="BM604" s="3"/>
      <c r="BN604" s="1498">
        <f t="shared" si="5"/>
        <v>0</v>
      </c>
      <c r="BO604" s="1499"/>
      <c r="BP604" s="1499"/>
      <c r="BQ604" s="1499"/>
      <c r="BR604" s="1500"/>
      <c r="BS604" s="1497">
        <f t="shared" si="6"/>
        <v>0</v>
      </c>
      <c r="BT604" s="1497"/>
      <c r="BU604" s="1497"/>
      <c r="BV604" s="1497"/>
      <c r="BW604" s="1497"/>
      <c r="BX604" s="1497">
        <f t="shared" si="7"/>
        <v>1</v>
      </c>
      <c r="BY604" s="1497"/>
      <c r="BZ604" s="1497"/>
      <c r="CA604" s="1497"/>
      <c r="CB604" s="1497"/>
      <c r="CC604" s="1497">
        <f t="shared" si="8"/>
        <v>0</v>
      </c>
      <c r="CD604" s="1497"/>
      <c r="CE604" s="1497"/>
      <c r="CF604" s="1497"/>
      <c r="CG604" s="1497"/>
      <c r="CH604" s="1497">
        <f t="shared" si="9"/>
        <v>0</v>
      </c>
      <c r="CI604" s="1497"/>
      <c r="CJ604" s="1497"/>
      <c r="CK604" s="1497"/>
      <c r="CL604" s="1497"/>
      <c r="CM604" s="1497">
        <f t="shared" si="10"/>
        <v>0</v>
      </c>
      <c r="CN604" s="1497"/>
      <c r="CO604" s="1497"/>
      <c r="CP604" s="1497"/>
      <c r="CQ604" s="1497"/>
      <c r="CR604" s="6"/>
      <c r="CS604" s="1507">
        <f t="shared" si="11"/>
        <v>0</v>
      </c>
      <c r="CT604" s="1507"/>
      <c r="CU604" s="1507"/>
      <c r="CV604" s="1507"/>
      <c r="CW604" s="1507"/>
      <c r="CX604" s="1507">
        <f t="shared" si="12"/>
        <v>0</v>
      </c>
      <c r="CY604" s="1507"/>
      <c r="CZ604" s="1507"/>
      <c r="DA604" s="1507"/>
      <c r="DB604" s="1507"/>
      <c r="DC604" s="1507">
        <f t="shared" si="13"/>
        <v>0</v>
      </c>
      <c r="DD604" s="1507"/>
      <c r="DE604" s="1507"/>
      <c r="DF604" s="1507"/>
      <c r="DG604" s="1507"/>
      <c r="DH604" s="1507">
        <f t="shared" si="14"/>
        <v>0</v>
      </c>
      <c r="DI604" s="1507"/>
      <c r="DJ604" s="1507"/>
      <c r="DK604" s="1507"/>
      <c r="DL604" s="1507"/>
      <c r="DM604" s="1507">
        <f t="shared" si="15"/>
        <v>0</v>
      </c>
      <c r="DN604" s="1507"/>
      <c r="DO604" s="1507"/>
      <c r="DP604" s="1507"/>
      <c r="DQ604" s="1507"/>
      <c r="DR604" s="1507">
        <f t="shared" si="16"/>
        <v>0</v>
      </c>
      <c r="DS604" s="1507"/>
      <c r="DT604" s="1507"/>
      <c r="DU604" s="1507"/>
      <c r="DV604" s="1507"/>
      <c r="DX604" s="1494" t="str">
        <f t="shared" si="17"/>
        <v/>
      </c>
      <c r="DY604" s="1495"/>
      <c r="DZ604" s="1495"/>
      <c r="EA604" s="1495"/>
      <c r="EB604" s="1496"/>
      <c r="EC604" s="1494" t="str">
        <f t="shared" si="18"/>
        <v/>
      </c>
      <c r="ED604" s="1495"/>
      <c r="EE604" s="1495"/>
      <c r="EF604" s="1495"/>
      <c r="EG604" s="1496"/>
      <c r="EH604" s="1494">
        <f t="shared" si="19"/>
        <v>1152</v>
      </c>
      <c r="EI604" s="1495"/>
      <c r="EJ604" s="1495"/>
      <c r="EK604" s="1495"/>
      <c r="EL604" s="1496"/>
      <c r="EM604" s="1494" t="str">
        <f t="shared" si="20"/>
        <v/>
      </c>
      <c r="EN604" s="1495"/>
      <c r="EO604" s="1495"/>
      <c r="EP604" s="1495"/>
      <c r="EQ604" s="1496"/>
      <c r="ER604" s="1494" t="str">
        <f t="shared" si="21"/>
        <v/>
      </c>
      <c r="ES604" s="1495"/>
      <c r="ET604" s="1495"/>
      <c r="EU604" s="1495"/>
      <c r="EV604" s="1496"/>
      <c r="EW604" s="1494" t="str">
        <f t="shared" si="22"/>
        <v/>
      </c>
      <c r="EX604" s="1495"/>
      <c r="EY604" s="1495"/>
      <c r="EZ604" s="1495"/>
      <c r="FA604" s="1496"/>
    </row>
    <row r="605" spans="1:157" s="4" customFormat="1" ht="12.95" customHeight="1">
      <c r="A605" s="22"/>
      <c r="B605" t="s">
        <v>317</v>
      </c>
      <c r="C605"/>
      <c r="D605"/>
      <c r="E605"/>
      <c r="F605"/>
      <c r="G605" s="1395"/>
      <c r="H605" s="1395"/>
      <c r="I605" s="1395"/>
      <c r="J605" s="1395"/>
      <c r="K605" s="1395"/>
      <c r="L605" s="1395"/>
      <c r="M605"/>
      <c r="N605"/>
      <c r="O605" s="33" t="s">
        <v>207</v>
      </c>
      <c r="P605" s="1472"/>
      <c r="Q605" s="1472"/>
      <c r="R605" s="1472"/>
      <c r="S605"/>
      <c r="T605" s="22"/>
      <c r="U605" t="s">
        <v>317</v>
      </c>
      <c r="V605"/>
      <c r="W605"/>
      <c r="X605"/>
      <c r="Y605"/>
      <c r="Z605" s="1395"/>
      <c r="AA605" s="1395"/>
      <c r="AB605" s="1395"/>
      <c r="AC605" s="1395"/>
      <c r="AD605" s="1395"/>
      <c r="AE605" s="1395"/>
      <c r="AF605"/>
      <c r="AG605"/>
      <c r="AH605" s="33" t="s">
        <v>207</v>
      </c>
      <c r="AI605" s="1472"/>
      <c r="AJ605" s="1472"/>
      <c r="AK605" s="1472"/>
      <c r="AL605"/>
      <c r="AM605"/>
      <c r="AN605"/>
      <c r="AO605"/>
      <c r="AP605"/>
      <c r="AQ605"/>
      <c r="AR605"/>
      <c r="AS605"/>
      <c r="AT605"/>
      <c r="AU605"/>
      <c r="AV605"/>
      <c r="AW605"/>
      <c r="AX605"/>
      <c r="AY605"/>
      <c r="AZ605" s="3"/>
      <c r="BA605" s="3"/>
      <c r="BB605" s="3"/>
      <c r="BC605" s="3"/>
      <c r="BD605" s="3"/>
      <c r="BE605" s="1494">
        <f t="shared" si="1"/>
        <v>0</v>
      </c>
      <c r="BF605" s="1496"/>
      <c r="BG605" s="1508">
        <f t="shared" si="2"/>
        <v>0</v>
      </c>
      <c r="BH605" s="1510"/>
      <c r="BI605" s="1494">
        <f t="shared" si="3"/>
        <v>0</v>
      </c>
      <c r="BJ605" s="1496"/>
      <c r="BK605" s="1508">
        <f t="shared" si="4"/>
        <v>0</v>
      </c>
      <c r="BL605" s="1510"/>
      <c r="BM605" s="3"/>
      <c r="BN605" s="1498">
        <f t="shared" si="5"/>
        <v>0</v>
      </c>
      <c r="BO605" s="1499"/>
      <c r="BP605" s="1499"/>
      <c r="BQ605" s="1499"/>
      <c r="BR605" s="1500"/>
      <c r="BS605" s="1497">
        <f t="shared" si="6"/>
        <v>0</v>
      </c>
      <c r="BT605" s="1497"/>
      <c r="BU605" s="1497"/>
      <c r="BV605" s="1497"/>
      <c r="BW605" s="1497"/>
      <c r="BX605" s="1497">
        <f t="shared" si="7"/>
        <v>6</v>
      </c>
      <c r="BY605" s="1497"/>
      <c r="BZ605" s="1497"/>
      <c r="CA605" s="1497"/>
      <c r="CB605" s="1497"/>
      <c r="CC605" s="1497">
        <f t="shared" si="8"/>
        <v>0</v>
      </c>
      <c r="CD605" s="1497"/>
      <c r="CE605" s="1497"/>
      <c r="CF605" s="1497"/>
      <c r="CG605" s="1497"/>
      <c r="CH605" s="1497">
        <f t="shared" si="9"/>
        <v>0</v>
      </c>
      <c r="CI605" s="1497"/>
      <c r="CJ605" s="1497"/>
      <c r="CK605" s="1497"/>
      <c r="CL605" s="1497"/>
      <c r="CM605" s="1497">
        <f t="shared" si="10"/>
        <v>0</v>
      </c>
      <c r="CN605" s="1497"/>
      <c r="CO605" s="1497"/>
      <c r="CP605" s="1497"/>
      <c r="CQ605" s="1497"/>
      <c r="CR605" s="6"/>
      <c r="CS605" s="1507">
        <f t="shared" si="11"/>
        <v>0</v>
      </c>
      <c r="CT605" s="1507"/>
      <c r="CU605" s="1507"/>
      <c r="CV605" s="1507"/>
      <c r="CW605" s="1507"/>
      <c r="CX605" s="1507">
        <f t="shared" si="12"/>
        <v>0</v>
      </c>
      <c r="CY605" s="1507"/>
      <c r="CZ605" s="1507"/>
      <c r="DA605" s="1507"/>
      <c r="DB605" s="1507"/>
      <c r="DC605" s="1507">
        <f t="shared" si="13"/>
        <v>0</v>
      </c>
      <c r="DD605" s="1507"/>
      <c r="DE605" s="1507"/>
      <c r="DF605" s="1507"/>
      <c r="DG605" s="1507"/>
      <c r="DH605" s="1507">
        <f t="shared" si="14"/>
        <v>0</v>
      </c>
      <c r="DI605" s="1507"/>
      <c r="DJ605" s="1507"/>
      <c r="DK605" s="1507"/>
      <c r="DL605" s="1507"/>
      <c r="DM605" s="1507">
        <f t="shared" si="15"/>
        <v>0</v>
      </c>
      <c r="DN605" s="1507"/>
      <c r="DO605" s="1507"/>
      <c r="DP605" s="1507"/>
      <c r="DQ605" s="1507"/>
      <c r="DR605" s="1507">
        <f t="shared" si="16"/>
        <v>0</v>
      </c>
      <c r="DS605" s="1507"/>
      <c r="DT605" s="1507"/>
      <c r="DU605" s="1507"/>
      <c r="DV605" s="1507"/>
      <c r="DX605" s="1494" t="str">
        <f t="shared" si="17"/>
        <v/>
      </c>
      <c r="DY605" s="1495"/>
      <c r="DZ605" s="1495"/>
      <c r="EA605" s="1495"/>
      <c r="EB605" s="1496"/>
      <c r="EC605" s="1494" t="str">
        <f t="shared" si="18"/>
        <v/>
      </c>
      <c r="ED605" s="1495"/>
      <c r="EE605" s="1495"/>
      <c r="EF605" s="1495"/>
      <c r="EG605" s="1496"/>
      <c r="EH605" s="1494">
        <f t="shared" si="19"/>
        <v>1383</v>
      </c>
      <c r="EI605" s="1495"/>
      <c r="EJ605" s="1495"/>
      <c r="EK605" s="1495"/>
      <c r="EL605" s="1496"/>
      <c r="EM605" s="1494" t="str">
        <f t="shared" si="20"/>
        <v/>
      </c>
      <c r="EN605" s="1495"/>
      <c r="EO605" s="1495"/>
      <c r="EP605" s="1495"/>
      <c r="EQ605" s="1496"/>
      <c r="ER605" s="1494" t="str">
        <f t="shared" si="21"/>
        <v/>
      </c>
      <c r="ES605" s="1495"/>
      <c r="ET605" s="1495"/>
      <c r="EU605" s="1495"/>
      <c r="EV605" s="1496"/>
      <c r="EW605" s="1494" t="str">
        <f t="shared" si="22"/>
        <v/>
      </c>
      <c r="EX605" s="1495"/>
      <c r="EY605" s="1495"/>
      <c r="EZ605" s="1495"/>
      <c r="FA605" s="1496"/>
    </row>
    <row r="606" spans="1:157" s="4" customFormat="1" ht="12.95" customHeight="1">
      <c r="A606" s="22"/>
      <c r="B606" t="s">
        <v>18</v>
      </c>
      <c r="C606"/>
      <c r="D606"/>
      <c r="E606"/>
      <c r="F606"/>
      <c r="G606"/>
      <c r="H606" s="1384"/>
      <c r="I606" s="1384"/>
      <c r="J606" s="1384"/>
      <c r="K606" s="1384"/>
      <c r="L606" s="1384"/>
      <c r="M606" s="1384"/>
      <c r="N606" s="1384"/>
      <c r="O606" s="1384"/>
      <c r="P606" s="1384"/>
      <c r="Q606" s="1384"/>
      <c r="R606" s="1384"/>
      <c r="S606"/>
      <c r="T606" s="22"/>
      <c r="U606" t="s">
        <v>18</v>
      </c>
      <c r="V606"/>
      <c r="W606"/>
      <c r="X606"/>
      <c r="Y606"/>
      <c r="Z606"/>
      <c r="AA606" s="1384"/>
      <c r="AB606" s="1384"/>
      <c r="AC606" s="1384"/>
      <c r="AD606" s="1384"/>
      <c r="AE606" s="1384"/>
      <c r="AF606" s="1384"/>
      <c r="AG606" s="1384"/>
      <c r="AH606" s="1384"/>
      <c r="AI606" s="1384"/>
      <c r="AJ606" s="1384"/>
      <c r="AK606" s="1384"/>
      <c r="AL606"/>
      <c r="AM606"/>
      <c r="AN606"/>
      <c r="AO606"/>
      <c r="AP606"/>
      <c r="AQ606"/>
      <c r="AR606"/>
      <c r="AS606"/>
      <c r="AT606"/>
      <c r="AU606"/>
      <c r="AV606"/>
      <c r="AW606"/>
      <c r="AX606"/>
      <c r="AY606"/>
      <c r="AZ606" s="3"/>
      <c r="BA606" s="3"/>
      <c r="BB606" s="3"/>
      <c r="BC606" s="3"/>
      <c r="BD606" s="3"/>
      <c r="BE606" s="1494">
        <f t="shared" si="1"/>
        <v>0</v>
      </c>
      <c r="BF606" s="1496"/>
      <c r="BG606" s="1508">
        <f t="shared" si="2"/>
        <v>0</v>
      </c>
      <c r="BH606" s="1510"/>
      <c r="BI606" s="1494">
        <f t="shared" si="3"/>
        <v>0</v>
      </c>
      <c r="BJ606" s="1496"/>
      <c r="BK606" s="1508">
        <f t="shared" si="4"/>
        <v>0</v>
      </c>
      <c r="BL606" s="1510"/>
      <c r="BM606" s="3"/>
      <c r="BN606" s="1498">
        <f t="shared" si="5"/>
        <v>0</v>
      </c>
      <c r="BO606" s="1499"/>
      <c r="BP606" s="1499"/>
      <c r="BQ606" s="1499"/>
      <c r="BR606" s="1500"/>
      <c r="BS606" s="1497">
        <f t="shared" si="6"/>
        <v>0</v>
      </c>
      <c r="BT606" s="1497"/>
      <c r="BU606" s="1497"/>
      <c r="BV606" s="1497"/>
      <c r="BW606" s="1497"/>
      <c r="BX606" s="1497">
        <f t="shared" si="7"/>
        <v>0</v>
      </c>
      <c r="BY606" s="1497"/>
      <c r="BZ606" s="1497"/>
      <c r="CA606" s="1497"/>
      <c r="CB606" s="1497"/>
      <c r="CC606" s="1497">
        <f t="shared" si="8"/>
        <v>0</v>
      </c>
      <c r="CD606" s="1497"/>
      <c r="CE606" s="1497"/>
      <c r="CF606" s="1497"/>
      <c r="CG606" s="1497"/>
      <c r="CH606" s="1497">
        <f t="shared" si="9"/>
        <v>0</v>
      </c>
      <c r="CI606" s="1497"/>
      <c r="CJ606" s="1497"/>
      <c r="CK606" s="1497"/>
      <c r="CL606" s="1497"/>
      <c r="CM606" s="1497">
        <f t="shared" si="10"/>
        <v>0</v>
      </c>
      <c r="CN606" s="1497"/>
      <c r="CO606" s="1497"/>
      <c r="CP606" s="1497"/>
      <c r="CQ606" s="1497"/>
      <c r="CR606" s="6"/>
      <c r="CS606" s="1507">
        <f t="shared" si="11"/>
        <v>0</v>
      </c>
      <c r="CT606" s="1507"/>
      <c r="CU606" s="1507"/>
      <c r="CV606" s="1507"/>
      <c r="CW606" s="1507"/>
      <c r="CX606" s="1507">
        <f t="shared" si="12"/>
        <v>0</v>
      </c>
      <c r="CY606" s="1507"/>
      <c r="CZ606" s="1507"/>
      <c r="DA606" s="1507"/>
      <c r="DB606" s="1507"/>
      <c r="DC606" s="1507">
        <f t="shared" si="13"/>
        <v>0</v>
      </c>
      <c r="DD606" s="1507"/>
      <c r="DE606" s="1507"/>
      <c r="DF606" s="1507"/>
      <c r="DG606" s="1507"/>
      <c r="DH606" s="1507">
        <f t="shared" si="14"/>
        <v>0</v>
      </c>
      <c r="DI606" s="1507"/>
      <c r="DJ606" s="1507"/>
      <c r="DK606" s="1507"/>
      <c r="DL606" s="1507"/>
      <c r="DM606" s="1507">
        <f t="shared" si="15"/>
        <v>0</v>
      </c>
      <c r="DN606" s="1507"/>
      <c r="DO606" s="1507"/>
      <c r="DP606" s="1507"/>
      <c r="DQ606" s="1507"/>
      <c r="DR606" s="1507">
        <f t="shared" si="16"/>
        <v>0</v>
      </c>
      <c r="DS606" s="1507"/>
      <c r="DT606" s="1507"/>
      <c r="DU606" s="1507"/>
      <c r="DV606" s="1507"/>
      <c r="DX606" s="1494" t="str">
        <f t="shared" si="17"/>
        <v/>
      </c>
      <c r="DY606" s="1495"/>
      <c r="DZ606" s="1495"/>
      <c r="EA606" s="1495"/>
      <c r="EB606" s="1496"/>
      <c r="EC606" s="1494" t="str">
        <f t="shared" si="18"/>
        <v/>
      </c>
      <c r="ED606" s="1495"/>
      <c r="EE606" s="1495"/>
      <c r="EF606" s="1495"/>
      <c r="EG606" s="1496"/>
      <c r="EH606" s="1494" t="str">
        <f t="shared" si="19"/>
        <v/>
      </c>
      <c r="EI606" s="1495"/>
      <c r="EJ606" s="1495"/>
      <c r="EK606" s="1495"/>
      <c r="EL606" s="1496"/>
      <c r="EM606" s="1494" t="str">
        <f t="shared" si="20"/>
        <v/>
      </c>
      <c r="EN606" s="1495"/>
      <c r="EO606" s="1495"/>
      <c r="EP606" s="1495"/>
      <c r="EQ606" s="1496"/>
      <c r="ER606" s="1494" t="str">
        <f t="shared" si="21"/>
        <v/>
      </c>
      <c r="ES606" s="1495"/>
      <c r="ET606" s="1495"/>
      <c r="EU606" s="1495"/>
      <c r="EV606" s="1496"/>
      <c r="EW606" s="1494" t="str">
        <f t="shared" si="22"/>
        <v/>
      </c>
      <c r="EX606" s="1495"/>
      <c r="EY606" s="1495"/>
      <c r="EZ606" s="1495"/>
      <c r="FA606" s="1496"/>
    </row>
    <row r="607" spans="1:157" s="4" customFormat="1" ht="12.95" customHeight="1">
      <c r="A607" s="22"/>
      <c r="B607" t="s">
        <v>20</v>
      </c>
      <c r="C607"/>
      <c r="D607"/>
      <c r="E607"/>
      <c r="F607"/>
      <c r="G607"/>
      <c r="H607"/>
      <c r="I607"/>
      <c r="J607"/>
      <c r="K607"/>
      <c r="L607"/>
      <c r="M607"/>
      <c r="N607" s="1383" t="s">
        <v>677</v>
      </c>
      <c r="O607" s="1383"/>
      <c r="P607"/>
      <c r="Q607"/>
      <c r="R607"/>
      <c r="S607"/>
      <c r="T607" s="22"/>
      <c r="U607" t="s">
        <v>20</v>
      </c>
      <c r="V607"/>
      <c r="W607"/>
      <c r="X607"/>
      <c r="Y607"/>
      <c r="Z607"/>
      <c r="AA607"/>
      <c r="AB607"/>
      <c r="AC607"/>
      <c r="AD607"/>
      <c r="AE607"/>
      <c r="AF607"/>
      <c r="AG607" s="1383" t="s">
        <v>677</v>
      </c>
      <c r="AH607" s="1383"/>
      <c r="AI607"/>
      <c r="AJ607"/>
      <c r="AK607"/>
      <c r="AL607"/>
      <c r="AM607"/>
      <c r="AN607"/>
      <c r="AO607"/>
      <c r="AP607"/>
      <c r="AQ607"/>
      <c r="AR607"/>
      <c r="AS607"/>
      <c r="AT607"/>
      <c r="AU607"/>
      <c r="AV607"/>
      <c r="AW607"/>
      <c r="AX607"/>
      <c r="AY607"/>
      <c r="AZ607" s="3"/>
      <c r="BA607" s="3"/>
      <c r="BB607" s="3"/>
      <c r="BC607" s="3"/>
      <c r="BD607" s="3"/>
      <c r="BE607" s="1494">
        <f t="shared" si="1"/>
        <v>0</v>
      </c>
      <c r="BF607" s="1496"/>
      <c r="BG607" s="1508">
        <f t="shared" si="2"/>
        <v>0</v>
      </c>
      <c r="BH607" s="1510"/>
      <c r="BI607" s="1494">
        <f t="shared" si="3"/>
        <v>0</v>
      </c>
      <c r="BJ607" s="1496"/>
      <c r="BK607" s="1508">
        <f t="shared" si="4"/>
        <v>0</v>
      </c>
      <c r="BL607" s="1510"/>
      <c r="BM607" s="3"/>
      <c r="BN607" s="1498">
        <f t="shared" si="5"/>
        <v>0</v>
      </c>
      <c r="BO607" s="1499"/>
      <c r="BP607" s="1499"/>
      <c r="BQ607" s="1499"/>
      <c r="BR607" s="1500"/>
      <c r="BS607" s="1497">
        <f t="shared" si="6"/>
        <v>0</v>
      </c>
      <c r="BT607" s="1497"/>
      <c r="BU607" s="1497"/>
      <c r="BV607" s="1497"/>
      <c r="BW607" s="1497"/>
      <c r="BX607" s="1497">
        <f t="shared" si="7"/>
        <v>0</v>
      </c>
      <c r="BY607" s="1497"/>
      <c r="BZ607" s="1497"/>
      <c r="CA607" s="1497"/>
      <c r="CB607" s="1497"/>
      <c r="CC607" s="1497">
        <f t="shared" si="8"/>
        <v>0</v>
      </c>
      <c r="CD607" s="1497"/>
      <c r="CE607" s="1497"/>
      <c r="CF607" s="1497"/>
      <c r="CG607" s="1497"/>
      <c r="CH607" s="1497">
        <f t="shared" si="9"/>
        <v>0</v>
      </c>
      <c r="CI607" s="1497"/>
      <c r="CJ607" s="1497"/>
      <c r="CK607" s="1497"/>
      <c r="CL607" s="1497"/>
      <c r="CM607" s="1497">
        <f t="shared" si="10"/>
        <v>0</v>
      </c>
      <c r="CN607" s="1497"/>
      <c r="CO607" s="1497"/>
      <c r="CP607" s="1497"/>
      <c r="CQ607" s="1497"/>
      <c r="CR607" s="6"/>
      <c r="CS607" s="1507">
        <f t="shared" si="11"/>
        <v>0</v>
      </c>
      <c r="CT607" s="1507"/>
      <c r="CU607" s="1507"/>
      <c r="CV607" s="1507"/>
      <c r="CW607" s="1507"/>
      <c r="CX607" s="1507">
        <f t="shared" si="12"/>
        <v>0</v>
      </c>
      <c r="CY607" s="1507"/>
      <c r="CZ607" s="1507"/>
      <c r="DA607" s="1507"/>
      <c r="DB607" s="1507"/>
      <c r="DC607" s="1507">
        <f t="shared" si="13"/>
        <v>0</v>
      </c>
      <c r="DD607" s="1507"/>
      <c r="DE607" s="1507"/>
      <c r="DF607" s="1507"/>
      <c r="DG607" s="1507"/>
      <c r="DH607" s="1507">
        <f t="shared" si="14"/>
        <v>0</v>
      </c>
      <c r="DI607" s="1507"/>
      <c r="DJ607" s="1507"/>
      <c r="DK607" s="1507"/>
      <c r="DL607" s="1507"/>
      <c r="DM607" s="1507">
        <f t="shared" si="15"/>
        <v>0</v>
      </c>
      <c r="DN607" s="1507"/>
      <c r="DO607" s="1507"/>
      <c r="DP607" s="1507"/>
      <c r="DQ607" s="1507"/>
      <c r="DR607" s="1507">
        <f t="shared" si="16"/>
        <v>0</v>
      </c>
      <c r="DS607" s="1507"/>
      <c r="DT607" s="1507"/>
      <c r="DU607" s="1507"/>
      <c r="DV607" s="1507"/>
      <c r="DX607" s="1494" t="str">
        <f t="shared" si="17"/>
        <v/>
      </c>
      <c r="DY607" s="1495"/>
      <c r="DZ607" s="1495"/>
      <c r="EA607" s="1495"/>
      <c r="EB607" s="1496"/>
      <c r="EC607" s="1494" t="str">
        <f t="shared" si="18"/>
        <v/>
      </c>
      <c r="ED607" s="1495"/>
      <c r="EE607" s="1495"/>
      <c r="EF607" s="1495"/>
      <c r="EG607" s="1496"/>
      <c r="EH607" s="1494" t="str">
        <f t="shared" si="19"/>
        <v/>
      </c>
      <c r="EI607" s="1495"/>
      <c r="EJ607" s="1495"/>
      <c r="EK607" s="1495"/>
      <c r="EL607" s="1496"/>
      <c r="EM607" s="1494" t="str">
        <f t="shared" si="20"/>
        <v/>
      </c>
      <c r="EN607" s="1495"/>
      <c r="EO607" s="1495"/>
      <c r="EP607" s="1495"/>
      <c r="EQ607" s="1496"/>
      <c r="ER607" s="1494" t="str">
        <f t="shared" si="21"/>
        <v/>
      </c>
      <c r="ES607" s="1495"/>
      <c r="ET607" s="1495"/>
      <c r="EU607" s="1495"/>
      <c r="EV607" s="1496"/>
      <c r="EW607" s="1494" t="str">
        <f t="shared" si="22"/>
        <v/>
      </c>
      <c r="EX607" s="1495"/>
      <c r="EY607" s="1495"/>
      <c r="EZ607" s="1495"/>
      <c r="FA607" s="1496"/>
    </row>
    <row r="608" spans="1:157" ht="12.95" customHeight="1">
      <c r="A608" s="22"/>
      <c r="T608" s="22"/>
      <c r="AZ608" s="3"/>
      <c r="BA608" s="3"/>
      <c r="BB608" s="3"/>
      <c r="BC608" s="3"/>
      <c r="BD608" s="3"/>
      <c r="BE608" s="1494">
        <f t="shared" si="1"/>
        <v>0</v>
      </c>
      <c r="BF608" s="1496"/>
      <c r="BG608" s="1508">
        <f t="shared" si="2"/>
        <v>0</v>
      </c>
      <c r="BH608" s="1510"/>
      <c r="BI608" s="1494">
        <f t="shared" si="3"/>
        <v>0</v>
      </c>
      <c r="BJ608" s="1496"/>
      <c r="BK608" s="1508">
        <f t="shared" si="4"/>
        <v>0</v>
      </c>
      <c r="BL608" s="1510"/>
      <c r="BM608" s="3"/>
      <c r="BN608" s="1498">
        <f t="shared" si="5"/>
        <v>0</v>
      </c>
      <c r="BO608" s="1499"/>
      <c r="BP608" s="1499"/>
      <c r="BQ608" s="1499"/>
      <c r="BR608" s="1500"/>
      <c r="BS608" s="1497">
        <f t="shared" si="6"/>
        <v>0</v>
      </c>
      <c r="BT608" s="1497"/>
      <c r="BU608" s="1497"/>
      <c r="BV608" s="1497"/>
      <c r="BW608" s="1497"/>
      <c r="BX608" s="1497">
        <f t="shared" si="7"/>
        <v>0</v>
      </c>
      <c r="BY608" s="1497"/>
      <c r="BZ608" s="1497"/>
      <c r="CA608" s="1497"/>
      <c r="CB608" s="1497"/>
      <c r="CC608" s="1497">
        <f t="shared" si="8"/>
        <v>0</v>
      </c>
      <c r="CD608" s="1497"/>
      <c r="CE608" s="1497"/>
      <c r="CF608" s="1497"/>
      <c r="CG608" s="1497"/>
      <c r="CH608" s="1497">
        <f t="shared" si="9"/>
        <v>0</v>
      </c>
      <c r="CI608" s="1497"/>
      <c r="CJ608" s="1497"/>
      <c r="CK608" s="1497"/>
      <c r="CL608" s="1497"/>
      <c r="CM608" s="1497">
        <f t="shared" si="10"/>
        <v>0</v>
      </c>
      <c r="CN608" s="1497"/>
      <c r="CO608" s="1497"/>
      <c r="CP608" s="1497"/>
      <c r="CQ608" s="1497"/>
      <c r="CR608" s="6"/>
      <c r="CS608" s="1507">
        <f t="shared" si="11"/>
        <v>0</v>
      </c>
      <c r="CT608" s="1507"/>
      <c r="CU608" s="1507"/>
      <c r="CV608" s="1507"/>
      <c r="CW608" s="1507"/>
      <c r="CX608" s="1507">
        <f t="shared" si="12"/>
        <v>0</v>
      </c>
      <c r="CY608" s="1507"/>
      <c r="CZ608" s="1507"/>
      <c r="DA608" s="1507"/>
      <c r="DB608" s="1507"/>
      <c r="DC608" s="1507">
        <f t="shared" si="13"/>
        <v>0</v>
      </c>
      <c r="DD608" s="1507"/>
      <c r="DE608" s="1507"/>
      <c r="DF608" s="1507"/>
      <c r="DG608" s="1507"/>
      <c r="DH608" s="1507">
        <f t="shared" si="14"/>
        <v>0</v>
      </c>
      <c r="DI608" s="1507"/>
      <c r="DJ608" s="1507"/>
      <c r="DK608" s="1507"/>
      <c r="DL608" s="1507"/>
      <c r="DM608" s="1507">
        <f t="shared" si="15"/>
        <v>0</v>
      </c>
      <c r="DN608" s="1507"/>
      <c r="DO608" s="1507"/>
      <c r="DP608" s="1507"/>
      <c r="DQ608" s="1507"/>
      <c r="DR608" s="1507">
        <f t="shared" si="16"/>
        <v>0</v>
      </c>
      <c r="DS608" s="1507"/>
      <c r="DT608" s="1507"/>
      <c r="DU608" s="1507"/>
      <c r="DV608" s="1507"/>
      <c r="DX608" s="1494" t="str">
        <f t="shared" si="17"/>
        <v/>
      </c>
      <c r="DY608" s="1495"/>
      <c r="DZ608" s="1495"/>
      <c r="EA608" s="1495"/>
      <c r="EB608" s="1496"/>
      <c r="EC608" s="1494" t="str">
        <f t="shared" si="18"/>
        <v/>
      </c>
      <c r="ED608" s="1495"/>
      <c r="EE608" s="1495"/>
      <c r="EF608" s="1495"/>
      <c r="EG608" s="1496"/>
      <c r="EH608" s="1494" t="str">
        <f t="shared" si="19"/>
        <v/>
      </c>
      <c r="EI608" s="1495"/>
      <c r="EJ608" s="1495"/>
      <c r="EK608" s="1495"/>
      <c r="EL608" s="1496"/>
      <c r="EM608" s="1494" t="str">
        <f t="shared" si="20"/>
        <v/>
      </c>
      <c r="EN608" s="1495"/>
      <c r="EO608" s="1495"/>
      <c r="EP608" s="1495"/>
      <c r="EQ608" s="1496"/>
      <c r="ER608" s="1494" t="str">
        <f t="shared" si="21"/>
        <v/>
      </c>
      <c r="ES608" s="1495"/>
      <c r="ET608" s="1495"/>
      <c r="EU608" s="1495"/>
      <c r="EV608" s="1496"/>
      <c r="EW608" s="1494" t="str">
        <f t="shared" si="22"/>
        <v/>
      </c>
      <c r="EX608" s="1495"/>
      <c r="EY608" s="1495"/>
      <c r="EZ608" s="1495"/>
      <c r="FA608" s="1496"/>
    </row>
    <row r="609" spans="1:157" ht="12.95" customHeight="1">
      <c r="A609" s="55" t="s">
        <v>363</v>
      </c>
      <c r="B609" t="s">
        <v>471</v>
      </c>
      <c r="G609" s="1471">
        <f>C564</f>
        <v>0</v>
      </c>
      <c r="H609" s="1471"/>
      <c r="I609" s="1471"/>
      <c r="J609" s="1471"/>
      <c r="K609" s="1471"/>
      <c r="L609" s="1471"/>
      <c r="M609" s="1471"/>
      <c r="N609" s="1471"/>
      <c r="O609" s="1471"/>
      <c r="P609" s="1471"/>
      <c r="Q609" s="1471"/>
      <c r="R609" s="1471"/>
      <c r="T609" s="55" t="s">
        <v>364</v>
      </c>
      <c r="U609" t="s">
        <v>471</v>
      </c>
      <c r="Z609" s="1471">
        <f>C565</f>
        <v>0</v>
      </c>
      <c r="AA609" s="1471"/>
      <c r="AB609" s="1471"/>
      <c r="AC609" s="1471"/>
      <c r="AD609" s="1471"/>
      <c r="AE609" s="1471"/>
      <c r="AF609" s="1471"/>
      <c r="AG609" s="1471"/>
      <c r="AH609" s="1471"/>
      <c r="AI609" s="1471"/>
      <c r="AJ609" s="1471"/>
      <c r="AK609" s="1471"/>
      <c r="AZ609" s="3"/>
      <c r="BA609" s="3"/>
      <c r="BB609" s="3"/>
      <c r="BC609" s="3"/>
      <c r="BD609" s="3"/>
      <c r="BE609" s="1494">
        <f t="shared" si="1"/>
        <v>0</v>
      </c>
      <c r="BF609" s="1496"/>
      <c r="BG609" s="1508">
        <f t="shared" si="2"/>
        <v>0</v>
      </c>
      <c r="BH609" s="1510"/>
      <c r="BI609" s="1494">
        <f t="shared" si="3"/>
        <v>0</v>
      </c>
      <c r="BJ609" s="1496"/>
      <c r="BK609" s="1508">
        <f t="shared" si="4"/>
        <v>0</v>
      </c>
      <c r="BL609" s="1510"/>
      <c r="BM609" s="3"/>
      <c r="BN609" s="1498">
        <f t="shared" si="5"/>
        <v>0</v>
      </c>
      <c r="BO609" s="1499"/>
      <c r="BP609" s="1499"/>
      <c r="BQ609" s="1499"/>
      <c r="BR609" s="1500"/>
      <c r="BS609" s="1497">
        <f t="shared" si="6"/>
        <v>0</v>
      </c>
      <c r="BT609" s="1497"/>
      <c r="BU609" s="1497"/>
      <c r="BV609" s="1497"/>
      <c r="BW609" s="1497"/>
      <c r="BX609" s="1497">
        <f t="shared" si="7"/>
        <v>0</v>
      </c>
      <c r="BY609" s="1497"/>
      <c r="BZ609" s="1497"/>
      <c r="CA609" s="1497"/>
      <c r="CB609" s="1497"/>
      <c r="CC609" s="1497">
        <f t="shared" si="8"/>
        <v>0</v>
      </c>
      <c r="CD609" s="1497"/>
      <c r="CE609" s="1497"/>
      <c r="CF609" s="1497"/>
      <c r="CG609" s="1497"/>
      <c r="CH609" s="1497">
        <f t="shared" si="9"/>
        <v>0</v>
      </c>
      <c r="CI609" s="1497"/>
      <c r="CJ609" s="1497"/>
      <c r="CK609" s="1497"/>
      <c r="CL609" s="1497"/>
      <c r="CM609" s="1497">
        <f t="shared" si="10"/>
        <v>0</v>
      </c>
      <c r="CN609" s="1497"/>
      <c r="CO609" s="1497"/>
      <c r="CP609" s="1497"/>
      <c r="CQ609" s="1497"/>
      <c r="CR609" s="6"/>
      <c r="CS609" s="1507">
        <f t="shared" si="11"/>
        <v>0</v>
      </c>
      <c r="CT609" s="1507"/>
      <c r="CU609" s="1507"/>
      <c r="CV609" s="1507"/>
      <c r="CW609" s="1507"/>
      <c r="CX609" s="1507">
        <f t="shared" si="12"/>
        <v>0</v>
      </c>
      <c r="CY609" s="1507"/>
      <c r="CZ609" s="1507"/>
      <c r="DA609" s="1507"/>
      <c r="DB609" s="1507"/>
      <c r="DC609" s="1507">
        <f t="shared" si="13"/>
        <v>0</v>
      </c>
      <c r="DD609" s="1507"/>
      <c r="DE609" s="1507"/>
      <c r="DF609" s="1507"/>
      <c r="DG609" s="1507"/>
      <c r="DH609" s="1507">
        <f t="shared" si="14"/>
        <v>0</v>
      </c>
      <c r="DI609" s="1507"/>
      <c r="DJ609" s="1507"/>
      <c r="DK609" s="1507"/>
      <c r="DL609" s="1507"/>
      <c r="DM609" s="1507">
        <f t="shared" si="15"/>
        <v>0</v>
      </c>
      <c r="DN609" s="1507"/>
      <c r="DO609" s="1507"/>
      <c r="DP609" s="1507"/>
      <c r="DQ609" s="1507"/>
      <c r="DR609" s="1507">
        <f t="shared" si="16"/>
        <v>0</v>
      </c>
      <c r="DS609" s="1507"/>
      <c r="DT609" s="1507"/>
      <c r="DU609" s="1507"/>
      <c r="DV609" s="1507"/>
      <c r="DX609" s="1494" t="str">
        <f t="shared" si="17"/>
        <v/>
      </c>
      <c r="DY609" s="1495"/>
      <c r="DZ609" s="1495"/>
      <c r="EA609" s="1495"/>
      <c r="EB609" s="1496"/>
      <c r="EC609" s="1494" t="str">
        <f t="shared" si="18"/>
        <v/>
      </c>
      <c r="ED609" s="1495"/>
      <c r="EE609" s="1495"/>
      <c r="EF609" s="1495"/>
      <c r="EG609" s="1496"/>
      <c r="EH609" s="1494" t="str">
        <f t="shared" si="19"/>
        <v/>
      </c>
      <c r="EI609" s="1495"/>
      <c r="EJ609" s="1495"/>
      <c r="EK609" s="1495"/>
      <c r="EL609" s="1496"/>
      <c r="EM609" s="1494" t="str">
        <f t="shared" si="20"/>
        <v/>
      </c>
      <c r="EN609" s="1495"/>
      <c r="EO609" s="1495"/>
      <c r="EP609" s="1495"/>
      <c r="EQ609" s="1496"/>
      <c r="ER609" s="1494" t="str">
        <f t="shared" si="21"/>
        <v/>
      </c>
      <c r="ES609" s="1495"/>
      <c r="ET609" s="1495"/>
      <c r="EU609" s="1495"/>
      <c r="EV609" s="1496"/>
      <c r="EW609" s="1494" t="str">
        <f t="shared" si="22"/>
        <v/>
      </c>
      <c r="EX609" s="1495"/>
      <c r="EY609" s="1495"/>
      <c r="EZ609" s="1495"/>
      <c r="FA609" s="1496"/>
    </row>
    <row r="610" spans="1:157" ht="12.95" customHeight="1">
      <c r="B610" t="s">
        <v>85</v>
      </c>
      <c r="G610" s="1384"/>
      <c r="H610" s="1384"/>
      <c r="I610" s="1384"/>
      <c r="J610" s="1384"/>
      <c r="K610" s="1384"/>
      <c r="L610" s="1384"/>
      <c r="M610" s="1384"/>
      <c r="N610" s="1384"/>
      <c r="O610" s="1384"/>
      <c r="P610" s="1384"/>
      <c r="Q610" s="1384"/>
      <c r="R610" s="1384"/>
      <c r="U610" t="s">
        <v>85</v>
      </c>
      <c r="Z610" s="1384"/>
      <c r="AA610" s="1384"/>
      <c r="AB610" s="1384"/>
      <c r="AC610" s="1384"/>
      <c r="AD610" s="1384"/>
      <c r="AE610" s="1384"/>
      <c r="AF610" s="1384"/>
      <c r="AG610" s="1384"/>
      <c r="AH610" s="1384"/>
      <c r="AI610" s="1384"/>
      <c r="AJ610" s="1384"/>
      <c r="AK610" s="1384"/>
      <c r="AZ610" s="3"/>
      <c r="BA610" s="3"/>
      <c r="BB610" s="3"/>
      <c r="BC610" s="3"/>
      <c r="BD610" s="3"/>
      <c r="BE610" s="1494">
        <f t="shared" si="1"/>
        <v>0</v>
      </c>
      <c r="BF610" s="1496"/>
      <c r="BG610" s="1508">
        <f t="shared" si="2"/>
        <v>0</v>
      </c>
      <c r="BH610" s="1510"/>
      <c r="BI610" s="1494">
        <f t="shared" si="3"/>
        <v>0</v>
      </c>
      <c r="BJ610" s="1496"/>
      <c r="BK610" s="1508">
        <f t="shared" si="4"/>
        <v>0</v>
      </c>
      <c r="BL610" s="1510"/>
      <c r="BM610" s="3"/>
      <c r="BN610" s="1498">
        <f t="shared" si="5"/>
        <v>0</v>
      </c>
      <c r="BO610" s="1499"/>
      <c r="BP610" s="1499"/>
      <c r="BQ610" s="1499"/>
      <c r="BR610" s="1500"/>
      <c r="BS610" s="1497">
        <f t="shared" si="6"/>
        <v>0</v>
      </c>
      <c r="BT610" s="1497"/>
      <c r="BU610" s="1497"/>
      <c r="BV610" s="1497"/>
      <c r="BW610" s="1497"/>
      <c r="BX610" s="1497">
        <f t="shared" si="7"/>
        <v>0</v>
      </c>
      <c r="BY610" s="1497"/>
      <c r="BZ610" s="1497"/>
      <c r="CA610" s="1497"/>
      <c r="CB610" s="1497"/>
      <c r="CC610" s="1497">
        <f t="shared" si="8"/>
        <v>0</v>
      </c>
      <c r="CD610" s="1497"/>
      <c r="CE610" s="1497"/>
      <c r="CF610" s="1497"/>
      <c r="CG610" s="1497"/>
      <c r="CH610" s="1497">
        <f t="shared" si="9"/>
        <v>0</v>
      </c>
      <c r="CI610" s="1497"/>
      <c r="CJ610" s="1497"/>
      <c r="CK610" s="1497"/>
      <c r="CL610" s="1497"/>
      <c r="CM610" s="1497">
        <f t="shared" si="10"/>
        <v>0</v>
      </c>
      <c r="CN610" s="1497"/>
      <c r="CO610" s="1497"/>
      <c r="CP610" s="1497"/>
      <c r="CQ610" s="1497"/>
      <c r="CR610" s="6"/>
      <c r="CS610" s="1507">
        <f t="shared" si="11"/>
        <v>0</v>
      </c>
      <c r="CT610" s="1507"/>
      <c r="CU610" s="1507"/>
      <c r="CV610" s="1507"/>
      <c r="CW610" s="1507"/>
      <c r="CX610" s="1507">
        <f t="shared" si="12"/>
        <v>0</v>
      </c>
      <c r="CY610" s="1507"/>
      <c r="CZ610" s="1507"/>
      <c r="DA610" s="1507"/>
      <c r="DB610" s="1507"/>
      <c r="DC610" s="1507">
        <f t="shared" si="13"/>
        <v>0</v>
      </c>
      <c r="DD610" s="1507"/>
      <c r="DE610" s="1507"/>
      <c r="DF610" s="1507"/>
      <c r="DG610" s="1507"/>
      <c r="DH610" s="1507">
        <f t="shared" si="14"/>
        <v>0</v>
      </c>
      <c r="DI610" s="1507"/>
      <c r="DJ610" s="1507"/>
      <c r="DK610" s="1507"/>
      <c r="DL610" s="1507"/>
      <c r="DM610" s="1507">
        <f t="shared" si="15"/>
        <v>0</v>
      </c>
      <c r="DN610" s="1507"/>
      <c r="DO610" s="1507"/>
      <c r="DP610" s="1507"/>
      <c r="DQ610" s="1507"/>
      <c r="DR610" s="1507">
        <f t="shared" si="16"/>
        <v>0</v>
      </c>
      <c r="DS610" s="1507"/>
      <c r="DT610" s="1507"/>
      <c r="DU610" s="1507"/>
      <c r="DV610" s="1507"/>
      <c r="DX610" s="1494" t="str">
        <f t="shared" si="17"/>
        <v/>
      </c>
      <c r="DY610" s="1495"/>
      <c r="DZ610" s="1495"/>
      <c r="EA610" s="1495"/>
      <c r="EB610" s="1496"/>
      <c r="EC610" s="1494" t="str">
        <f t="shared" si="18"/>
        <v/>
      </c>
      <c r="ED610" s="1495"/>
      <c r="EE610" s="1495"/>
      <c r="EF610" s="1495"/>
      <c r="EG610" s="1496"/>
      <c r="EH610" s="1494" t="str">
        <f t="shared" si="19"/>
        <v/>
      </c>
      <c r="EI610" s="1495"/>
      <c r="EJ610" s="1495"/>
      <c r="EK610" s="1495"/>
      <c r="EL610" s="1496"/>
      <c r="EM610" s="1494" t="str">
        <f t="shared" si="20"/>
        <v/>
      </c>
      <c r="EN610" s="1495"/>
      <c r="EO610" s="1495"/>
      <c r="EP610" s="1495"/>
      <c r="EQ610" s="1496"/>
      <c r="ER610" s="1494" t="str">
        <f t="shared" si="21"/>
        <v/>
      </c>
      <c r="ES610" s="1495"/>
      <c r="ET610" s="1495"/>
      <c r="EU610" s="1495"/>
      <c r="EV610" s="1496"/>
      <c r="EW610" s="1494" t="str">
        <f t="shared" si="22"/>
        <v/>
      </c>
      <c r="EX610" s="1495"/>
      <c r="EY610" s="1495"/>
      <c r="EZ610" s="1495"/>
      <c r="FA610" s="1496"/>
    </row>
    <row r="611" spans="1:157" ht="12.95" customHeight="1">
      <c r="B611" t="s">
        <v>588</v>
      </c>
      <c r="G611" s="1384"/>
      <c r="H611" s="1384"/>
      <c r="I611" s="1384"/>
      <c r="J611" s="1384"/>
      <c r="K611" s="1384"/>
      <c r="L611" s="1384"/>
      <c r="M611" s="1384"/>
      <c r="N611" s="1384"/>
      <c r="O611" s="1384"/>
      <c r="P611" s="1384"/>
      <c r="Q611" s="1384"/>
      <c r="R611" s="1384"/>
      <c r="U611" t="s">
        <v>588</v>
      </c>
      <c r="Z611" s="1441"/>
      <c r="AA611" s="1441"/>
      <c r="AB611" s="1441"/>
      <c r="AC611" s="1441"/>
      <c r="AD611" s="1441"/>
      <c r="AE611" s="1441"/>
      <c r="AF611" s="1441"/>
      <c r="AG611" s="1441"/>
      <c r="AH611" s="1441"/>
      <c r="AI611" s="1441"/>
      <c r="AJ611" s="1441"/>
      <c r="AK611" s="1441"/>
      <c r="AZ611" s="3"/>
      <c r="BA611" s="3"/>
      <c r="BB611" s="3"/>
      <c r="BC611" s="3"/>
      <c r="BD611" s="3"/>
      <c r="BE611" s="1494">
        <f t="shared" si="1"/>
        <v>0</v>
      </c>
      <c r="BF611" s="1496"/>
      <c r="BG611" s="1508">
        <f t="shared" si="2"/>
        <v>0</v>
      </c>
      <c r="BH611" s="1510"/>
      <c r="BI611" s="1494">
        <f t="shared" si="3"/>
        <v>0</v>
      </c>
      <c r="BJ611" s="1496"/>
      <c r="BK611" s="1508">
        <f t="shared" si="4"/>
        <v>0</v>
      </c>
      <c r="BL611" s="1510"/>
      <c r="BM611" s="3"/>
      <c r="BN611" s="1498">
        <f t="shared" si="5"/>
        <v>0</v>
      </c>
      <c r="BO611" s="1499"/>
      <c r="BP611" s="1499"/>
      <c r="BQ611" s="1499"/>
      <c r="BR611" s="1500"/>
      <c r="BS611" s="1497">
        <f t="shared" si="6"/>
        <v>0</v>
      </c>
      <c r="BT611" s="1497"/>
      <c r="BU611" s="1497"/>
      <c r="BV611" s="1497"/>
      <c r="BW611" s="1497"/>
      <c r="BX611" s="1497">
        <f t="shared" si="7"/>
        <v>0</v>
      </c>
      <c r="BY611" s="1497"/>
      <c r="BZ611" s="1497"/>
      <c r="CA611" s="1497"/>
      <c r="CB611" s="1497"/>
      <c r="CC611" s="1497">
        <f t="shared" si="8"/>
        <v>0</v>
      </c>
      <c r="CD611" s="1497"/>
      <c r="CE611" s="1497"/>
      <c r="CF611" s="1497"/>
      <c r="CG611" s="1497"/>
      <c r="CH611" s="1497">
        <f t="shared" si="9"/>
        <v>0</v>
      </c>
      <c r="CI611" s="1497"/>
      <c r="CJ611" s="1497"/>
      <c r="CK611" s="1497"/>
      <c r="CL611" s="1497"/>
      <c r="CM611" s="1497">
        <f t="shared" si="10"/>
        <v>0</v>
      </c>
      <c r="CN611" s="1497"/>
      <c r="CO611" s="1497"/>
      <c r="CP611" s="1497"/>
      <c r="CQ611" s="1497"/>
      <c r="CR611" s="6"/>
      <c r="CS611" s="1507">
        <f t="shared" si="11"/>
        <v>0</v>
      </c>
      <c r="CT611" s="1507"/>
      <c r="CU611" s="1507"/>
      <c r="CV611" s="1507"/>
      <c r="CW611" s="1507"/>
      <c r="CX611" s="1507">
        <f t="shared" si="12"/>
        <v>0</v>
      </c>
      <c r="CY611" s="1507"/>
      <c r="CZ611" s="1507"/>
      <c r="DA611" s="1507"/>
      <c r="DB611" s="1507"/>
      <c r="DC611" s="1507">
        <f t="shared" si="13"/>
        <v>0</v>
      </c>
      <c r="DD611" s="1507"/>
      <c r="DE611" s="1507"/>
      <c r="DF611" s="1507"/>
      <c r="DG611" s="1507"/>
      <c r="DH611" s="1507">
        <f t="shared" si="14"/>
        <v>0</v>
      </c>
      <c r="DI611" s="1507"/>
      <c r="DJ611" s="1507"/>
      <c r="DK611" s="1507"/>
      <c r="DL611" s="1507"/>
      <c r="DM611" s="1507">
        <f t="shared" si="15"/>
        <v>0</v>
      </c>
      <c r="DN611" s="1507"/>
      <c r="DO611" s="1507"/>
      <c r="DP611" s="1507"/>
      <c r="DQ611" s="1507"/>
      <c r="DR611" s="1507">
        <f t="shared" si="16"/>
        <v>0</v>
      </c>
      <c r="DS611" s="1507"/>
      <c r="DT611" s="1507"/>
      <c r="DU611" s="1507"/>
      <c r="DV611" s="1507"/>
      <c r="DX611" s="1494" t="str">
        <f t="shared" si="17"/>
        <v/>
      </c>
      <c r="DY611" s="1495"/>
      <c r="DZ611" s="1495"/>
      <c r="EA611" s="1495"/>
      <c r="EB611" s="1496"/>
      <c r="EC611" s="1494" t="str">
        <f t="shared" si="18"/>
        <v/>
      </c>
      <c r="ED611" s="1495"/>
      <c r="EE611" s="1495"/>
      <c r="EF611" s="1495"/>
      <c r="EG611" s="1496"/>
      <c r="EH611" s="1494" t="str">
        <f t="shared" si="19"/>
        <v/>
      </c>
      <c r="EI611" s="1495"/>
      <c r="EJ611" s="1495"/>
      <c r="EK611" s="1495"/>
      <c r="EL611" s="1496"/>
      <c r="EM611" s="1494" t="str">
        <f t="shared" si="20"/>
        <v/>
      </c>
      <c r="EN611" s="1495"/>
      <c r="EO611" s="1495"/>
      <c r="EP611" s="1495"/>
      <c r="EQ611" s="1496"/>
      <c r="ER611" s="1494" t="str">
        <f t="shared" si="21"/>
        <v/>
      </c>
      <c r="ES611" s="1495"/>
      <c r="ET611" s="1495"/>
      <c r="EU611" s="1495"/>
      <c r="EV611" s="1496"/>
      <c r="EW611" s="1494" t="str">
        <f t="shared" si="22"/>
        <v/>
      </c>
      <c r="EX611" s="1495"/>
      <c r="EY611" s="1495"/>
      <c r="EZ611" s="1495"/>
      <c r="FA611" s="1496"/>
    </row>
    <row r="612" spans="1:157" ht="12.95" customHeight="1">
      <c r="B612" t="s">
        <v>17</v>
      </c>
      <c r="G612" s="1384"/>
      <c r="H612" s="1384"/>
      <c r="I612" s="1384"/>
      <c r="J612" s="1384"/>
      <c r="K612" s="1384"/>
      <c r="L612" s="1384"/>
      <c r="M612" s="1384"/>
      <c r="N612" s="1384"/>
      <c r="O612" s="1384"/>
      <c r="P612" s="1384"/>
      <c r="Q612" s="1384"/>
      <c r="R612" s="1384"/>
      <c r="U612" t="s">
        <v>17</v>
      </c>
      <c r="Z612" s="1441"/>
      <c r="AA612" s="1441"/>
      <c r="AB612" s="1441"/>
      <c r="AC612" s="1441"/>
      <c r="AD612" s="1441"/>
      <c r="AE612" s="1441"/>
      <c r="AF612" s="1441"/>
      <c r="AG612" s="1441"/>
      <c r="AH612" s="1441"/>
      <c r="AI612" s="1441"/>
      <c r="AJ612" s="1441"/>
      <c r="AK612" s="1441"/>
      <c r="AZ612" s="3"/>
      <c r="BA612" s="3"/>
      <c r="BB612" s="3"/>
      <c r="BC612" s="3"/>
      <c r="BD612" s="3"/>
      <c r="BE612" s="1494">
        <f t="shared" si="1"/>
        <v>0</v>
      </c>
      <c r="BF612" s="1496"/>
      <c r="BG612" s="1508">
        <f t="shared" si="2"/>
        <v>0</v>
      </c>
      <c r="BH612" s="1510"/>
      <c r="BI612" s="1494">
        <f t="shared" si="3"/>
        <v>0</v>
      </c>
      <c r="BJ612" s="1496"/>
      <c r="BK612" s="1508">
        <f t="shared" si="4"/>
        <v>0</v>
      </c>
      <c r="BL612" s="1510"/>
      <c r="BM612" s="3"/>
      <c r="BN612" s="1498">
        <f t="shared" si="5"/>
        <v>0</v>
      </c>
      <c r="BO612" s="1499"/>
      <c r="BP612" s="1499"/>
      <c r="BQ612" s="1499"/>
      <c r="BR612" s="1500"/>
      <c r="BS612" s="1497">
        <f t="shared" si="6"/>
        <v>0</v>
      </c>
      <c r="BT612" s="1497"/>
      <c r="BU612" s="1497"/>
      <c r="BV612" s="1497"/>
      <c r="BW612" s="1497"/>
      <c r="BX612" s="1497">
        <f t="shared" si="7"/>
        <v>0</v>
      </c>
      <c r="BY612" s="1497"/>
      <c r="BZ612" s="1497"/>
      <c r="CA612" s="1497"/>
      <c r="CB612" s="1497"/>
      <c r="CC612" s="1497">
        <f t="shared" si="8"/>
        <v>0</v>
      </c>
      <c r="CD612" s="1497"/>
      <c r="CE612" s="1497"/>
      <c r="CF612" s="1497"/>
      <c r="CG612" s="1497"/>
      <c r="CH612" s="1497">
        <f t="shared" si="9"/>
        <v>0</v>
      </c>
      <c r="CI612" s="1497"/>
      <c r="CJ612" s="1497"/>
      <c r="CK612" s="1497"/>
      <c r="CL612" s="1497"/>
      <c r="CM612" s="1497">
        <f t="shared" si="10"/>
        <v>0</v>
      </c>
      <c r="CN612" s="1497"/>
      <c r="CO612" s="1497"/>
      <c r="CP612" s="1497"/>
      <c r="CQ612" s="1497"/>
      <c r="CR612" s="6"/>
      <c r="CS612" s="1507">
        <f t="shared" si="11"/>
        <v>0</v>
      </c>
      <c r="CT612" s="1507"/>
      <c r="CU612" s="1507"/>
      <c r="CV612" s="1507"/>
      <c r="CW612" s="1507"/>
      <c r="CX612" s="1507">
        <f t="shared" si="12"/>
        <v>0</v>
      </c>
      <c r="CY612" s="1507"/>
      <c r="CZ612" s="1507"/>
      <c r="DA612" s="1507"/>
      <c r="DB612" s="1507"/>
      <c r="DC612" s="1507">
        <f t="shared" si="13"/>
        <v>0</v>
      </c>
      <c r="DD612" s="1507"/>
      <c r="DE612" s="1507"/>
      <c r="DF612" s="1507"/>
      <c r="DG612" s="1507"/>
      <c r="DH612" s="1507">
        <f t="shared" si="14"/>
        <v>0</v>
      </c>
      <c r="DI612" s="1507"/>
      <c r="DJ612" s="1507"/>
      <c r="DK612" s="1507"/>
      <c r="DL612" s="1507"/>
      <c r="DM612" s="1507">
        <f t="shared" si="15"/>
        <v>0</v>
      </c>
      <c r="DN612" s="1507"/>
      <c r="DO612" s="1507"/>
      <c r="DP612" s="1507"/>
      <c r="DQ612" s="1507"/>
      <c r="DR612" s="1507">
        <f t="shared" si="16"/>
        <v>0</v>
      </c>
      <c r="DS612" s="1507"/>
      <c r="DT612" s="1507"/>
      <c r="DU612" s="1507"/>
      <c r="DV612" s="1507"/>
      <c r="DX612" s="1494" t="str">
        <f t="shared" si="17"/>
        <v/>
      </c>
      <c r="DY612" s="1495"/>
      <c r="DZ612" s="1495"/>
      <c r="EA612" s="1495"/>
      <c r="EB612" s="1496"/>
      <c r="EC612" s="1494" t="str">
        <f t="shared" si="18"/>
        <v/>
      </c>
      <c r="ED612" s="1495"/>
      <c r="EE612" s="1495"/>
      <c r="EF612" s="1495"/>
      <c r="EG612" s="1496"/>
      <c r="EH612" s="1494" t="str">
        <f t="shared" si="19"/>
        <v/>
      </c>
      <c r="EI612" s="1495"/>
      <c r="EJ612" s="1495"/>
      <c r="EK612" s="1495"/>
      <c r="EL612" s="1496"/>
      <c r="EM612" s="1494" t="str">
        <f t="shared" si="20"/>
        <v/>
      </c>
      <c r="EN612" s="1495"/>
      <c r="EO612" s="1495"/>
      <c r="EP612" s="1495"/>
      <c r="EQ612" s="1496"/>
      <c r="ER612" s="1494" t="str">
        <f t="shared" si="21"/>
        <v/>
      </c>
      <c r="ES612" s="1495"/>
      <c r="ET612" s="1495"/>
      <c r="EU612" s="1495"/>
      <c r="EV612" s="1496"/>
      <c r="EW612" s="1494" t="str">
        <f t="shared" si="22"/>
        <v/>
      </c>
      <c r="EX612" s="1495"/>
      <c r="EY612" s="1495"/>
      <c r="EZ612" s="1495"/>
      <c r="FA612" s="1496"/>
    </row>
    <row r="613" spans="1:157" ht="12.95" customHeight="1">
      <c r="B613" t="s">
        <v>317</v>
      </c>
      <c r="G613" s="1395"/>
      <c r="H613" s="1395"/>
      <c r="I613" s="1395"/>
      <c r="J613" s="1395"/>
      <c r="K613" s="1395"/>
      <c r="L613" s="1395"/>
      <c r="O613" s="33" t="s">
        <v>207</v>
      </c>
      <c r="P613" s="1472"/>
      <c r="Q613" s="1472"/>
      <c r="R613" s="1472"/>
      <c r="U613" t="s">
        <v>317</v>
      </c>
      <c r="Z613" s="1395"/>
      <c r="AA613" s="1395"/>
      <c r="AB613" s="1395"/>
      <c r="AC613" s="1395"/>
      <c r="AD613" s="1395"/>
      <c r="AE613" s="1395"/>
      <c r="AH613" s="33" t="s">
        <v>207</v>
      </c>
      <c r="AI613" s="1472"/>
      <c r="AJ613" s="1472"/>
      <c r="AK613" s="1472"/>
      <c r="AZ613" s="3"/>
      <c r="BA613" s="3"/>
      <c r="BB613" s="3"/>
      <c r="BC613" s="3"/>
      <c r="BD613" s="3"/>
      <c r="BE613" s="1494">
        <f t="shared" si="1"/>
        <v>0</v>
      </c>
      <c r="BF613" s="1496"/>
      <c r="BG613" s="1508">
        <f t="shared" si="2"/>
        <v>0</v>
      </c>
      <c r="BH613" s="1510"/>
      <c r="BI613" s="1494">
        <f t="shared" si="3"/>
        <v>0</v>
      </c>
      <c r="BJ613" s="1496"/>
      <c r="BK613" s="1508">
        <f t="shared" si="4"/>
        <v>0</v>
      </c>
      <c r="BL613" s="1510"/>
      <c r="BM613" s="3"/>
      <c r="BN613" s="1498">
        <f t="shared" si="5"/>
        <v>0</v>
      </c>
      <c r="BO613" s="1499"/>
      <c r="BP613" s="1499"/>
      <c r="BQ613" s="1499"/>
      <c r="BR613" s="1500"/>
      <c r="BS613" s="1497">
        <f t="shared" si="6"/>
        <v>0</v>
      </c>
      <c r="BT613" s="1497"/>
      <c r="BU613" s="1497"/>
      <c r="BV613" s="1497"/>
      <c r="BW613" s="1497"/>
      <c r="BX613" s="1497">
        <f t="shared" si="7"/>
        <v>0</v>
      </c>
      <c r="BY613" s="1497"/>
      <c r="BZ613" s="1497"/>
      <c r="CA613" s="1497"/>
      <c r="CB613" s="1497"/>
      <c r="CC613" s="1497">
        <f t="shared" si="8"/>
        <v>0</v>
      </c>
      <c r="CD613" s="1497"/>
      <c r="CE613" s="1497"/>
      <c r="CF613" s="1497"/>
      <c r="CG613" s="1497"/>
      <c r="CH613" s="1497">
        <f t="shared" si="9"/>
        <v>0</v>
      </c>
      <c r="CI613" s="1497"/>
      <c r="CJ613" s="1497"/>
      <c r="CK613" s="1497"/>
      <c r="CL613" s="1497"/>
      <c r="CM613" s="1497">
        <f t="shared" si="10"/>
        <v>0</v>
      </c>
      <c r="CN613" s="1497"/>
      <c r="CO613" s="1497"/>
      <c r="CP613" s="1497"/>
      <c r="CQ613" s="1497"/>
      <c r="CR613" s="6"/>
      <c r="CS613" s="1507">
        <f t="shared" si="11"/>
        <v>0</v>
      </c>
      <c r="CT613" s="1507"/>
      <c r="CU613" s="1507"/>
      <c r="CV613" s="1507"/>
      <c r="CW613" s="1507"/>
      <c r="CX613" s="1507">
        <f t="shared" si="12"/>
        <v>0</v>
      </c>
      <c r="CY613" s="1507"/>
      <c r="CZ613" s="1507"/>
      <c r="DA613" s="1507"/>
      <c r="DB613" s="1507"/>
      <c r="DC613" s="1507">
        <f t="shared" si="13"/>
        <v>0</v>
      </c>
      <c r="DD613" s="1507"/>
      <c r="DE613" s="1507"/>
      <c r="DF613" s="1507"/>
      <c r="DG613" s="1507"/>
      <c r="DH613" s="1507">
        <f t="shared" si="14"/>
        <v>0</v>
      </c>
      <c r="DI613" s="1507"/>
      <c r="DJ613" s="1507"/>
      <c r="DK613" s="1507"/>
      <c r="DL613" s="1507"/>
      <c r="DM613" s="1507">
        <f t="shared" si="15"/>
        <v>0</v>
      </c>
      <c r="DN613" s="1507"/>
      <c r="DO613" s="1507"/>
      <c r="DP613" s="1507"/>
      <c r="DQ613" s="1507"/>
      <c r="DR613" s="1507">
        <f t="shared" si="16"/>
        <v>0</v>
      </c>
      <c r="DS613" s="1507"/>
      <c r="DT613" s="1507"/>
      <c r="DU613" s="1507"/>
      <c r="DV613" s="1507"/>
      <c r="DX613" s="1494" t="str">
        <f t="shared" si="17"/>
        <v/>
      </c>
      <c r="DY613" s="1495"/>
      <c r="DZ613" s="1495"/>
      <c r="EA613" s="1495"/>
      <c r="EB613" s="1496"/>
      <c r="EC613" s="1494" t="str">
        <f t="shared" si="18"/>
        <v/>
      </c>
      <c r="ED613" s="1495"/>
      <c r="EE613" s="1495"/>
      <c r="EF613" s="1495"/>
      <c r="EG613" s="1496"/>
      <c r="EH613" s="1494" t="str">
        <f t="shared" si="19"/>
        <v/>
      </c>
      <c r="EI613" s="1495"/>
      <c r="EJ613" s="1495"/>
      <c r="EK613" s="1495"/>
      <c r="EL613" s="1496"/>
      <c r="EM613" s="1494" t="str">
        <f t="shared" si="20"/>
        <v/>
      </c>
      <c r="EN613" s="1495"/>
      <c r="EO613" s="1495"/>
      <c r="EP613" s="1495"/>
      <c r="EQ613" s="1496"/>
      <c r="ER613" s="1494" t="str">
        <f t="shared" si="21"/>
        <v/>
      </c>
      <c r="ES613" s="1495"/>
      <c r="ET613" s="1495"/>
      <c r="EU613" s="1495"/>
      <c r="EV613" s="1496"/>
      <c r="EW613" s="1494" t="str">
        <f t="shared" si="22"/>
        <v/>
      </c>
      <c r="EX613" s="1495"/>
      <c r="EY613" s="1495"/>
      <c r="EZ613" s="1495"/>
      <c r="FA613" s="1496"/>
    </row>
    <row r="614" spans="1:157" ht="12.95" customHeight="1">
      <c r="B614" t="s">
        <v>18</v>
      </c>
      <c r="H614" s="1384"/>
      <c r="I614" s="1384"/>
      <c r="J614" s="1384"/>
      <c r="K614" s="1384"/>
      <c r="L614" s="1384"/>
      <c r="M614" s="1384"/>
      <c r="N614" s="1384"/>
      <c r="O614" s="1384"/>
      <c r="P614" s="1384"/>
      <c r="Q614" s="1384"/>
      <c r="R614" s="1384"/>
      <c r="U614" t="s">
        <v>18</v>
      </c>
      <c r="AA614" s="1384"/>
      <c r="AB614" s="1384"/>
      <c r="AC614" s="1384"/>
      <c r="AD614" s="1384"/>
      <c r="AE614" s="1384"/>
      <c r="AF614" s="1384"/>
      <c r="AG614" s="1384"/>
      <c r="AH614" s="1384"/>
      <c r="AI614" s="1384"/>
      <c r="AJ614" s="1384"/>
      <c r="AK614" s="1384"/>
      <c r="AU614" s="934"/>
      <c r="AV614" s="934"/>
      <c r="AW614" s="934"/>
      <c r="AX614" s="934"/>
      <c r="AY614" s="934"/>
      <c r="AZ614" s="3"/>
      <c r="BA614" s="3"/>
      <c r="BB614" s="3"/>
      <c r="BC614" s="3"/>
      <c r="BD614" s="3"/>
      <c r="BE614" s="1494">
        <f t="shared" si="1"/>
        <v>0</v>
      </c>
      <c r="BF614" s="1496"/>
      <c r="BG614" s="1508">
        <f t="shared" si="2"/>
        <v>0</v>
      </c>
      <c r="BH614" s="1510"/>
      <c r="BI614" s="1494">
        <f t="shared" si="3"/>
        <v>0</v>
      </c>
      <c r="BJ614" s="1496"/>
      <c r="BK614" s="1508">
        <f t="shared" si="4"/>
        <v>0</v>
      </c>
      <c r="BL614" s="1510"/>
      <c r="BM614" s="3"/>
      <c r="BN614" s="1498">
        <f t="shared" si="5"/>
        <v>0</v>
      </c>
      <c r="BO614" s="1499"/>
      <c r="BP614" s="1499"/>
      <c r="BQ614" s="1499"/>
      <c r="BR614" s="1500"/>
      <c r="BS614" s="1497">
        <f t="shared" si="6"/>
        <v>0</v>
      </c>
      <c r="BT614" s="1497"/>
      <c r="BU614" s="1497"/>
      <c r="BV614" s="1497"/>
      <c r="BW614" s="1497"/>
      <c r="BX614" s="1497">
        <f t="shared" si="7"/>
        <v>0</v>
      </c>
      <c r="BY614" s="1497"/>
      <c r="BZ614" s="1497"/>
      <c r="CA614" s="1497"/>
      <c r="CB614" s="1497"/>
      <c r="CC614" s="1497">
        <f t="shared" si="8"/>
        <v>0</v>
      </c>
      <c r="CD614" s="1497"/>
      <c r="CE614" s="1497"/>
      <c r="CF614" s="1497"/>
      <c r="CG614" s="1497"/>
      <c r="CH614" s="1497">
        <f t="shared" si="9"/>
        <v>0</v>
      </c>
      <c r="CI614" s="1497"/>
      <c r="CJ614" s="1497"/>
      <c r="CK614" s="1497"/>
      <c r="CL614" s="1497"/>
      <c r="CM614" s="1497">
        <f t="shared" si="10"/>
        <v>0</v>
      </c>
      <c r="CN614" s="1497"/>
      <c r="CO614" s="1497"/>
      <c r="CP614" s="1497"/>
      <c r="CQ614" s="1497"/>
      <c r="CR614" s="6"/>
      <c r="CS614" s="1507">
        <f t="shared" si="11"/>
        <v>0</v>
      </c>
      <c r="CT614" s="1507"/>
      <c r="CU614" s="1507"/>
      <c r="CV614" s="1507"/>
      <c r="CW614" s="1507"/>
      <c r="CX614" s="1507">
        <f t="shared" si="12"/>
        <v>0</v>
      </c>
      <c r="CY614" s="1507"/>
      <c r="CZ614" s="1507"/>
      <c r="DA614" s="1507"/>
      <c r="DB614" s="1507"/>
      <c r="DC614" s="1507">
        <f t="shared" si="13"/>
        <v>0</v>
      </c>
      <c r="DD614" s="1507"/>
      <c r="DE614" s="1507"/>
      <c r="DF614" s="1507"/>
      <c r="DG614" s="1507"/>
      <c r="DH614" s="1507">
        <f t="shared" si="14"/>
        <v>0</v>
      </c>
      <c r="DI614" s="1507"/>
      <c r="DJ614" s="1507"/>
      <c r="DK614" s="1507"/>
      <c r="DL614" s="1507"/>
      <c r="DM614" s="1507">
        <f t="shared" si="15"/>
        <v>0</v>
      </c>
      <c r="DN614" s="1507"/>
      <c r="DO614" s="1507"/>
      <c r="DP614" s="1507"/>
      <c r="DQ614" s="1507"/>
      <c r="DR614" s="1507">
        <f t="shared" si="16"/>
        <v>0</v>
      </c>
      <c r="DS614" s="1507"/>
      <c r="DT614" s="1507"/>
      <c r="DU614" s="1507"/>
      <c r="DV614" s="1507"/>
      <c r="DX614" s="1494" t="str">
        <f t="shared" si="17"/>
        <v/>
      </c>
      <c r="DY614" s="1495"/>
      <c r="DZ614" s="1495"/>
      <c r="EA614" s="1495"/>
      <c r="EB614" s="1496"/>
      <c r="EC614" s="1494" t="str">
        <f t="shared" si="18"/>
        <v/>
      </c>
      <c r="ED614" s="1495"/>
      <c r="EE614" s="1495"/>
      <c r="EF614" s="1495"/>
      <c r="EG614" s="1496"/>
      <c r="EH614" s="1494" t="str">
        <f t="shared" si="19"/>
        <v/>
      </c>
      <c r="EI614" s="1495"/>
      <c r="EJ614" s="1495"/>
      <c r="EK614" s="1495"/>
      <c r="EL614" s="1496"/>
      <c r="EM614" s="1494" t="str">
        <f t="shared" si="20"/>
        <v/>
      </c>
      <c r="EN614" s="1495"/>
      <c r="EO614" s="1495"/>
      <c r="EP614" s="1495"/>
      <c r="EQ614" s="1496"/>
      <c r="ER614" s="1494" t="str">
        <f t="shared" si="21"/>
        <v/>
      </c>
      <c r="ES614" s="1495"/>
      <c r="ET614" s="1495"/>
      <c r="EU614" s="1495"/>
      <c r="EV614" s="1496"/>
      <c r="EW614" s="1494" t="str">
        <f t="shared" si="22"/>
        <v/>
      </c>
      <c r="EX614" s="1495"/>
      <c r="EY614" s="1495"/>
      <c r="EZ614" s="1495"/>
      <c r="FA614" s="1496"/>
    </row>
    <row r="615" spans="1:157" ht="12.95" customHeight="1">
      <c r="B615" t="s">
        <v>20</v>
      </c>
      <c r="N615" s="1383" t="s">
        <v>677</v>
      </c>
      <c r="O615" s="1383"/>
      <c r="U615" t="s">
        <v>20</v>
      </c>
      <c r="AG615" s="1383" t="s">
        <v>677</v>
      </c>
      <c r="AH615" s="1383"/>
      <c r="AU615" s="934"/>
      <c r="AV615" s="934"/>
      <c r="AW615" s="934"/>
      <c r="AX615" s="934"/>
      <c r="AY615" s="934"/>
      <c r="AZ615" s="3"/>
      <c r="BA615" s="3"/>
      <c r="BB615" s="3"/>
      <c r="BC615" s="3"/>
      <c r="BD615" s="3"/>
      <c r="BE615" s="1494">
        <f t="shared" si="1"/>
        <v>0</v>
      </c>
      <c r="BF615" s="1496"/>
      <c r="BG615" s="1508">
        <f t="shared" si="2"/>
        <v>0</v>
      </c>
      <c r="BH615" s="1510"/>
      <c r="BI615" s="1494">
        <f t="shared" si="3"/>
        <v>0</v>
      </c>
      <c r="BJ615" s="1496"/>
      <c r="BK615" s="1508">
        <f t="shared" si="4"/>
        <v>0</v>
      </c>
      <c r="BL615" s="1510"/>
      <c r="BM615" s="3"/>
      <c r="BN615" s="1498">
        <f t="shared" si="5"/>
        <v>0</v>
      </c>
      <c r="BO615" s="1499"/>
      <c r="BP615" s="1499"/>
      <c r="BQ615" s="1499"/>
      <c r="BR615" s="1500"/>
      <c r="BS615" s="1497">
        <f t="shared" si="6"/>
        <v>0</v>
      </c>
      <c r="BT615" s="1497"/>
      <c r="BU615" s="1497"/>
      <c r="BV615" s="1497"/>
      <c r="BW615" s="1497"/>
      <c r="BX615" s="1497">
        <f t="shared" si="7"/>
        <v>0</v>
      </c>
      <c r="BY615" s="1497"/>
      <c r="BZ615" s="1497"/>
      <c r="CA615" s="1497"/>
      <c r="CB615" s="1497"/>
      <c r="CC615" s="1497">
        <f t="shared" si="8"/>
        <v>0</v>
      </c>
      <c r="CD615" s="1497"/>
      <c r="CE615" s="1497"/>
      <c r="CF615" s="1497"/>
      <c r="CG615" s="1497"/>
      <c r="CH615" s="1497">
        <f t="shared" si="9"/>
        <v>0</v>
      </c>
      <c r="CI615" s="1497"/>
      <c r="CJ615" s="1497"/>
      <c r="CK615" s="1497"/>
      <c r="CL615" s="1497"/>
      <c r="CM615" s="1497">
        <f t="shared" si="10"/>
        <v>0</v>
      </c>
      <c r="CN615" s="1497"/>
      <c r="CO615" s="1497"/>
      <c r="CP615" s="1497"/>
      <c r="CQ615" s="1497"/>
      <c r="CR615" s="6"/>
      <c r="CS615" s="1507">
        <f t="shared" si="11"/>
        <v>0</v>
      </c>
      <c r="CT615" s="1507"/>
      <c r="CU615" s="1507"/>
      <c r="CV615" s="1507"/>
      <c r="CW615" s="1507"/>
      <c r="CX615" s="1507">
        <f t="shared" si="12"/>
        <v>0</v>
      </c>
      <c r="CY615" s="1507"/>
      <c r="CZ615" s="1507"/>
      <c r="DA615" s="1507"/>
      <c r="DB615" s="1507"/>
      <c r="DC615" s="1507">
        <f t="shared" si="13"/>
        <v>0</v>
      </c>
      <c r="DD615" s="1507"/>
      <c r="DE615" s="1507"/>
      <c r="DF615" s="1507"/>
      <c r="DG615" s="1507"/>
      <c r="DH615" s="1507">
        <f t="shared" si="14"/>
        <v>0</v>
      </c>
      <c r="DI615" s="1507"/>
      <c r="DJ615" s="1507"/>
      <c r="DK615" s="1507"/>
      <c r="DL615" s="1507"/>
      <c r="DM615" s="1507">
        <f t="shared" si="15"/>
        <v>0</v>
      </c>
      <c r="DN615" s="1507"/>
      <c r="DO615" s="1507"/>
      <c r="DP615" s="1507"/>
      <c r="DQ615" s="1507"/>
      <c r="DR615" s="1507">
        <f t="shared" si="16"/>
        <v>0</v>
      </c>
      <c r="DS615" s="1507"/>
      <c r="DT615" s="1507"/>
      <c r="DU615" s="1507"/>
      <c r="DV615" s="1507"/>
      <c r="DX615" s="1494" t="str">
        <f t="shared" si="17"/>
        <v/>
      </c>
      <c r="DY615" s="1495"/>
      <c r="DZ615" s="1495"/>
      <c r="EA615" s="1495"/>
      <c r="EB615" s="1496"/>
      <c r="EC615" s="1494" t="str">
        <f t="shared" si="18"/>
        <v/>
      </c>
      <c r="ED615" s="1495"/>
      <c r="EE615" s="1495"/>
      <c r="EF615" s="1495"/>
      <c r="EG615" s="1496"/>
      <c r="EH615" s="1494" t="str">
        <f t="shared" si="19"/>
        <v/>
      </c>
      <c r="EI615" s="1495"/>
      <c r="EJ615" s="1495"/>
      <c r="EK615" s="1495"/>
      <c r="EL615" s="1496"/>
      <c r="EM615" s="1494" t="str">
        <f t="shared" si="20"/>
        <v/>
      </c>
      <c r="EN615" s="1495"/>
      <c r="EO615" s="1495"/>
      <c r="EP615" s="1495"/>
      <c r="EQ615" s="1496"/>
      <c r="ER615" s="1494" t="str">
        <f t="shared" si="21"/>
        <v/>
      </c>
      <c r="ES615" s="1495"/>
      <c r="ET615" s="1495"/>
      <c r="EU615" s="1495"/>
      <c r="EV615" s="1496"/>
      <c r="EW615" s="1494" t="str">
        <f t="shared" si="22"/>
        <v/>
      </c>
      <c r="EX615" s="1495"/>
      <c r="EY615" s="1495"/>
      <c r="EZ615" s="1495"/>
      <c r="FA615" s="1496"/>
    </row>
    <row r="616" spans="1:157" ht="12.95" customHeight="1">
      <c r="AZ616" s="3"/>
      <c r="BA616" s="3"/>
      <c r="BB616" s="3"/>
      <c r="BC616" s="3"/>
      <c r="BD616" s="3"/>
      <c r="BE616" s="1494">
        <f t="shared" si="1"/>
        <v>0</v>
      </c>
      <c r="BF616" s="1496"/>
      <c r="BG616" s="1508">
        <f t="shared" si="2"/>
        <v>0</v>
      </c>
      <c r="BH616" s="1510"/>
      <c r="BI616" s="1494">
        <f t="shared" si="3"/>
        <v>0</v>
      </c>
      <c r="BJ616" s="1496"/>
      <c r="BK616" s="1508">
        <f t="shared" si="4"/>
        <v>0</v>
      </c>
      <c r="BL616" s="1510"/>
      <c r="BM616" s="3"/>
      <c r="BN616" s="1498">
        <f t="shared" si="5"/>
        <v>0</v>
      </c>
      <c r="BO616" s="1499"/>
      <c r="BP616" s="1499"/>
      <c r="BQ616" s="1499"/>
      <c r="BR616" s="1500"/>
      <c r="BS616" s="1497">
        <f t="shared" si="6"/>
        <v>0</v>
      </c>
      <c r="BT616" s="1497"/>
      <c r="BU616" s="1497"/>
      <c r="BV616" s="1497"/>
      <c r="BW616" s="1497"/>
      <c r="BX616" s="1497">
        <f t="shared" si="7"/>
        <v>0</v>
      </c>
      <c r="BY616" s="1497"/>
      <c r="BZ616" s="1497"/>
      <c r="CA616" s="1497"/>
      <c r="CB616" s="1497"/>
      <c r="CC616" s="1497">
        <f t="shared" si="8"/>
        <v>0</v>
      </c>
      <c r="CD616" s="1497"/>
      <c r="CE616" s="1497"/>
      <c r="CF616" s="1497"/>
      <c r="CG616" s="1497"/>
      <c r="CH616" s="1497">
        <f t="shared" si="9"/>
        <v>0</v>
      </c>
      <c r="CI616" s="1497"/>
      <c r="CJ616" s="1497"/>
      <c r="CK616" s="1497"/>
      <c r="CL616" s="1497"/>
      <c r="CM616" s="1497">
        <f t="shared" si="10"/>
        <v>0</v>
      </c>
      <c r="CN616" s="1497"/>
      <c r="CO616" s="1497"/>
      <c r="CP616" s="1497"/>
      <c r="CQ616" s="1497"/>
      <c r="CR616" s="6"/>
      <c r="CS616" s="1507">
        <f t="shared" si="11"/>
        <v>0</v>
      </c>
      <c r="CT616" s="1507"/>
      <c r="CU616" s="1507"/>
      <c r="CV616" s="1507"/>
      <c r="CW616" s="1507"/>
      <c r="CX616" s="1507">
        <f t="shared" si="12"/>
        <v>0</v>
      </c>
      <c r="CY616" s="1507"/>
      <c r="CZ616" s="1507"/>
      <c r="DA616" s="1507"/>
      <c r="DB616" s="1507"/>
      <c r="DC616" s="1507">
        <f t="shared" si="13"/>
        <v>0</v>
      </c>
      <c r="DD616" s="1507"/>
      <c r="DE616" s="1507"/>
      <c r="DF616" s="1507"/>
      <c r="DG616" s="1507"/>
      <c r="DH616" s="1507">
        <f t="shared" si="14"/>
        <v>0</v>
      </c>
      <c r="DI616" s="1507"/>
      <c r="DJ616" s="1507"/>
      <c r="DK616" s="1507"/>
      <c r="DL616" s="1507"/>
      <c r="DM616" s="1507">
        <f t="shared" si="15"/>
        <v>0</v>
      </c>
      <c r="DN616" s="1507"/>
      <c r="DO616" s="1507"/>
      <c r="DP616" s="1507"/>
      <c r="DQ616" s="1507"/>
      <c r="DR616" s="1507">
        <f t="shared" si="16"/>
        <v>0</v>
      </c>
      <c r="DS616" s="1507"/>
      <c r="DT616" s="1507"/>
      <c r="DU616" s="1507"/>
      <c r="DV616" s="1507"/>
      <c r="DX616" s="1494" t="str">
        <f t="shared" si="17"/>
        <v/>
      </c>
      <c r="DY616" s="1495"/>
      <c r="DZ616" s="1495"/>
      <c r="EA616" s="1495"/>
      <c r="EB616" s="1496"/>
      <c r="EC616" s="1494" t="str">
        <f t="shared" si="18"/>
        <v/>
      </c>
      <c r="ED616" s="1495"/>
      <c r="EE616" s="1495"/>
      <c r="EF616" s="1495"/>
      <c r="EG616" s="1496"/>
      <c r="EH616" s="1494" t="str">
        <f t="shared" si="19"/>
        <v/>
      </c>
      <c r="EI616" s="1495"/>
      <c r="EJ616" s="1495"/>
      <c r="EK616" s="1495"/>
      <c r="EL616" s="1496"/>
      <c r="EM616" s="1494" t="str">
        <f t="shared" si="20"/>
        <v/>
      </c>
      <c r="EN616" s="1495"/>
      <c r="EO616" s="1495"/>
      <c r="EP616" s="1495"/>
      <c r="EQ616" s="1496"/>
      <c r="ER616" s="1494" t="str">
        <f t="shared" si="21"/>
        <v/>
      </c>
      <c r="ES616" s="1495"/>
      <c r="ET616" s="1495"/>
      <c r="EU616" s="1495"/>
      <c r="EV616" s="1496"/>
      <c r="EW616" s="1494" t="str">
        <f t="shared" si="22"/>
        <v/>
      </c>
      <c r="EX616" s="1495"/>
      <c r="EY616" s="1495"/>
      <c r="EZ616" s="1495"/>
      <c r="FA616" s="1496"/>
    </row>
    <row r="617" spans="1:157" ht="12.95" customHeight="1">
      <c r="A617" s="1268" t="s">
        <v>552</v>
      </c>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c r="AI617" s="1268"/>
      <c r="AJ617" s="1268"/>
      <c r="AK617" s="1268"/>
      <c r="AL617" s="1268"/>
      <c r="AM617" s="1268"/>
      <c r="AN617" s="1268"/>
      <c r="AO617" s="1268"/>
      <c r="AP617" s="1268"/>
      <c r="AQ617" s="1268"/>
      <c r="AR617" s="1268"/>
      <c r="AS617" s="1268"/>
      <c r="AT617" s="1268"/>
      <c r="AZ617" s="3"/>
      <c r="BA617" s="3"/>
      <c r="BB617" s="3"/>
      <c r="BC617" s="3"/>
      <c r="BD617" s="3"/>
      <c r="BE617" s="1494">
        <f t="shared" si="1"/>
        <v>0</v>
      </c>
      <c r="BF617" s="1496"/>
      <c r="BG617" s="1508">
        <f t="shared" si="2"/>
        <v>0</v>
      </c>
      <c r="BH617" s="1510"/>
      <c r="BI617" s="1494">
        <f t="shared" si="3"/>
        <v>0</v>
      </c>
      <c r="BJ617" s="1496"/>
      <c r="BK617" s="1508">
        <f t="shared" si="4"/>
        <v>0</v>
      </c>
      <c r="BL617" s="1510"/>
      <c r="BM617" s="3"/>
      <c r="BN617" s="1498">
        <f t="shared" si="5"/>
        <v>0</v>
      </c>
      <c r="BO617" s="1499"/>
      <c r="BP617" s="1499"/>
      <c r="BQ617" s="1499"/>
      <c r="BR617" s="1500"/>
      <c r="BS617" s="1497">
        <f t="shared" si="6"/>
        <v>0</v>
      </c>
      <c r="BT617" s="1497"/>
      <c r="BU617" s="1497"/>
      <c r="BV617" s="1497"/>
      <c r="BW617" s="1497"/>
      <c r="BX617" s="1497">
        <f t="shared" si="7"/>
        <v>0</v>
      </c>
      <c r="BY617" s="1497"/>
      <c r="BZ617" s="1497"/>
      <c r="CA617" s="1497"/>
      <c r="CB617" s="1497"/>
      <c r="CC617" s="1497">
        <f t="shared" si="8"/>
        <v>0</v>
      </c>
      <c r="CD617" s="1497"/>
      <c r="CE617" s="1497"/>
      <c r="CF617" s="1497"/>
      <c r="CG617" s="1497"/>
      <c r="CH617" s="1497">
        <f t="shared" si="9"/>
        <v>0</v>
      </c>
      <c r="CI617" s="1497"/>
      <c r="CJ617" s="1497"/>
      <c r="CK617" s="1497"/>
      <c r="CL617" s="1497"/>
      <c r="CM617" s="1497">
        <f t="shared" si="10"/>
        <v>0</v>
      </c>
      <c r="CN617" s="1497"/>
      <c r="CO617" s="1497"/>
      <c r="CP617" s="1497"/>
      <c r="CQ617" s="1497"/>
      <c r="CR617" s="6"/>
      <c r="CS617" s="1507">
        <f t="shared" si="11"/>
        <v>0</v>
      </c>
      <c r="CT617" s="1507"/>
      <c r="CU617" s="1507"/>
      <c r="CV617" s="1507"/>
      <c r="CW617" s="1507"/>
      <c r="CX617" s="1507">
        <f t="shared" si="12"/>
        <v>0</v>
      </c>
      <c r="CY617" s="1507"/>
      <c r="CZ617" s="1507"/>
      <c r="DA617" s="1507"/>
      <c r="DB617" s="1507"/>
      <c r="DC617" s="1507">
        <f t="shared" si="13"/>
        <v>0</v>
      </c>
      <c r="DD617" s="1507"/>
      <c r="DE617" s="1507"/>
      <c r="DF617" s="1507"/>
      <c r="DG617" s="1507"/>
      <c r="DH617" s="1507">
        <f t="shared" si="14"/>
        <v>0</v>
      </c>
      <c r="DI617" s="1507"/>
      <c r="DJ617" s="1507"/>
      <c r="DK617" s="1507"/>
      <c r="DL617" s="1507"/>
      <c r="DM617" s="1507">
        <f t="shared" si="15"/>
        <v>0</v>
      </c>
      <c r="DN617" s="1507"/>
      <c r="DO617" s="1507"/>
      <c r="DP617" s="1507"/>
      <c r="DQ617" s="1507"/>
      <c r="DR617" s="1507">
        <f t="shared" si="16"/>
        <v>0</v>
      </c>
      <c r="DS617" s="1507"/>
      <c r="DT617" s="1507"/>
      <c r="DU617" s="1507"/>
      <c r="DV617" s="1507"/>
      <c r="DX617" s="1494" t="str">
        <f t="shared" si="17"/>
        <v/>
      </c>
      <c r="DY617" s="1495"/>
      <c r="DZ617" s="1495"/>
      <c r="EA617" s="1495"/>
      <c r="EB617" s="1496"/>
      <c r="EC617" s="1494" t="str">
        <f t="shared" si="18"/>
        <v/>
      </c>
      <c r="ED617" s="1495"/>
      <c r="EE617" s="1495"/>
      <c r="EF617" s="1495"/>
      <c r="EG617" s="1496"/>
      <c r="EH617" s="1494" t="str">
        <f t="shared" si="19"/>
        <v/>
      </c>
      <c r="EI617" s="1495"/>
      <c r="EJ617" s="1495"/>
      <c r="EK617" s="1495"/>
      <c r="EL617" s="1496"/>
      <c r="EM617" s="1494" t="str">
        <f t="shared" si="20"/>
        <v/>
      </c>
      <c r="EN617" s="1495"/>
      <c r="EO617" s="1495"/>
      <c r="EP617" s="1495"/>
      <c r="EQ617" s="1496"/>
      <c r="ER617" s="1494" t="str">
        <f t="shared" si="21"/>
        <v/>
      </c>
      <c r="ES617" s="1495"/>
      <c r="ET617" s="1495"/>
      <c r="EU617" s="1495"/>
      <c r="EV617" s="1496"/>
      <c r="EW617" s="1494" t="str">
        <f t="shared" si="22"/>
        <v/>
      </c>
      <c r="EX617" s="1495"/>
      <c r="EY617" s="1495"/>
      <c r="EZ617" s="1495"/>
      <c r="FA617" s="1496"/>
    </row>
    <row r="618" spans="1:157" ht="12.95"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c r="AI618" s="1268"/>
      <c r="AJ618" s="1268"/>
      <c r="AK618" s="1268"/>
      <c r="AL618" s="1268"/>
      <c r="AM618" s="1268"/>
      <c r="AN618" s="1268"/>
      <c r="AO618" s="1268"/>
      <c r="AP618" s="1268"/>
      <c r="AQ618" s="1268"/>
      <c r="AR618" s="1268"/>
      <c r="AS618" s="1268"/>
      <c r="AT618" s="1268"/>
      <c r="AZ618" s="3"/>
      <c r="BA618" s="3"/>
      <c r="BB618" s="3"/>
      <c r="BC618" s="3"/>
      <c r="BD618" s="3"/>
      <c r="BE618" s="1494">
        <f t="shared" si="1"/>
        <v>0</v>
      </c>
      <c r="BF618" s="1496"/>
      <c r="BG618" s="1508">
        <f t="shared" si="2"/>
        <v>0</v>
      </c>
      <c r="BH618" s="1510"/>
      <c r="BI618" s="1494">
        <f t="shared" si="3"/>
        <v>0</v>
      </c>
      <c r="BJ618" s="1496"/>
      <c r="BK618" s="1508">
        <f t="shared" si="4"/>
        <v>0</v>
      </c>
      <c r="BL618" s="1510"/>
      <c r="BM618" s="3"/>
      <c r="BN618" s="1498">
        <f t="shared" si="5"/>
        <v>0</v>
      </c>
      <c r="BO618" s="1499"/>
      <c r="BP618" s="1499"/>
      <c r="BQ618" s="1499"/>
      <c r="BR618" s="1500"/>
      <c r="BS618" s="1497">
        <f t="shared" si="6"/>
        <v>0</v>
      </c>
      <c r="BT618" s="1497"/>
      <c r="BU618" s="1497"/>
      <c r="BV618" s="1497"/>
      <c r="BW618" s="1497"/>
      <c r="BX618" s="1497">
        <f t="shared" si="7"/>
        <v>0</v>
      </c>
      <c r="BY618" s="1497"/>
      <c r="BZ618" s="1497"/>
      <c r="CA618" s="1497"/>
      <c r="CB618" s="1497"/>
      <c r="CC618" s="1497">
        <f t="shared" si="8"/>
        <v>0</v>
      </c>
      <c r="CD618" s="1497"/>
      <c r="CE618" s="1497"/>
      <c r="CF618" s="1497"/>
      <c r="CG618" s="1497"/>
      <c r="CH618" s="1497">
        <f t="shared" si="9"/>
        <v>0</v>
      </c>
      <c r="CI618" s="1497"/>
      <c r="CJ618" s="1497"/>
      <c r="CK618" s="1497"/>
      <c r="CL618" s="1497"/>
      <c r="CM618" s="1497">
        <f t="shared" si="10"/>
        <v>0</v>
      </c>
      <c r="CN618" s="1497"/>
      <c r="CO618" s="1497"/>
      <c r="CP618" s="1497"/>
      <c r="CQ618" s="1497"/>
      <c r="CR618" s="6"/>
      <c r="CS618" s="1507">
        <f t="shared" si="11"/>
        <v>0</v>
      </c>
      <c r="CT618" s="1507"/>
      <c r="CU618" s="1507"/>
      <c r="CV618" s="1507"/>
      <c r="CW618" s="1507"/>
      <c r="CX618" s="1507">
        <f t="shared" si="12"/>
        <v>0</v>
      </c>
      <c r="CY618" s="1507"/>
      <c r="CZ618" s="1507"/>
      <c r="DA618" s="1507"/>
      <c r="DB618" s="1507"/>
      <c r="DC618" s="1507">
        <f t="shared" si="13"/>
        <v>0</v>
      </c>
      <c r="DD618" s="1507"/>
      <c r="DE618" s="1507"/>
      <c r="DF618" s="1507"/>
      <c r="DG618" s="1507"/>
      <c r="DH618" s="1507">
        <f t="shared" si="14"/>
        <v>0</v>
      </c>
      <c r="DI618" s="1507"/>
      <c r="DJ618" s="1507"/>
      <c r="DK618" s="1507"/>
      <c r="DL618" s="1507"/>
      <c r="DM618" s="1507">
        <f t="shared" si="15"/>
        <v>0</v>
      </c>
      <c r="DN618" s="1507"/>
      <c r="DO618" s="1507"/>
      <c r="DP618" s="1507"/>
      <c r="DQ618" s="1507"/>
      <c r="DR618" s="1507">
        <f t="shared" si="16"/>
        <v>0</v>
      </c>
      <c r="DS618" s="1507"/>
      <c r="DT618" s="1507"/>
      <c r="DU618" s="1507"/>
      <c r="DV618" s="1507"/>
      <c r="DX618" s="1494" t="str">
        <f t="shared" si="17"/>
        <v/>
      </c>
      <c r="DY618" s="1495"/>
      <c r="DZ618" s="1495"/>
      <c r="EA618" s="1495"/>
      <c r="EB618" s="1496"/>
      <c r="EC618" s="1494" t="str">
        <f t="shared" si="18"/>
        <v/>
      </c>
      <c r="ED618" s="1495"/>
      <c r="EE618" s="1495"/>
      <c r="EF618" s="1495"/>
      <c r="EG618" s="1496"/>
      <c r="EH618" s="1494" t="str">
        <f t="shared" si="19"/>
        <v/>
      </c>
      <c r="EI618" s="1495"/>
      <c r="EJ618" s="1495"/>
      <c r="EK618" s="1495"/>
      <c r="EL618" s="1496"/>
      <c r="EM618" s="1494" t="str">
        <f t="shared" si="20"/>
        <v/>
      </c>
      <c r="EN618" s="1495"/>
      <c r="EO618" s="1495"/>
      <c r="EP618" s="1495"/>
      <c r="EQ618" s="1496"/>
      <c r="ER618" s="1494" t="str">
        <f t="shared" si="21"/>
        <v/>
      </c>
      <c r="ES618" s="1495"/>
      <c r="ET618" s="1495"/>
      <c r="EU618" s="1495"/>
      <c r="EV618" s="1496"/>
      <c r="EW618" s="1494" t="str">
        <f t="shared" si="22"/>
        <v/>
      </c>
      <c r="EX618" s="1495"/>
      <c r="EY618" s="1495"/>
      <c r="EZ618" s="1495"/>
      <c r="FA618" s="1496"/>
    </row>
    <row r="619" spans="1:157" ht="12.95" customHeight="1">
      <c r="AZ619" s="3"/>
      <c r="BA619" s="3"/>
      <c r="BB619" s="3"/>
      <c r="BC619" s="3"/>
      <c r="BD619" s="3"/>
      <c r="BE619" s="1494">
        <f t="shared" si="1"/>
        <v>0</v>
      </c>
      <c r="BF619" s="1496"/>
      <c r="BG619" s="1508">
        <f t="shared" si="2"/>
        <v>0</v>
      </c>
      <c r="BH619" s="1510"/>
      <c r="BI619" s="1494">
        <f t="shared" si="3"/>
        <v>0</v>
      </c>
      <c r="BJ619" s="1496"/>
      <c r="BK619" s="1508">
        <f t="shared" si="4"/>
        <v>0</v>
      </c>
      <c r="BL619" s="1510"/>
      <c r="BM619" s="3"/>
      <c r="BN619" s="1498">
        <f t="shared" si="5"/>
        <v>0</v>
      </c>
      <c r="BO619" s="1499"/>
      <c r="BP619" s="1499"/>
      <c r="BQ619" s="1499"/>
      <c r="BR619" s="1500"/>
      <c r="BS619" s="1497">
        <f t="shared" si="6"/>
        <v>0</v>
      </c>
      <c r="BT619" s="1497"/>
      <c r="BU619" s="1497"/>
      <c r="BV619" s="1497"/>
      <c r="BW619" s="1497"/>
      <c r="BX619" s="1497">
        <f t="shared" si="7"/>
        <v>0</v>
      </c>
      <c r="BY619" s="1497"/>
      <c r="BZ619" s="1497"/>
      <c r="CA619" s="1497"/>
      <c r="CB619" s="1497"/>
      <c r="CC619" s="1497">
        <f t="shared" si="8"/>
        <v>0</v>
      </c>
      <c r="CD619" s="1497"/>
      <c r="CE619" s="1497"/>
      <c r="CF619" s="1497"/>
      <c r="CG619" s="1497"/>
      <c r="CH619" s="1497">
        <f t="shared" si="9"/>
        <v>0</v>
      </c>
      <c r="CI619" s="1497"/>
      <c r="CJ619" s="1497"/>
      <c r="CK619" s="1497"/>
      <c r="CL619" s="1497"/>
      <c r="CM619" s="1497">
        <f t="shared" si="10"/>
        <v>0</v>
      </c>
      <c r="CN619" s="1497"/>
      <c r="CO619" s="1497"/>
      <c r="CP619" s="1497"/>
      <c r="CQ619" s="1497"/>
      <c r="CR619" s="6"/>
      <c r="CS619" s="1507">
        <f t="shared" si="11"/>
        <v>0</v>
      </c>
      <c r="CT619" s="1507"/>
      <c r="CU619" s="1507"/>
      <c r="CV619" s="1507"/>
      <c r="CW619" s="1507"/>
      <c r="CX619" s="1507">
        <f t="shared" si="12"/>
        <v>0</v>
      </c>
      <c r="CY619" s="1507"/>
      <c r="CZ619" s="1507"/>
      <c r="DA619" s="1507"/>
      <c r="DB619" s="1507"/>
      <c r="DC619" s="1507">
        <f t="shared" si="13"/>
        <v>0</v>
      </c>
      <c r="DD619" s="1507"/>
      <c r="DE619" s="1507"/>
      <c r="DF619" s="1507"/>
      <c r="DG619" s="1507"/>
      <c r="DH619" s="1507">
        <f t="shared" si="14"/>
        <v>0</v>
      </c>
      <c r="DI619" s="1507"/>
      <c r="DJ619" s="1507"/>
      <c r="DK619" s="1507"/>
      <c r="DL619" s="1507"/>
      <c r="DM619" s="1507">
        <f t="shared" si="15"/>
        <v>0</v>
      </c>
      <c r="DN619" s="1507"/>
      <c r="DO619" s="1507"/>
      <c r="DP619" s="1507"/>
      <c r="DQ619" s="1507"/>
      <c r="DR619" s="1507">
        <f t="shared" si="16"/>
        <v>0</v>
      </c>
      <c r="DS619" s="1507"/>
      <c r="DT619" s="1507"/>
      <c r="DU619" s="1507"/>
      <c r="DV619" s="1507"/>
      <c r="DX619" s="1494" t="str">
        <f t="shared" si="17"/>
        <v/>
      </c>
      <c r="DY619" s="1495"/>
      <c r="DZ619" s="1495"/>
      <c r="EA619" s="1495"/>
      <c r="EB619" s="1496"/>
      <c r="EC619" s="1494" t="str">
        <f t="shared" si="18"/>
        <v/>
      </c>
      <c r="ED619" s="1495"/>
      <c r="EE619" s="1495"/>
      <c r="EF619" s="1495"/>
      <c r="EG619" s="1496"/>
      <c r="EH619" s="1494" t="str">
        <f t="shared" si="19"/>
        <v/>
      </c>
      <c r="EI619" s="1495"/>
      <c r="EJ619" s="1495"/>
      <c r="EK619" s="1495"/>
      <c r="EL619" s="1496"/>
      <c r="EM619" s="1494" t="str">
        <f t="shared" si="20"/>
        <v/>
      </c>
      <c r="EN619" s="1495"/>
      <c r="EO619" s="1495"/>
      <c r="EP619" s="1495"/>
      <c r="EQ619" s="1496"/>
      <c r="ER619" s="1494" t="str">
        <f t="shared" si="21"/>
        <v/>
      </c>
      <c r="ES619" s="1495"/>
      <c r="ET619" s="1495"/>
      <c r="EU619" s="1495"/>
      <c r="EV619" s="1496"/>
      <c r="EW619" s="1494" t="str">
        <f t="shared" si="22"/>
        <v/>
      </c>
      <c r="EX619" s="1495"/>
      <c r="EY619" s="1495"/>
      <c r="EZ619" s="1495"/>
      <c r="FA619" s="1496"/>
    </row>
    <row r="620" spans="1:157" ht="12.95" customHeight="1">
      <c r="A620" s="2" t="s">
        <v>320</v>
      </c>
      <c r="B620" s="2"/>
      <c r="C620" s="2" t="s">
        <v>21</v>
      </c>
      <c r="AZ620" s="3"/>
      <c r="BA620" s="3"/>
      <c r="BB620" s="3"/>
      <c r="BC620" s="3"/>
      <c r="BD620" s="3"/>
      <c r="BE620" s="1494">
        <f t="shared" si="1"/>
        <v>0</v>
      </c>
      <c r="BF620" s="1496"/>
      <c r="BG620" s="1508">
        <f t="shared" si="2"/>
        <v>0</v>
      </c>
      <c r="BH620" s="1510"/>
      <c r="BI620" s="1494">
        <f t="shared" si="3"/>
        <v>0</v>
      </c>
      <c r="BJ620" s="1496"/>
      <c r="BK620" s="1508">
        <f t="shared" si="4"/>
        <v>0</v>
      </c>
      <c r="BL620" s="1510"/>
      <c r="BM620" s="3"/>
      <c r="BN620" s="1498">
        <f t="shared" si="5"/>
        <v>0</v>
      </c>
      <c r="BO620" s="1499"/>
      <c r="BP620" s="1499"/>
      <c r="BQ620" s="1499"/>
      <c r="BR620" s="1500"/>
      <c r="BS620" s="1497">
        <f t="shared" si="6"/>
        <v>0</v>
      </c>
      <c r="BT620" s="1497"/>
      <c r="BU620" s="1497"/>
      <c r="BV620" s="1497"/>
      <c r="BW620" s="1497"/>
      <c r="BX620" s="1497">
        <f t="shared" si="7"/>
        <v>0</v>
      </c>
      <c r="BY620" s="1497"/>
      <c r="BZ620" s="1497"/>
      <c r="CA620" s="1497"/>
      <c r="CB620" s="1497"/>
      <c r="CC620" s="1497">
        <f t="shared" si="8"/>
        <v>0</v>
      </c>
      <c r="CD620" s="1497"/>
      <c r="CE620" s="1497"/>
      <c r="CF620" s="1497"/>
      <c r="CG620" s="1497"/>
      <c r="CH620" s="1497">
        <f t="shared" si="9"/>
        <v>0</v>
      </c>
      <c r="CI620" s="1497"/>
      <c r="CJ620" s="1497"/>
      <c r="CK620" s="1497"/>
      <c r="CL620" s="1497"/>
      <c r="CM620" s="1497">
        <f t="shared" si="10"/>
        <v>0</v>
      </c>
      <c r="CN620" s="1497"/>
      <c r="CO620" s="1497"/>
      <c r="CP620" s="1497"/>
      <c r="CQ620" s="1497"/>
      <c r="CR620" s="6"/>
      <c r="CS620" s="1507">
        <f t="shared" si="11"/>
        <v>0</v>
      </c>
      <c r="CT620" s="1507"/>
      <c r="CU620" s="1507"/>
      <c r="CV620" s="1507"/>
      <c r="CW620" s="1507"/>
      <c r="CX620" s="1507">
        <f t="shared" si="12"/>
        <v>0</v>
      </c>
      <c r="CY620" s="1507"/>
      <c r="CZ620" s="1507"/>
      <c r="DA620" s="1507"/>
      <c r="DB620" s="1507"/>
      <c r="DC620" s="1507">
        <f t="shared" si="13"/>
        <v>0</v>
      </c>
      <c r="DD620" s="1507"/>
      <c r="DE620" s="1507"/>
      <c r="DF620" s="1507"/>
      <c r="DG620" s="1507"/>
      <c r="DH620" s="1507">
        <f t="shared" si="14"/>
        <v>0</v>
      </c>
      <c r="DI620" s="1507"/>
      <c r="DJ620" s="1507"/>
      <c r="DK620" s="1507"/>
      <c r="DL620" s="1507"/>
      <c r="DM620" s="1507">
        <f t="shared" si="15"/>
        <v>0</v>
      </c>
      <c r="DN620" s="1507"/>
      <c r="DO620" s="1507"/>
      <c r="DP620" s="1507"/>
      <c r="DQ620" s="1507"/>
      <c r="DR620" s="1507">
        <f t="shared" si="16"/>
        <v>0</v>
      </c>
      <c r="DS620" s="1507"/>
      <c r="DT620" s="1507"/>
      <c r="DU620" s="1507"/>
      <c r="DV620" s="1507"/>
      <c r="DX620" s="1494" t="str">
        <f t="shared" si="17"/>
        <v/>
      </c>
      <c r="DY620" s="1495"/>
      <c r="DZ620" s="1495"/>
      <c r="EA620" s="1495"/>
      <c r="EB620" s="1496"/>
      <c r="EC620" s="1494" t="str">
        <f t="shared" si="18"/>
        <v/>
      </c>
      <c r="ED620" s="1495"/>
      <c r="EE620" s="1495"/>
      <c r="EF620" s="1495"/>
      <c r="EG620" s="1496"/>
      <c r="EH620" s="1494" t="str">
        <f t="shared" si="19"/>
        <v/>
      </c>
      <c r="EI620" s="1495"/>
      <c r="EJ620" s="1495"/>
      <c r="EK620" s="1495"/>
      <c r="EL620" s="1496"/>
      <c r="EM620" s="1494" t="str">
        <f t="shared" si="20"/>
        <v/>
      </c>
      <c r="EN620" s="1495"/>
      <c r="EO620" s="1495"/>
      <c r="EP620" s="1495"/>
      <c r="EQ620" s="1496"/>
      <c r="ER620" s="1494" t="str">
        <f t="shared" si="21"/>
        <v/>
      </c>
      <c r="ES620" s="1495"/>
      <c r="ET620" s="1495"/>
      <c r="EU620" s="1495"/>
      <c r="EV620" s="1496"/>
      <c r="EW620" s="1494" t="str">
        <f t="shared" si="22"/>
        <v/>
      </c>
      <c r="EX620" s="1495"/>
      <c r="EY620" s="1495"/>
      <c r="EZ620" s="1495"/>
      <c r="FA620" s="1496"/>
    </row>
    <row r="621" spans="1:157" ht="12.95" customHeight="1">
      <c r="A621" s="2"/>
      <c r="B621" s="2"/>
      <c r="C621" s="2"/>
      <c r="AZ621" s="3"/>
      <c r="BA621" s="3"/>
      <c r="BB621" s="3"/>
      <c r="BC621" s="3"/>
      <c r="BD621" s="3"/>
      <c r="BE621" s="1494">
        <f t="shared" si="1"/>
        <v>0</v>
      </c>
      <c r="BF621" s="1496"/>
      <c r="BG621" s="1508">
        <f t="shared" si="2"/>
        <v>0</v>
      </c>
      <c r="BH621" s="1510"/>
      <c r="BI621" s="1494">
        <f t="shared" si="3"/>
        <v>0</v>
      </c>
      <c r="BJ621" s="1496"/>
      <c r="BK621" s="1508">
        <f t="shared" si="4"/>
        <v>0</v>
      </c>
      <c r="BL621" s="1510"/>
      <c r="BM621" s="3"/>
      <c r="BN621" s="1498">
        <f t="shared" si="5"/>
        <v>0</v>
      </c>
      <c r="BO621" s="1499"/>
      <c r="BP621" s="1499"/>
      <c r="BQ621" s="1499"/>
      <c r="BR621" s="1500"/>
      <c r="BS621" s="1497">
        <f t="shared" si="6"/>
        <v>0</v>
      </c>
      <c r="BT621" s="1497"/>
      <c r="BU621" s="1497"/>
      <c r="BV621" s="1497"/>
      <c r="BW621" s="1497"/>
      <c r="BX621" s="1497">
        <f t="shared" si="7"/>
        <v>0</v>
      </c>
      <c r="BY621" s="1497"/>
      <c r="BZ621" s="1497"/>
      <c r="CA621" s="1497"/>
      <c r="CB621" s="1497"/>
      <c r="CC621" s="1497">
        <f t="shared" si="8"/>
        <v>0</v>
      </c>
      <c r="CD621" s="1497"/>
      <c r="CE621" s="1497"/>
      <c r="CF621" s="1497"/>
      <c r="CG621" s="1497"/>
      <c r="CH621" s="1497">
        <f t="shared" si="9"/>
        <v>0</v>
      </c>
      <c r="CI621" s="1497"/>
      <c r="CJ621" s="1497"/>
      <c r="CK621" s="1497"/>
      <c r="CL621" s="1497"/>
      <c r="CM621" s="1497">
        <f t="shared" si="10"/>
        <v>0</v>
      </c>
      <c r="CN621" s="1497"/>
      <c r="CO621" s="1497"/>
      <c r="CP621" s="1497"/>
      <c r="CQ621" s="1497"/>
      <c r="CR621" s="6"/>
      <c r="CS621" s="1507">
        <f t="shared" si="11"/>
        <v>0</v>
      </c>
      <c r="CT621" s="1507"/>
      <c r="CU621" s="1507"/>
      <c r="CV621" s="1507"/>
      <c r="CW621" s="1507"/>
      <c r="CX621" s="1507">
        <f t="shared" si="12"/>
        <v>0</v>
      </c>
      <c r="CY621" s="1507"/>
      <c r="CZ621" s="1507"/>
      <c r="DA621" s="1507"/>
      <c r="DB621" s="1507"/>
      <c r="DC621" s="1507">
        <f t="shared" si="13"/>
        <v>0</v>
      </c>
      <c r="DD621" s="1507"/>
      <c r="DE621" s="1507"/>
      <c r="DF621" s="1507"/>
      <c r="DG621" s="1507"/>
      <c r="DH621" s="1507">
        <f t="shared" si="14"/>
        <v>0</v>
      </c>
      <c r="DI621" s="1507"/>
      <c r="DJ621" s="1507"/>
      <c r="DK621" s="1507"/>
      <c r="DL621" s="1507"/>
      <c r="DM621" s="1507">
        <f t="shared" si="15"/>
        <v>0</v>
      </c>
      <c r="DN621" s="1507"/>
      <c r="DO621" s="1507"/>
      <c r="DP621" s="1507"/>
      <c r="DQ621" s="1507"/>
      <c r="DR621" s="1507">
        <f t="shared" si="16"/>
        <v>0</v>
      </c>
      <c r="DS621" s="1507"/>
      <c r="DT621" s="1507"/>
      <c r="DU621" s="1507"/>
      <c r="DV621" s="1507"/>
      <c r="DX621" s="1494" t="str">
        <f t="shared" si="17"/>
        <v/>
      </c>
      <c r="DY621" s="1495"/>
      <c r="DZ621" s="1495"/>
      <c r="EA621" s="1495"/>
      <c r="EB621" s="1496"/>
      <c r="EC621" s="1494" t="str">
        <f t="shared" si="18"/>
        <v/>
      </c>
      <c r="ED621" s="1495"/>
      <c r="EE621" s="1495"/>
      <c r="EF621" s="1495"/>
      <c r="EG621" s="1496"/>
      <c r="EH621" s="1494" t="str">
        <f t="shared" si="19"/>
        <v/>
      </c>
      <c r="EI621" s="1495"/>
      <c r="EJ621" s="1495"/>
      <c r="EK621" s="1495"/>
      <c r="EL621" s="1496"/>
      <c r="EM621" s="1494" t="str">
        <f t="shared" si="20"/>
        <v/>
      </c>
      <c r="EN621" s="1495"/>
      <c r="EO621" s="1495"/>
      <c r="EP621" s="1495"/>
      <c r="EQ621" s="1496"/>
      <c r="ER621" s="1494" t="str">
        <f t="shared" si="21"/>
        <v/>
      </c>
      <c r="ES621" s="1495"/>
      <c r="ET621" s="1495"/>
      <c r="EU621" s="1495"/>
      <c r="EV621" s="1496"/>
      <c r="EW621" s="1494" t="str">
        <f t="shared" si="22"/>
        <v/>
      </c>
      <c r="EX621" s="1495"/>
      <c r="EY621" s="1495"/>
      <c r="EZ621" s="1495"/>
      <c r="FA621" s="1496"/>
    </row>
    <row r="622" spans="1:157" ht="12.95" customHeight="1">
      <c r="C622" s="2" t="s">
        <v>2418</v>
      </c>
      <c r="AZ622" s="3"/>
      <c r="BA622" s="3"/>
      <c r="BB622" s="3"/>
      <c r="BC622" s="3"/>
      <c r="BD622" s="3"/>
      <c r="BE622" s="1494">
        <f t="shared" si="1"/>
        <v>0</v>
      </c>
      <c r="BF622" s="1496"/>
      <c r="BG622" s="1508">
        <f t="shared" si="2"/>
        <v>0</v>
      </c>
      <c r="BH622" s="1510"/>
      <c r="BI622" s="1494">
        <f t="shared" si="3"/>
        <v>0</v>
      </c>
      <c r="BJ622" s="1496"/>
      <c r="BK622" s="1508">
        <f t="shared" si="4"/>
        <v>0</v>
      </c>
      <c r="BL622" s="1510"/>
      <c r="BM622" s="3"/>
      <c r="BN622" s="1498">
        <f t="shared" si="5"/>
        <v>0</v>
      </c>
      <c r="BO622" s="1499"/>
      <c r="BP622" s="1499"/>
      <c r="BQ622" s="1499"/>
      <c r="BR622" s="1500"/>
      <c r="BS622" s="1497">
        <f t="shared" si="6"/>
        <v>0</v>
      </c>
      <c r="BT622" s="1497"/>
      <c r="BU622" s="1497"/>
      <c r="BV622" s="1497"/>
      <c r="BW622" s="1497"/>
      <c r="BX622" s="1497">
        <f t="shared" si="7"/>
        <v>0</v>
      </c>
      <c r="BY622" s="1497"/>
      <c r="BZ622" s="1497"/>
      <c r="CA622" s="1497"/>
      <c r="CB622" s="1497"/>
      <c r="CC622" s="1497">
        <f t="shared" si="8"/>
        <v>0</v>
      </c>
      <c r="CD622" s="1497"/>
      <c r="CE622" s="1497"/>
      <c r="CF622" s="1497"/>
      <c r="CG622" s="1497"/>
      <c r="CH622" s="1497">
        <f t="shared" si="9"/>
        <v>0</v>
      </c>
      <c r="CI622" s="1497"/>
      <c r="CJ622" s="1497"/>
      <c r="CK622" s="1497"/>
      <c r="CL622" s="1497"/>
      <c r="CM622" s="1497">
        <f t="shared" si="10"/>
        <v>0</v>
      </c>
      <c r="CN622" s="1497"/>
      <c r="CO622" s="1497"/>
      <c r="CP622" s="1497"/>
      <c r="CQ622" s="1497"/>
      <c r="CR622" s="6"/>
      <c r="CS622" s="1507">
        <f t="shared" si="11"/>
        <v>0</v>
      </c>
      <c r="CT622" s="1507"/>
      <c r="CU622" s="1507"/>
      <c r="CV622" s="1507"/>
      <c r="CW622" s="1507"/>
      <c r="CX622" s="1507">
        <f t="shared" si="12"/>
        <v>0</v>
      </c>
      <c r="CY622" s="1507"/>
      <c r="CZ622" s="1507"/>
      <c r="DA622" s="1507"/>
      <c r="DB622" s="1507"/>
      <c r="DC622" s="1507">
        <f t="shared" si="13"/>
        <v>0</v>
      </c>
      <c r="DD622" s="1507"/>
      <c r="DE622" s="1507"/>
      <c r="DF622" s="1507"/>
      <c r="DG622" s="1507"/>
      <c r="DH622" s="1507">
        <f t="shared" si="14"/>
        <v>0</v>
      </c>
      <c r="DI622" s="1507"/>
      <c r="DJ622" s="1507"/>
      <c r="DK622" s="1507"/>
      <c r="DL622" s="1507"/>
      <c r="DM622" s="1507">
        <f t="shared" si="15"/>
        <v>0</v>
      </c>
      <c r="DN622" s="1507"/>
      <c r="DO622" s="1507"/>
      <c r="DP622" s="1507"/>
      <c r="DQ622" s="1507"/>
      <c r="DR622" s="1507">
        <f t="shared" si="16"/>
        <v>0</v>
      </c>
      <c r="DS622" s="1507"/>
      <c r="DT622" s="1507"/>
      <c r="DU622" s="1507"/>
      <c r="DV622" s="1507"/>
      <c r="DX622" s="1494" t="str">
        <f t="shared" si="17"/>
        <v/>
      </c>
      <c r="DY622" s="1495"/>
      <c r="DZ622" s="1495"/>
      <c r="EA622" s="1495"/>
      <c r="EB622" s="1496"/>
      <c r="EC622" s="1494" t="str">
        <f t="shared" si="18"/>
        <v/>
      </c>
      <c r="ED622" s="1495"/>
      <c r="EE622" s="1495"/>
      <c r="EF622" s="1495"/>
      <c r="EG622" s="1496"/>
      <c r="EH622" s="1494" t="str">
        <f t="shared" si="19"/>
        <v/>
      </c>
      <c r="EI622" s="1495"/>
      <c r="EJ622" s="1495"/>
      <c r="EK622" s="1495"/>
      <c r="EL622" s="1496"/>
      <c r="EM622" s="1494" t="str">
        <f t="shared" si="20"/>
        <v/>
      </c>
      <c r="EN622" s="1495"/>
      <c r="EO622" s="1495"/>
      <c r="EP622" s="1495"/>
      <c r="EQ622" s="1496"/>
      <c r="ER622" s="1494" t="str">
        <f t="shared" si="21"/>
        <v/>
      </c>
      <c r="ES622" s="1495"/>
      <c r="ET622" s="1495"/>
      <c r="EU622" s="1495"/>
      <c r="EV622" s="1496"/>
      <c r="EW622" s="1494" t="str">
        <f t="shared" si="22"/>
        <v/>
      </c>
      <c r="EX622" s="1495"/>
      <c r="EY622" s="1495"/>
      <c r="EZ622" s="1495"/>
      <c r="FA622" s="1496"/>
    </row>
    <row r="623" spans="1:157" ht="12.95" customHeight="1">
      <c r="B623" s="546"/>
      <c r="C623" s="2"/>
      <c r="AU623" s="3"/>
      <c r="AZ623" s="3"/>
      <c r="BA623" s="3"/>
      <c r="BB623" s="3"/>
      <c r="BC623" s="3"/>
      <c r="BD623" s="3"/>
      <c r="BE623" s="1494">
        <f t="shared" si="1"/>
        <v>0</v>
      </c>
      <c r="BF623" s="1496"/>
      <c r="BG623" s="1508">
        <f t="shared" si="2"/>
        <v>0</v>
      </c>
      <c r="BH623" s="1510"/>
      <c r="BI623" s="1494">
        <f t="shared" si="3"/>
        <v>0</v>
      </c>
      <c r="BJ623" s="1496"/>
      <c r="BK623" s="1508">
        <f t="shared" si="4"/>
        <v>0</v>
      </c>
      <c r="BL623" s="1510"/>
      <c r="BM623" s="3"/>
      <c r="BN623" s="1498">
        <f t="shared" si="5"/>
        <v>0</v>
      </c>
      <c r="BO623" s="1499"/>
      <c r="BP623" s="1499"/>
      <c r="BQ623" s="1499"/>
      <c r="BR623" s="1500"/>
      <c r="BS623" s="1497">
        <f t="shared" si="6"/>
        <v>0</v>
      </c>
      <c r="BT623" s="1497"/>
      <c r="BU623" s="1497"/>
      <c r="BV623" s="1497"/>
      <c r="BW623" s="1497"/>
      <c r="BX623" s="1497">
        <f t="shared" si="7"/>
        <v>0</v>
      </c>
      <c r="BY623" s="1497"/>
      <c r="BZ623" s="1497"/>
      <c r="CA623" s="1497"/>
      <c r="CB623" s="1497"/>
      <c r="CC623" s="1497">
        <f t="shared" si="8"/>
        <v>0</v>
      </c>
      <c r="CD623" s="1497"/>
      <c r="CE623" s="1497"/>
      <c r="CF623" s="1497"/>
      <c r="CG623" s="1497"/>
      <c r="CH623" s="1497">
        <f t="shared" si="9"/>
        <v>0</v>
      </c>
      <c r="CI623" s="1497"/>
      <c r="CJ623" s="1497"/>
      <c r="CK623" s="1497"/>
      <c r="CL623" s="1497"/>
      <c r="CM623" s="1497">
        <f t="shared" si="10"/>
        <v>0</v>
      </c>
      <c r="CN623" s="1497"/>
      <c r="CO623" s="1497"/>
      <c r="CP623" s="1497"/>
      <c r="CQ623" s="1497"/>
      <c r="CR623" s="6"/>
      <c r="CS623" s="1507">
        <f t="shared" si="11"/>
        <v>0</v>
      </c>
      <c r="CT623" s="1507"/>
      <c r="CU623" s="1507"/>
      <c r="CV623" s="1507"/>
      <c r="CW623" s="1507"/>
      <c r="CX623" s="1507">
        <f t="shared" si="12"/>
        <v>0</v>
      </c>
      <c r="CY623" s="1507"/>
      <c r="CZ623" s="1507"/>
      <c r="DA623" s="1507"/>
      <c r="DB623" s="1507"/>
      <c r="DC623" s="1507">
        <f t="shared" si="13"/>
        <v>0</v>
      </c>
      <c r="DD623" s="1507"/>
      <c r="DE623" s="1507"/>
      <c r="DF623" s="1507"/>
      <c r="DG623" s="1507"/>
      <c r="DH623" s="1507">
        <f t="shared" si="14"/>
        <v>0</v>
      </c>
      <c r="DI623" s="1507"/>
      <c r="DJ623" s="1507"/>
      <c r="DK623" s="1507"/>
      <c r="DL623" s="1507"/>
      <c r="DM623" s="1507">
        <f t="shared" si="15"/>
        <v>0</v>
      </c>
      <c r="DN623" s="1507"/>
      <c r="DO623" s="1507"/>
      <c r="DP623" s="1507"/>
      <c r="DQ623" s="1507"/>
      <c r="DR623" s="1507">
        <f t="shared" si="16"/>
        <v>0</v>
      </c>
      <c r="DS623" s="1507"/>
      <c r="DT623" s="1507"/>
      <c r="DU623" s="1507"/>
      <c r="DV623" s="1507"/>
      <c r="DX623" s="1494" t="str">
        <f t="shared" si="17"/>
        <v/>
      </c>
      <c r="DY623" s="1495"/>
      <c r="DZ623" s="1495"/>
      <c r="EA623" s="1495"/>
      <c r="EB623" s="1496"/>
      <c r="EC623" s="1494" t="str">
        <f t="shared" si="18"/>
        <v/>
      </c>
      <c r="ED623" s="1495"/>
      <c r="EE623" s="1495"/>
      <c r="EF623" s="1495"/>
      <c r="EG623" s="1496"/>
      <c r="EH623" s="1494" t="str">
        <f t="shared" si="19"/>
        <v/>
      </c>
      <c r="EI623" s="1495"/>
      <c r="EJ623" s="1495"/>
      <c r="EK623" s="1495"/>
      <c r="EL623" s="1496"/>
      <c r="EM623" s="1494" t="str">
        <f t="shared" si="20"/>
        <v/>
      </c>
      <c r="EN623" s="1495"/>
      <c r="EO623" s="1495"/>
      <c r="EP623" s="1495"/>
      <c r="EQ623" s="1496"/>
      <c r="ER623" s="1494" t="str">
        <f t="shared" si="21"/>
        <v/>
      </c>
      <c r="ES623" s="1495"/>
      <c r="ET623" s="1495"/>
      <c r="EU623" s="1495"/>
      <c r="EV623" s="1496"/>
      <c r="EW623" s="1494" t="str">
        <f t="shared" si="22"/>
        <v/>
      </c>
      <c r="EX623" s="1495"/>
      <c r="EY623" s="1495"/>
      <c r="EZ623" s="1495"/>
      <c r="FA623" s="1496"/>
    </row>
    <row r="624" spans="1:157" ht="12.95" customHeight="1">
      <c r="B624" s="1718" t="s">
        <v>2420</v>
      </c>
      <c r="C624" s="1718"/>
      <c r="D624" s="1718"/>
      <c r="E624" s="1718"/>
      <c r="F624" s="1718"/>
      <c r="G624" s="1718"/>
      <c r="H624" s="1718"/>
      <c r="I624" s="1718"/>
      <c r="J624" s="1718"/>
      <c r="K624" s="1718"/>
      <c r="L624" s="1718"/>
      <c r="M624" s="1520" t="s">
        <v>2421</v>
      </c>
      <c r="N624" s="1520"/>
      <c r="O624" s="1520"/>
      <c r="P624" s="1520"/>
      <c r="Q624" s="1520" t="s">
        <v>2042</v>
      </c>
      <c r="R624" s="1520"/>
      <c r="S624" s="1520"/>
      <c r="T624" s="1520" t="s">
        <v>2040</v>
      </c>
      <c r="U624" s="1520"/>
      <c r="V624" s="1520"/>
      <c r="W624" s="1458" t="s">
        <v>461</v>
      </c>
      <c r="X624" s="1458"/>
      <c r="Y624" s="1458"/>
      <c r="Z624" s="1514" t="s">
        <v>2450</v>
      </c>
      <c r="AA624" s="1514"/>
      <c r="AB624" s="1515"/>
      <c r="AC624" s="1721" t="s">
        <v>1863</v>
      </c>
      <c r="AD624" s="1722"/>
      <c r="AE624" s="1723"/>
      <c r="AF624" s="1711" t="s">
        <v>2229</v>
      </c>
      <c r="AG624" s="1514"/>
      <c r="AH624" s="1514"/>
      <c r="AI624" s="1514"/>
      <c r="AJ624" s="1515"/>
      <c r="AK624" s="1483" t="s">
        <v>2230</v>
      </c>
      <c r="AL624" s="1484"/>
      <c r="AM624" s="1484"/>
      <c r="AN624" s="1485"/>
      <c r="AO624" s="1520" t="s">
        <v>462</v>
      </c>
      <c r="AP624" s="1520"/>
      <c r="AQ624" s="1520"/>
      <c r="AR624" s="1520"/>
      <c r="AS624" s="1520"/>
      <c r="AU624" s="3"/>
      <c r="AZ624" s="3"/>
      <c r="BA624" s="3"/>
      <c r="BB624" s="3"/>
      <c r="BC624" s="3"/>
      <c r="BD624" s="3"/>
      <c r="BE624" s="1494">
        <f t="shared" si="1"/>
        <v>0</v>
      </c>
      <c r="BF624" s="1496"/>
      <c r="BG624" s="1508">
        <f t="shared" si="2"/>
        <v>0</v>
      </c>
      <c r="BH624" s="1510"/>
      <c r="BI624" s="1494">
        <f t="shared" si="3"/>
        <v>0</v>
      </c>
      <c r="BJ624" s="1496"/>
      <c r="BK624" s="1508">
        <f t="shared" si="4"/>
        <v>0</v>
      </c>
      <c r="BL624" s="1510"/>
      <c r="BM624" s="3"/>
      <c r="BN624" s="1498">
        <f t="shared" si="5"/>
        <v>0</v>
      </c>
      <c r="BO624" s="1499"/>
      <c r="BP624" s="1499"/>
      <c r="BQ624" s="1499"/>
      <c r="BR624" s="1500"/>
      <c r="BS624" s="1497">
        <f t="shared" si="6"/>
        <v>0</v>
      </c>
      <c r="BT624" s="1497"/>
      <c r="BU624" s="1497"/>
      <c r="BV624" s="1497"/>
      <c r="BW624" s="1497"/>
      <c r="BX624" s="1497">
        <f t="shared" si="7"/>
        <v>0</v>
      </c>
      <c r="BY624" s="1497"/>
      <c r="BZ624" s="1497"/>
      <c r="CA624" s="1497"/>
      <c r="CB624" s="1497"/>
      <c r="CC624" s="1497">
        <f t="shared" si="8"/>
        <v>0</v>
      </c>
      <c r="CD624" s="1497"/>
      <c r="CE624" s="1497"/>
      <c r="CF624" s="1497"/>
      <c r="CG624" s="1497"/>
      <c r="CH624" s="1497">
        <f t="shared" si="9"/>
        <v>0</v>
      </c>
      <c r="CI624" s="1497"/>
      <c r="CJ624" s="1497"/>
      <c r="CK624" s="1497"/>
      <c r="CL624" s="1497"/>
      <c r="CM624" s="1497">
        <f t="shared" si="10"/>
        <v>0</v>
      </c>
      <c r="CN624" s="1497"/>
      <c r="CO624" s="1497"/>
      <c r="CP624" s="1497"/>
      <c r="CQ624" s="1497"/>
      <c r="CR624" s="6"/>
      <c r="CS624" s="1507">
        <f t="shared" si="11"/>
        <v>0</v>
      </c>
      <c r="CT624" s="1507"/>
      <c r="CU624" s="1507"/>
      <c r="CV624" s="1507"/>
      <c r="CW624" s="1507"/>
      <c r="CX624" s="1507">
        <f t="shared" si="12"/>
        <v>0</v>
      </c>
      <c r="CY624" s="1507"/>
      <c r="CZ624" s="1507"/>
      <c r="DA624" s="1507"/>
      <c r="DB624" s="1507"/>
      <c r="DC624" s="1507">
        <f t="shared" si="13"/>
        <v>0</v>
      </c>
      <c r="DD624" s="1507"/>
      <c r="DE624" s="1507"/>
      <c r="DF624" s="1507"/>
      <c r="DG624" s="1507"/>
      <c r="DH624" s="1507">
        <f t="shared" si="14"/>
        <v>0</v>
      </c>
      <c r="DI624" s="1507"/>
      <c r="DJ624" s="1507"/>
      <c r="DK624" s="1507"/>
      <c r="DL624" s="1507"/>
      <c r="DM624" s="1507">
        <f t="shared" si="15"/>
        <v>0</v>
      </c>
      <c r="DN624" s="1507"/>
      <c r="DO624" s="1507"/>
      <c r="DP624" s="1507"/>
      <c r="DQ624" s="1507"/>
      <c r="DR624" s="1507">
        <f t="shared" si="16"/>
        <v>0</v>
      </c>
      <c r="DS624" s="1507"/>
      <c r="DT624" s="1507"/>
      <c r="DU624" s="1507"/>
      <c r="DV624" s="1507"/>
      <c r="DX624" s="1494" t="str">
        <f t="shared" si="17"/>
        <v/>
      </c>
      <c r="DY624" s="1495"/>
      <c r="DZ624" s="1495"/>
      <c r="EA624" s="1495"/>
      <c r="EB624" s="1496"/>
      <c r="EC624" s="1494" t="str">
        <f t="shared" si="18"/>
        <v/>
      </c>
      <c r="ED624" s="1495"/>
      <c r="EE624" s="1495"/>
      <c r="EF624" s="1495"/>
      <c r="EG624" s="1496"/>
      <c r="EH624" s="1494" t="str">
        <f t="shared" si="19"/>
        <v/>
      </c>
      <c r="EI624" s="1495"/>
      <c r="EJ624" s="1495"/>
      <c r="EK624" s="1495"/>
      <c r="EL624" s="1496"/>
      <c r="EM624" s="1494" t="str">
        <f t="shared" si="20"/>
        <v/>
      </c>
      <c r="EN624" s="1495"/>
      <c r="EO624" s="1495"/>
      <c r="EP624" s="1495"/>
      <c r="EQ624" s="1496"/>
      <c r="ER624" s="1494" t="str">
        <f t="shared" si="21"/>
        <v/>
      </c>
      <c r="ES624" s="1495"/>
      <c r="ET624" s="1495"/>
      <c r="EU624" s="1495"/>
      <c r="EV624" s="1496"/>
      <c r="EW624" s="1494" t="str">
        <f t="shared" si="22"/>
        <v/>
      </c>
      <c r="EX624" s="1495"/>
      <c r="EY624" s="1495"/>
      <c r="EZ624" s="1495"/>
      <c r="FA624" s="1496"/>
    </row>
    <row r="625" spans="2:157" ht="12.95" customHeight="1">
      <c r="B625" s="1718"/>
      <c r="C625" s="1718"/>
      <c r="D625" s="1718"/>
      <c r="E625" s="1718"/>
      <c r="F625" s="1718"/>
      <c r="G625" s="1718"/>
      <c r="H625" s="1718"/>
      <c r="I625" s="1718"/>
      <c r="J625" s="1718"/>
      <c r="K625" s="1718"/>
      <c r="L625" s="1718"/>
      <c r="M625" s="1520"/>
      <c r="N625" s="1520"/>
      <c r="O625" s="1520"/>
      <c r="P625" s="1520"/>
      <c r="Q625" s="1520"/>
      <c r="R625" s="1520"/>
      <c r="S625" s="1520"/>
      <c r="T625" s="1520"/>
      <c r="U625" s="1520"/>
      <c r="V625" s="1520"/>
      <c r="W625" s="1458"/>
      <c r="X625" s="1458"/>
      <c r="Y625" s="1458"/>
      <c r="Z625" s="1516"/>
      <c r="AA625" s="1516"/>
      <c r="AB625" s="1517"/>
      <c r="AC625" s="1724"/>
      <c r="AD625" s="1725"/>
      <c r="AE625" s="1726"/>
      <c r="AF625" s="1712"/>
      <c r="AG625" s="1516"/>
      <c r="AH625" s="1516"/>
      <c r="AI625" s="1516"/>
      <c r="AJ625" s="1517"/>
      <c r="AK625" s="1486"/>
      <c r="AL625" s="1487"/>
      <c r="AM625" s="1487"/>
      <c r="AN625" s="1488"/>
      <c r="AO625" s="1520"/>
      <c r="AP625" s="1520"/>
      <c r="AQ625" s="1520"/>
      <c r="AR625" s="1520"/>
      <c r="AS625" s="1520"/>
      <c r="AU625" s="3"/>
      <c r="AZ625" s="3"/>
      <c r="BA625" s="3"/>
      <c r="BB625" s="3"/>
      <c r="BC625" s="3"/>
      <c r="BD625" s="3"/>
      <c r="BE625" s="1494">
        <f t="shared" si="1"/>
        <v>0</v>
      </c>
      <c r="BF625" s="1496"/>
      <c r="BG625" s="1508">
        <f t="shared" si="2"/>
        <v>0</v>
      </c>
      <c r="BH625" s="1510"/>
      <c r="BI625" s="1494">
        <f t="shared" si="3"/>
        <v>0</v>
      </c>
      <c r="BJ625" s="1496"/>
      <c r="BK625" s="1508">
        <f t="shared" si="4"/>
        <v>0</v>
      </c>
      <c r="BL625" s="1510"/>
      <c r="BM625" s="3"/>
      <c r="BN625" s="1498">
        <f t="shared" si="5"/>
        <v>0</v>
      </c>
      <c r="BO625" s="1499"/>
      <c r="BP625" s="1499"/>
      <c r="BQ625" s="1499"/>
      <c r="BR625" s="1500"/>
      <c r="BS625" s="1497">
        <f t="shared" si="6"/>
        <v>0</v>
      </c>
      <c r="BT625" s="1497"/>
      <c r="BU625" s="1497"/>
      <c r="BV625" s="1497"/>
      <c r="BW625" s="1497"/>
      <c r="BX625" s="1497">
        <f t="shared" si="7"/>
        <v>0</v>
      </c>
      <c r="BY625" s="1497"/>
      <c r="BZ625" s="1497"/>
      <c r="CA625" s="1497"/>
      <c r="CB625" s="1497"/>
      <c r="CC625" s="1497">
        <f t="shared" si="8"/>
        <v>0</v>
      </c>
      <c r="CD625" s="1497"/>
      <c r="CE625" s="1497"/>
      <c r="CF625" s="1497"/>
      <c r="CG625" s="1497"/>
      <c r="CH625" s="1497">
        <f t="shared" si="9"/>
        <v>0</v>
      </c>
      <c r="CI625" s="1497"/>
      <c r="CJ625" s="1497"/>
      <c r="CK625" s="1497"/>
      <c r="CL625" s="1497"/>
      <c r="CM625" s="1497">
        <f t="shared" si="10"/>
        <v>0</v>
      </c>
      <c r="CN625" s="1497"/>
      <c r="CO625" s="1497"/>
      <c r="CP625" s="1497"/>
      <c r="CQ625" s="1497"/>
      <c r="CR625" s="6"/>
      <c r="CS625" s="1507">
        <f t="shared" si="11"/>
        <v>0</v>
      </c>
      <c r="CT625" s="1507"/>
      <c r="CU625" s="1507"/>
      <c r="CV625" s="1507"/>
      <c r="CW625" s="1507"/>
      <c r="CX625" s="1507">
        <f t="shared" si="12"/>
        <v>0</v>
      </c>
      <c r="CY625" s="1507"/>
      <c r="CZ625" s="1507"/>
      <c r="DA625" s="1507"/>
      <c r="DB625" s="1507"/>
      <c r="DC625" s="1507">
        <f t="shared" si="13"/>
        <v>0</v>
      </c>
      <c r="DD625" s="1507"/>
      <c r="DE625" s="1507"/>
      <c r="DF625" s="1507"/>
      <c r="DG625" s="1507"/>
      <c r="DH625" s="1507">
        <f t="shared" si="14"/>
        <v>0</v>
      </c>
      <c r="DI625" s="1507"/>
      <c r="DJ625" s="1507"/>
      <c r="DK625" s="1507"/>
      <c r="DL625" s="1507"/>
      <c r="DM625" s="1507">
        <f t="shared" si="15"/>
        <v>0</v>
      </c>
      <c r="DN625" s="1507"/>
      <c r="DO625" s="1507"/>
      <c r="DP625" s="1507"/>
      <c r="DQ625" s="1507"/>
      <c r="DR625" s="1507">
        <f t="shared" si="16"/>
        <v>0</v>
      </c>
      <c r="DS625" s="1507"/>
      <c r="DT625" s="1507"/>
      <c r="DU625" s="1507"/>
      <c r="DV625" s="1507"/>
      <c r="DX625" s="1494" t="str">
        <f t="shared" si="17"/>
        <v/>
      </c>
      <c r="DY625" s="1495"/>
      <c r="DZ625" s="1495"/>
      <c r="EA625" s="1495"/>
      <c r="EB625" s="1496"/>
      <c r="EC625" s="1494" t="str">
        <f t="shared" si="18"/>
        <v/>
      </c>
      <c r="ED625" s="1495"/>
      <c r="EE625" s="1495"/>
      <c r="EF625" s="1495"/>
      <c r="EG625" s="1496"/>
      <c r="EH625" s="1494" t="str">
        <f t="shared" si="19"/>
        <v/>
      </c>
      <c r="EI625" s="1495"/>
      <c r="EJ625" s="1495"/>
      <c r="EK625" s="1495"/>
      <c r="EL625" s="1496"/>
      <c r="EM625" s="1494" t="str">
        <f t="shared" si="20"/>
        <v/>
      </c>
      <c r="EN625" s="1495"/>
      <c r="EO625" s="1495"/>
      <c r="EP625" s="1495"/>
      <c r="EQ625" s="1496"/>
      <c r="ER625" s="1494" t="str">
        <f t="shared" si="21"/>
        <v/>
      </c>
      <c r="ES625" s="1495"/>
      <c r="ET625" s="1495"/>
      <c r="EU625" s="1495"/>
      <c r="EV625" s="1496"/>
      <c r="EW625" s="1494" t="str">
        <f t="shared" si="22"/>
        <v/>
      </c>
      <c r="EX625" s="1495"/>
      <c r="EY625" s="1495"/>
      <c r="EZ625" s="1495"/>
      <c r="FA625" s="1496"/>
    </row>
    <row r="626" spans="2:157" ht="12.95" customHeight="1">
      <c r="B626" s="1718"/>
      <c r="C626" s="1718"/>
      <c r="D626" s="1718"/>
      <c r="E626" s="1718"/>
      <c r="F626" s="1718"/>
      <c r="G626" s="1718"/>
      <c r="H626" s="1718"/>
      <c r="I626" s="1718"/>
      <c r="J626" s="1718"/>
      <c r="K626" s="1718"/>
      <c r="L626" s="1718"/>
      <c r="M626" s="1520"/>
      <c r="N626" s="1520"/>
      <c r="O626" s="1520"/>
      <c r="P626" s="1520"/>
      <c r="Q626" s="1520"/>
      <c r="R626" s="1520"/>
      <c r="S626" s="1520"/>
      <c r="T626" s="1520"/>
      <c r="U626" s="1520"/>
      <c r="V626" s="1520"/>
      <c r="W626" s="1458"/>
      <c r="X626" s="1458"/>
      <c r="Y626" s="1458"/>
      <c r="Z626" s="1518"/>
      <c r="AA626" s="1518"/>
      <c r="AB626" s="1519"/>
      <c r="AC626" s="1727"/>
      <c r="AD626" s="1728"/>
      <c r="AE626" s="1729"/>
      <c r="AF626" s="1713"/>
      <c r="AG626" s="1518"/>
      <c r="AH626" s="1518"/>
      <c r="AI626" s="1518"/>
      <c r="AJ626" s="1519"/>
      <c r="AK626" s="1489"/>
      <c r="AL626" s="1490"/>
      <c r="AM626" s="1490"/>
      <c r="AN626" s="1491"/>
      <c r="AO626" s="1520"/>
      <c r="AP626" s="1520"/>
      <c r="AQ626" s="1520"/>
      <c r="AR626" s="1520"/>
      <c r="AS626" s="1520"/>
      <c r="AT626" s="3"/>
      <c r="AU626" s="3"/>
      <c r="AZ626" s="3"/>
      <c r="BA626" s="3"/>
      <c r="BB626" s="3"/>
      <c r="BC626" s="3"/>
      <c r="BD626" s="3"/>
      <c r="BE626" s="1494">
        <f t="shared" si="1"/>
        <v>0</v>
      </c>
      <c r="BF626" s="1496"/>
      <c r="BG626" s="1508">
        <f t="shared" si="2"/>
        <v>0</v>
      </c>
      <c r="BH626" s="1510"/>
      <c r="BI626" s="1494">
        <f t="shared" si="3"/>
        <v>0</v>
      </c>
      <c r="BJ626" s="1496"/>
      <c r="BK626" s="1508">
        <f t="shared" si="4"/>
        <v>0</v>
      </c>
      <c r="BL626" s="1510"/>
      <c r="BM626" s="3"/>
      <c r="BN626" s="1498">
        <f t="shared" si="5"/>
        <v>0</v>
      </c>
      <c r="BO626" s="1499"/>
      <c r="BP626" s="1499"/>
      <c r="BQ626" s="1499"/>
      <c r="BR626" s="1500"/>
      <c r="BS626" s="1497">
        <f t="shared" si="6"/>
        <v>0</v>
      </c>
      <c r="BT626" s="1497"/>
      <c r="BU626" s="1497"/>
      <c r="BV626" s="1497"/>
      <c r="BW626" s="1497"/>
      <c r="BX626" s="1497">
        <f t="shared" si="7"/>
        <v>0</v>
      </c>
      <c r="BY626" s="1497"/>
      <c r="BZ626" s="1497"/>
      <c r="CA626" s="1497"/>
      <c r="CB626" s="1497"/>
      <c r="CC626" s="1497">
        <f t="shared" si="8"/>
        <v>0</v>
      </c>
      <c r="CD626" s="1497"/>
      <c r="CE626" s="1497"/>
      <c r="CF626" s="1497"/>
      <c r="CG626" s="1497"/>
      <c r="CH626" s="1497">
        <f t="shared" si="9"/>
        <v>0</v>
      </c>
      <c r="CI626" s="1497"/>
      <c r="CJ626" s="1497"/>
      <c r="CK626" s="1497"/>
      <c r="CL626" s="1497"/>
      <c r="CM626" s="1497">
        <f t="shared" si="10"/>
        <v>0</v>
      </c>
      <c r="CN626" s="1497"/>
      <c r="CO626" s="1497"/>
      <c r="CP626" s="1497"/>
      <c r="CQ626" s="1497"/>
      <c r="CR626" s="6"/>
      <c r="CS626" s="1507">
        <f t="shared" si="11"/>
        <v>0</v>
      </c>
      <c r="CT626" s="1507"/>
      <c r="CU626" s="1507"/>
      <c r="CV626" s="1507"/>
      <c r="CW626" s="1507"/>
      <c r="CX626" s="1507">
        <f t="shared" si="12"/>
        <v>0</v>
      </c>
      <c r="CY626" s="1507"/>
      <c r="CZ626" s="1507"/>
      <c r="DA626" s="1507"/>
      <c r="DB626" s="1507"/>
      <c r="DC626" s="1507">
        <f t="shared" si="13"/>
        <v>0</v>
      </c>
      <c r="DD626" s="1507"/>
      <c r="DE626" s="1507"/>
      <c r="DF626" s="1507"/>
      <c r="DG626" s="1507"/>
      <c r="DH626" s="1507">
        <f t="shared" si="14"/>
        <v>0</v>
      </c>
      <c r="DI626" s="1507"/>
      <c r="DJ626" s="1507"/>
      <c r="DK626" s="1507"/>
      <c r="DL626" s="1507"/>
      <c r="DM626" s="1507">
        <f t="shared" si="15"/>
        <v>0</v>
      </c>
      <c r="DN626" s="1507"/>
      <c r="DO626" s="1507"/>
      <c r="DP626" s="1507"/>
      <c r="DQ626" s="1507"/>
      <c r="DR626" s="1507">
        <f t="shared" si="16"/>
        <v>0</v>
      </c>
      <c r="DS626" s="1507"/>
      <c r="DT626" s="1507"/>
      <c r="DU626" s="1507"/>
      <c r="DV626" s="1507"/>
      <c r="DX626" s="1494" t="str">
        <f t="shared" si="17"/>
        <v/>
      </c>
      <c r="DY626" s="1495"/>
      <c r="DZ626" s="1495"/>
      <c r="EA626" s="1495"/>
      <c r="EB626" s="1496"/>
      <c r="EC626" s="1494" t="str">
        <f t="shared" si="18"/>
        <v/>
      </c>
      <c r="ED626" s="1495"/>
      <c r="EE626" s="1495"/>
      <c r="EF626" s="1495"/>
      <c r="EG626" s="1496"/>
      <c r="EH626" s="1494" t="str">
        <f t="shared" si="19"/>
        <v/>
      </c>
      <c r="EI626" s="1495"/>
      <c r="EJ626" s="1495"/>
      <c r="EK626" s="1495"/>
      <c r="EL626" s="1496"/>
      <c r="EM626" s="1494" t="str">
        <f t="shared" si="20"/>
        <v/>
      </c>
      <c r="EN626" s="1495"/>
      <c r="EO626" s="1495"/>
      <c r="EP626" s="1495"/>
      <c r="EQ626" s="1496"/>
      <c r="ER626" s="1494" t="str">
        <f t="shared" si="21"/>
        <v/>
      </c>
      <c r="ES626" s="1495"/>
      <c r="ET626" s="1495"/>
      <c r="EU626" s="1495"/>
      <c r="EV626" s="1496"/>
      <c r="EW626" s="1494" t="str">
        <f t="shared" si="22"/>
        <v/>
      </c>
      <c r="EX626" s="1495"/>
      <c r="EY626" s="1495"/>
      <c r="EZ626" s="1495"/>
      <c r="FA626" s="1496"/>
    </row>
    <row r="627" spans="2:157" ht="12.95" customHeight="1">
      <c r="B627" s="51" t="s">
        <v>112</v>
      </c>
      <c r="C627" s="1719" t="s">
        <v>2756</v>
      </c>
      <c r="D627" s="1719"/>
      <c r="E627" s="1719"/>
      <c r="F627" s="1719"/>
      <c r="G627" s="1719"/>
      <c r="H627" s="1719"/>
      <c r="I627" s="1719"/>
      <c r="J627" s="1719"/>
      <c r="K627" s="1719"/>
      <c r="L627" s="1719"/>
      <c r="M627" s="1457" t="s">
        <v>2431</v>
      </c>
      <c r="N627" s="1457"/>
      <c r="O627" s="1457"/>
      <c r="P627" s="1457"/>
      <c r="Q627" s="1460">
        <v>192</v>
      </c>
      <c r="R627" s="1460"/>
      <c r="S627" s="1461"/>
      <c r="T627" s="1459">
        <v>480</v>
      </c>
      <c r="U627" s="1460"/>
      <c r="V627" s="1461"/>
      <c r="W627" s="1442">
        <v>5.2299999999999999E-2</v>
      </c>
      <c r="X627" s="1443"/>
      <c r="Y627" s="1444"/>
      <c r="Z627" s="1511" t="s">
        <v>2449</v>
      </c>
      <c r="AA627" s="1512"/>
      <c r="AB627" s="1513"/>
      <c r="AC627" s="1453">
        <v>1</v>
      </c>
      <c r="AD627" s="1454"/>
      <c r="AE627" s="1455"/>
      <c r="AF627" s="1480">
        <f>PMT(W627/12,T627,-AO627)*12</f>
        <v>1447806.472402211</v>
      </c>
      <c r="AG627" s="1481"/>
      <c r="AH627" s="1481"/>
      <c r="AI627" s="1481"/>
      <c r="AJ627" s="1482"/>
      <c r="AK627" s="1462"/>
      <c r="AL627" s="1463"/>
      <c r="AM627" s="1463"/>
      <c r="AN627" s="1464"/>
      <c r="AO627" s="1524">
        <v>24250000</v>
      </c>
      <c r="AP627" s="1524"/>
      <c r="AQ627" s="1524"/>
      <c r="AR627" s="1524"/>
      <c r="AS627" s="1524"/>
      <c r="AT627" s="3"/>
      <c r="AU627" s="3"/>
      <c r="AZ627" s="3"/>
      <c r="BA627" s="3"/>
      <c r="BB627" s="3"/>
      <c r="BC627" s="3"/>
      <c r="BD627" s="3"/>
      <c r="BE627" s="1494">
        <f t="shared" si="1"/>
        <v>0</v>
      </c>
      <c r="BF627" s="1496"/>
      <c r="BG627" s="1508">
        <f t="shared" si="2"/>
        <v>0</v>
      </c>
      <c r="BH627" s="1510"/>
      <c r="BI627" s="1494">
        <f t="shared" si="3"/>
        <v>0</v>
      </c>
      <c r="BJ627" s="1496"/>
      <c r="BK627" s="1508">
        <f t="shared" si="4"/>
        <v>0</v>
      </c>
      <c r="BL627" s="1510"/>
      <c r="BM627" s="3"/>
      <c r="BN627" s="1498">
        <f t="shared" si="5"/>
        <v>0</v>
      </c>
      <c r="BO627" s="1499"/>
      <c r="BP627" s="1499"/>
      <c r="BQ627" s="1499"/>
      <c r="BR627" s="1500"/>
      <c r="BS627" s="1497">
        <f t="shared" si="6"/>
        <v>0</v>
      </c>
      <c r="BT627" s="1497"/>
      <c r="BU627" s="1497"/>
      <c r="BV627" s="1497"/>
      <c r="BW627" s="1497"/>
      <c r="BX627" s="1497">
        <f t="shared" si="7"/>
        <v>0</v>
      </c>
      <c r="BY627" s="1497"/>
      <c r="BZ627" s="1497"/>
      <c r="CA627" s="1497"/>
      <c r="CB627" s="1497"/>
      <c r="CC627" s="1497">
        <f t="shared" si="8"/>
        <v>0</v>
      </c>
      <c r="CD627" s="1497"/>
      <c r="CE627" s="1497"/>
      <c r="CF627" s="1497"/>
      <c r="CG627" s="1497"/>
      <c r="CH627" s="1497">
        <f t="shared" si="9"/>
        <v>0</v>
      </c>
      <c r="CI627" s="1497"/>
      <c r="CJ627" s="1497"/>
      <c r="CK627" s="1497"/>
      <c r="CL627" s="1497"/>
      <c r="CM627" s="1497">
        <f t="shared" si="10"/>
        <v>0</v>
      </c>
      <c r="CN627" s="1497"/>
      <c r="CO627" s="1497"/>
      <c r="CP627" s="1497"/>
      <c r="CQ627" s="1497"/>
      <c r="CR627" s="6"/>
      <c r="CS627" s="1507">
        <f t="shared" si="11"/>
        <v>0</v>
      </c>
      <c r="CT627" s="1507"/>
      <c r="CU627" s="1507"/>
      <c r="CV627" s="1507"/>
      <c r="CW627" s="1507"/>
      <c r="CX627" s="1507">
        <f t="shared" si="12"/>
        <v>0</v>
      </c>
      <c r="CY627" s="1507"/>
      <c r="CZ627" s="1507"/>
      <c r="DA627" s="1507"/>
      <c r="DB627" s="1507"/>
      <c r="DC627" s="1507">
        <f t="shared" si="13"/>
        <v>0</v>
      </c>
      <c r="DD627" s="1507"/>
      <c r="DE627" s="1507"/>
      <c r="DF627" s="1507"/>
      <c r="DG627" s="1507"/>
      <c r="DH627" s="1507">
        <f t="shared" si="14"/>
        <v>0</v>
      </c>
      <c r="DI627" s="1507"/>
      <c r="DJ627" s="1507"/>
      <c r="DK627" s="1507"/>
      <c r="DL627" s="1507"/>
      <c r="DM627" s="1507">
        <f t="shared" si="15"/>
        <v>0</v>
      </c>
      <c r="DN627" s="1507"/>
      <c r="DO627" s="1507"/>
      <c r="DP627" s="1507"/>
      <c r="DQ627" s="1507"/>
      <c r="DR627" s="1507">
        <f t="shared" si="16"/>
        <v>0</v>
      </c>
      <c r="DS627" s="1507"/>
      <c r="DT627" s="1507"/>
      <c r="DU627" s="1507"/>
      <c r="DV627" s="1507"/>
      <c r="DX627" s="1494" t="str">
        <f t="shared" si="17"/>
        <v/>
      </c>
      <c r="DY627" s="1495"/>
      <c r="DZ627" s="1495"/>
      <c r="EA627" s="1495"/>
      <c r="EB627" s="1496"/>
      <c r="EC627" s="1494" t="str">
        <f t="shared" si="18"/>
        <v/>
      </c>
      <c r="ED627" s="1495"/>
      <c r="EE627" s="1495"/>
      <c r="EF627" s="1495"/>
      <c r="EG627" s="1496"/>
      <c r="EH627" s="1494" t="str">
        <f t="shared" si="19"/>
        <v/>
      </c>
      <c r="EI627" s="1495"/>
      <c r="EJ627" s="1495"/>
      <c r="EK627" s="1495"/>
      <c r="EL627" s="1496"/>
      <c r="EM627" s="1494" t="str">
        <f t="shared" si="20"/>
        <v/>
      </c>
      <c r="EN627" s="1495"/>
      <c r="EO627" s="1495"/>
      <c r="EP627" s="1495"/>
      <c r="EQ627" s="1496"/>
      <c r="ER627" s="1494" t="str">
        <f t="shared" si="21"/>
        <v/>
      </c>
      <c r="ES627" s="1495"/>
      <c r="ET627" s="1495"/>
      <c r="EU627" s="1495"/>
      <c r="EV627" s="1496"/>
      <c r="EW627" s="1494" t="str">
        <f t="shared" si="22"/>
        <v/>
      </c>
      <c r="EX627" s="1495"/>
      <c r="EY627" s="1495"/>
      <c r="EZ627" s="1495"/>
      <c r="FA627" s="1496"/>
    </row>
    <row r="628" spans="2:157" ht="12.95" customHeight="1">
      <c r="B628" s="52" t="s">
        <v>113</v>
      </c>
      <c r="C628" s="1719" t="s">
        <v>2740</v>
      </c>
      <c r="D628" s="1719"/>
      <c r="E628" s="1719"/>
      <c r="F628" s="1719"/>
      <c r="G628" s="1719"/>
      <c r="H628" s="1719"/>
      <c r="I628" s="1719"/>
      <c r="J628" s="1719"/>
      <c r="K628" s="1719"/>
      <c r="L628" s="1719"/>
      <c r="M628" s="1457" t="s">
        <v>2429</v>
      </c>
      <c r="N628" s="1457"/>
      <c r="O628" s="1457"/>
      <c r="P628" s="1457"/>
      <c r="Q628" s="1459"/>
      <c r="R628" s="1460"/>
      <c r="S628" s="1461"/>
      <c r="T628" s="1459"/>
      <c r="U628" s="1460"/>
      <c r="V628" s="1461"/>
      <c r="W628" s="1442"/>
      <c r="X628" s="1443"/>
      <c r="Y628" s="1444"/>
      <c r="Z628" s="1511" t="s">
        <v>1290</v>
      </c>
      <c r="AA628" s="1512"/>
      <c r="AB628" s="1513"/>
      <c r="AC628" s="1453"/>
      <c r="AD628" s="1454"/>
      <c r="AE628" s="1455"/>
      <c r="AF628" s="1480"/>
      <c r="AG628" s="1481"/>
      <c r="AH628" s="1481"/>
      <c r="AI628" s="1481"/>
      <c r="AJ628" s="1482"/>
      <c r="AK628" s="1462"/>
      <c r="AL628" s="1463"/>
      <c r="AM628" s="1463"/>
      <c r="AN628" s="1464"/>
      <c r="AO628" s="1521">
        <v>100</v>
      </c>
      <c r="AP628" s="1522"/>
      <c r="AQ628" s="1522"/>
      <c r="AR628" s="1522"/>
      <c r="AS628" s="1523"/>
      <c r="AT628" s="1192" t="str">
        <f>IF(AND(NOT(C627=""),C628="",NOT(C629="")),"!","")</f>
        <v/>
      </c>
      <c r="AU628" s="3"/>
      <c r="AZ628" s="3"/>
      <c r="BA628" s="3"/>
      <c r="BB628" s="3"/>
      <c r="BC628" s="3"/>
      <c r="BD628" s="3"/>
      <c r="BE628" s="1494">
        <f t="shared" si="1"/>
        <v>0</v>
      </c>
      <c r="BF628" s="1496"/>
      <c r="BG628" s="1508">
        <f t="shared" si="2"/>
        <v>0</v>
      </c>
      <c r="BH628" s="1510"/>
      <c r="BI628" s="1494">
        <f t="shared" si="3"/>
        <v>0</v>
      </c>
      <c r="BJ628" s="1496"/>
      <c r="BK628" s="1508">
        <f t="shared" si="4"/>
        <v>0</v>
      </c>
      <c r="BL628" s="1510"/>
      <c r="BM628" s="3"/>
      <c r="BN628" s="1498">
        <f t="shared" si="5"/>
        <v>0</v>
      </c>
      <c r="BO628" s="1499"/>
      <c r="BP628" s="1499"/>
      <c r="BQ628" s="1499"/>
      <c r="BR628" s="1500"/>
      <c r="BS628" s="1497">
        <f t="shared" si="6"/>
        <v>0</v>
      </c>
      <c r="BT628" s="1497"/>
      <c r="BU628" s="1497"/>
      <c r="BV628" s="1497"/>
      <c r="BW628" s="1497"/>
      <c r="BX628" s="1497">
        <f t="shared" si="7"/>
        <v>0</v>
      </c>
      <c r="BY628" s="1497"/>
      <c r="BZ628" s="1497"/>
      <c r="CA628" s="1497"/>
      <c r="CB628" s="1497"/>
      <c r="CC628" s="1497">
        <f t="shared" si="8"/>
        <v>0</v>
      </c>
      <c r="CD628" s="1497"/>
      <c r="CE628" s="1497"/>
      <c r="CF628" s="1497"/>
      <c r="CG628" s="1497"/>
      <c r="CH628" s="1497">
        <f t="shared" si="9"/>
        <v>0</v>
      </c>
      <c r="CI628" s="1497"/>
      <c r="CJ628" s="1497"/>
      <c r="CK628" s="1497"/>
      <c r="CL628" s="1497"/>
      <c r="CM628" s="1497">
        <f t="shared" si="10"/>
        <v>0</v>
      </c>
      <c r="CN628" s="1497"/>
      <c r="CO628" s="1497"/>
      <c r="CP628" s="1497"/>
      <c r="CQ628" s="1497"/>
      <c r="CR628" s="6"/>
      <c r="CS628" s="1507">
        <f t="shared" si="11"/>
        <v>0</v>
      </c>
      <c r="CT628" s="1507"/>
      <c r="CU628" s="1507"/>
      <c r="CV628" s="1507"/>
      <c r="CW628" s="1507"/>
      <c r="CX628" s="1507">
        <f t="shared" si="12"/>
        <v>0</v>
      </c>
      <c r="CY628" s="1507"/>
      <c r="CZ628" s="1507"/>
      <c r="DA628" s="1507"/>
      <c r="DB628" s="1507"/>
      <c r="DC628" s="1507">
        <f t="shared" si="13"/>
        <v>0</v>
      </c>
      <c r="DD628" s="1507"/>
      <c r="DE628" s="1507"/>
      <c r="DF628" s="1507"/>
      <c r="DG628" s="1507"/>
      <c r="DH628" s="1507">
        <f t="shared" si="14"/>
        <v>0</v>
      </c>
      <c r="DI628" s="1507"/>
      <c r="DJ628" s="1507"/>
      <c r="DK628" s="1507"/>
      <c r="DL628" s="1507"/>
      <c r="DM628" s="1507">
        <f t="shared" si="15"/>
        <v>0</v>
      </c>
      <c r="DN628" s="1507"/>
      <c r="DO628" s="1507"/>
      <c r="DP628" s="1507"/>
      <c r="DQ628" s="1507"/>
      <c r="DR628" s="1507">
        <f t="shared" si="16"/>
        <v>0</v>
      </c>
      <c r="DS628" s="1507"/>
      <c r="DT628" s="1507"/>
      <c r="DU628" s="1507"/>
      <c r="DV628" s="1507"/>
      <c r="DX628" s="1494" t="str">
        <f t="shared" si="17"/>
        <v/>
      </c>
      <c r="DY628" s="1495"/>
      <c r="DZ628" s="1495"/>
      <c r="EA628" s="1495"/>
      <c r="EB628" s="1496"/>
      <c r="EC628" s="1494" t="str">
        <f t="shared" si="18"/>
        <v/>
      </c>
      <c r="ED628" s="1495"/>
      <c r="EE628" s="1495"/>
      <c r="EF628" s="1495"/>
      <c r="EG628" s="1496"/>
      <c r="EH628" s="1494" t="str">
        <f t="shared" si="19"/>
        <v/>
      </c>
      <c r="EI628" s="1495"/>
      <c r="EJ628" s="1495"/>
      <c r="EK628" s="1495"/>
      <c r="EL628" s="1496"/>
      <c r="EM628" s="1494" t="str">
        <f t="shared" si="20"/>
        <v/>
      </c>
      <c r="EN628" s="1495"/>
      <c r="EO628" s="1495"/>
      <c r="EP628" s="1495"/>
      <c r="EQ628" s="1496"/>
      <c r="ER628" s="1494" t="str">
        <f t="shared" si="21"/>
        <v/>
      </c>
      <c r="ES628" s="1495"/>
      <c r="ET628" s="1495"/>
      <c r="EU628" s="1495"/>
      <c r="EV628" s="1496"/>
      <c r="EW628" s="1494" t="str">
        <f t="shared" si="22"/>
        <v/>
      </c>
      <c r="EX628" s="1495"/>
      <c r="EY628" s="1495"/>
      <c r="EZ628" s="1495"/>
      <c r="FA628" s="1496"/>
    </row>
    <row r="629" spans="2:157" ht="12.95" customHeight="1">
      <c r="B629" s="52" t="s">
        <v>119</v>
      </c>
      <c r="C629" s="1719" t="s">
        <v>2741</v>
      </c>
      <c r="D629" s="1719"/>
      <c r="E629" s="1719"/>
      <c r="F629" s="1719"/>
      <c r="G629" s="1719"/>
      <c r="H629" s="1719"/>
      <c r="I629" s="1719"/>
      <c r="J629" s="1719"/>
      <c r="K629" s="1719"/>
      <c r="L629" s="1719"/>
      <c r="M629" s="1457" t="s">
        <v>2427</v>
      </c>
      <c r="N629" s="1457"/>
      <c r="O629" s="1457"/>
      <c r="P629" s="1457"/>
      <c r="Q629" s="1459"/>
      <c r="R629" s="1460"/>
      <c r="S629" s="1461"/>
      <c r="T629" s="1459"/>
      <c r="U629" s="1460"/>
      <c r="V629" s="1461"/>
      <c r="W629" s="1442"/>
      <c r="X629" s="1443"/>
      <c r="Y629" s="1444"/>
      <c r="Z629" s="1511" t="s">
        <v>1290</v>
      </c>
      <c r="AA629" s="1512"/>
      <c r="AB629" s="1513"/>
      <c r="AC629" s="1453"/>
      <c r="AD629" s="1454"/>
      <c r="AE629" s="1455"/>
      <c r="AF629" s="1480"/>
      <c r="AG629" s="1481"/>
      <c r="AH629" s="1481"/>
      <c r="AI629" s="1481"/>
      <c r="AJ629" s="1482"/>
      <c r="AK629" s="1462"/>
      <c r="AL629" s="1463"/>
      <c r="AM629" s="1463"/>
      <c r="AN629" s="1464"/>
      <c r="AO629" s="1521">
        <v>100</v>
      </c>
      <c r="AP629" s="1522"/>
      <c r="AQ629" s="1522"/>
      <c r="AR629" s="1522"/>
      <c r="AS629" s="1523"/>
      <c r="AT629" s="1192" t="str">
        <f t="shared" ref="AT629:AT638" si="23">IF(AND(NOT(C628=""),C629="",NOT(C630="")),"!","")</f>
        <v/>
      </c>
      <c r="AU629" s="3"/>
      <c r="AZ629" s="3"/>
      <c r="BA629" s="3"/>
      <c r="BB629" s="3"/>
      <c r="BC629" s="3"/>
      <c r="BD629" s="3"/>
      <c r="BE629" s="1494">
        <f t="shared" si="1"/>
        <v>0</v>
      </c>
      <c r="BF629" s="1496"/>
      <c r="BG629" s="1508">
        <f t="shared" si="2"/>
        <v>0</v>
      </c>
      <c r="BH629" s="1510"/>
      <c r="BI629" s="1494">
        <f t="shared" si="3"/>
        <v>0</v>
      </c>
      <c r="BJ629" s="1496"/>
      <c r="BK629" s="1508">
        <f t="shared" si="4"/>
        <v>0</v>
      </c>
      <c r="BL629" s="1510"/>
      <c r="BM629" s="3"/>
      <c r="BN629" s="1498">
        <f t="shared" si="5"/>
        <v>0</v>
      </c>
      <c r="BO629" s="1499"/>
      <c r="BP629" s="1499"/>
      <c r="BQ629" s="1499"/>
      <c r="BR629" s="1500"/>
      <c r="BS629" s="1497">
        <f t="shared" si="6"/>
        <v>0</v>
      </c>
      <c r="BT629" s="1497"/>
      <c r="BU629" s="1497"/>
      <c r="BV629" s="1497"/>
      <c r="BW629" s="1497"/>
      <c r="BX629" s="1497">
        <f t="shared" si="7"/>
        <v>0</v>
      </c>
      <c r="BY629" s="1497"/>
      <c r="BZ629" s="1497"/>
      <c r="CA629" s="1497"/>
      <c r="CB629" s="1497"/>
      <c r="CC629" s="1497">
        <f t="shared" si="8"/>
        <v>0</v>
      </c>
      <c r="CD629" s="1497"/>
      <c r="CE629" s="1497"/>
      <c r="CF629" s="1497"/>
      <c r="CG629" s="1497"/>
      <c r="CH629" s="1497">
        <f t="shared" si="9"/>
        <v>0</v>
      </c>
      <c r="CI629" s="1497"/>
      <c r="CJ629" s="1497"/>
      <c r="CK629" s="1497"/>
      <c r="CL629" s="1497"/>
      <c r="CM629" s="1497">
        <f t="shared" si="10"/>
        <v>0</v>
      </c>
      <c r="CN629" s="1497"/>
      <c r="CO629" s="1497"/>
      <c r="CP629" s="1497"/>
      <c r="CQ629" s="1497"/>
      <c r="CR629" s="6"/>
      <c r="CS629" s="1507">
        <f t="shared" si="11"/>
        <v>0</v>
      </c>
      <c r="CT629" s="1507"/>
      <c r="CU629" s="1507"/>
      <c r="CV629" s="1507"/>
      <c r="CW629" s="1507"/>
      <c r="CX629" s="1507">
        <f t="shared" si="12"/>
        <v>0</v>
      </c>
      <c r="CY629" s="1507"/>
      <c r="CZ629" s="1507"/>
      <c r="DA629" s="1507"/>
      <c r="DB629" s="1507"/>
      <c r="DC629" s="1507">
        <f t="shared" si="13"/>
        <v>0</v>
      </c>
      <c r="DD629" s="1507"/>
      <c r="DE629" s="1507"/>
      <c r="DF629" s="1507"/>
      <c r="DG629" s="1507"/>
      <c r="DH629" s="1507">
        <f t="shared" si="14"/>
        <v>0</v>
      </c>
      <c r="DI629" s="1507"/>
      <c r="DJ629" s="1507"/>
      <c r="DK629" s="1507"/>
      <c r="DL629" s="1507"/>
      <c r="DM629" s="1507">
        <f t="shared" si="15"/>
        <v>0</v>
      </c>
      <c r="DN629" s="1507"/>
      <c r="DO629" s="1507"/>
      <c r="DP629" s="1507"/>
      <c r="DQ629" s="1507"/>
      <c r="DR629" s="1507">
        <f t="shared" si="16"/>
        <v>0</v>
      </c>
      <c r="DS629" s="1507"/>
      <c r="DT629" s="1507"/>
      <c r="DU629" s="1507"/>
      <c r="DV629" s="1507"/>
      <c r="DX629" s="1494" t="str">
        <f t="shared" si="17"/>
        <v/>
      </c>
      <c r="DY629" s="1495"/>
      <c r="DZ629" s="1495"/>
      <c r="EA629" s="1495"/>
      <c r="EB629" s="1496"/>
      <c r="EC629" s="1494" t="str">
        <f t="shared" si="18"/>
        <v/>
      </c>
      <c r="ED629" s="1495"/>
      <c r="EE629" s="1495"/>
      <c r="EF629" s="1495"/>
      <c r="EG629" s="1496"/>
      <c r="EH629" s="1494" t="str">
        <f t="shared" si="19"/>
        <v/>
      </c>
      <c r="EI629" s="1495"/>
      <c r="EJ629" s="1495"/>
      <c r="EK629" s="1495"/>
      <c r="EL629" s="1496"/>
      <c r="EM629" s="1494" t="str">
        <f t="shared" si="20"/>
        <v/>
      </c>
      <c r="EN629" s="1495"/>
      <c r="EO629" s="1495"/>
      <c r="EP629" s="1495"/>
      <c r="EQ629" s="1496"/>
      <c r="ER629" s="1494" t="str">
        <f t="shared" si="21"/>
        <v/>
      </c>
      <c r="ES629" s="1495"/>
      <c r="ET629" s="1495"/>
      <c r="EU629" s="1495"/>
      <c r="EV629" s="1496"/>
      <c r="EW629" s="1494" t="str">
        <f t="shared" si="22"/>
        <v/>
      </c>
      <c r="EX629" s="1495"/>
      <c r="EY629" s="1495"/>
      <c r="EZ629" s="1495"/>
      <c r="FA629" s="1496"/>
    </row>
    <row r="630" spans="2:157" ht="12.95" customHeight="1">
      <c r="B630" s="52" t="s">
        <v>589</v>
      </c>
      <c r="C630" s="1719" t="s">
        <v>2742</v>
      </c>
      <c r="D630" s="1382"/>
      <c r="E630" s="1382"/>
      <c r="F630" s="1382"/>
      <c r="G630" s="1382"/>
      <c r="H630" s="1382"/>
      <c r="I630" s="1382"/>
      <c r="J630" s="1382"/>
      <c r="K630" s="1382"/>
      <c r="L630" s="1382"/>
      <c r="M630" s="1457" t="s">
        <v>2435</v>
      </c>
      <c r="N630" s="1457"/>
      <c r="O630" s="1457"/>
      <c r="P630" s="1457"/>
      <c r="Q630" s="1459"/>
      <c r="R630" s="1460"/>
      <c r="S630" s="1461"/>
      <c r="T630" s="1459"/>
      <c r="U630" s="1460"/>
      <c r="V630" s="1461"/>
      <c r="W630" s="1442">
        <v>0.06</v>
      </c>
      <c r="X630" s="1443"/>
      <c r="Y630" s="1444"/>
      <c r="Z630" s="1511" t="s">
        <v>1290</v>
      </c>
      <c r="AA630" s="1512"/>
      <c r="AB630" s="1513"/>
      <c r="AC630" s="1453"/>
      <c r="AD630" s="1454"/>
      <c r="AE630" s="1455"/>
      <c r="AF630" s="1480">
        <v>0</v>
      </c>
      <c r="AG630" s="1481"/>
      <c r="AH630" s="1481"/>
      <c r="AI630" s="1481"/>
      <c r="AJ630" s="1482"/>
      <c r="AK630" s="1462"/>
      <c r="AL630" s="1463"/>
      <c r="AM630" s="1463"/>
      <c r="AN630" s="1464"/>
      <c r="AO630" s="1521">
        <v>4039481</v>
      </c>
      <c r="AP630" s="1522"/>
      <c r="AQ630" s="1522"/>
      <c r="AR630" s="1522"/>
      <c r="AS630" s="1523"/>
      <c r="AT630" s="1192" t="str">
        <f t="shared" si="23"/>
        <v/>
      </c>
      <c r="AU630" s="3"/>
      <c r="AZ630" s="3"/>
      <c r="BA630" s="3"/>
      <c r="BB630" s="3"/>
      <c r="BC630" s="3"/>
      <c r="BD630" s="3"/>
      <c r="BE630" s="1494">
        <f t="shared" si="1"/>
        <v>0</v>
      </c>
      <c r="BF630" s="1496"/>
      <c r="BG630" s="1508">
        <f t="shared" si="2"/>
        <v>0</v>
      </c>
      <c r="BH630" s="1510"/>
      <c r="BI630" s="1494">
        <f t="shared" si="3"/>
        <v>0</v>
      </c>
      <c r="BJ630" s="1496"/>
      <c r="BK630" s="1508">
        <f t="shared" si="4"/>
        <v>0</v>
      </c>
      <c r="BL630" s="1510"/>
      <c r="BM630" s="3"/>
      <c r="BN630" s="1498">
        <f t="shared" si="5"/>
        <v>0</v>
      </c>
      <c r="BO630" s="1499"/>
      <c r="BP630" s="1499"/>
      <c r="BQ630" s="1499"/>
      <c r="BR630" s="1500"/>
      <c r="BS630" s="1497">
        <f t="shared" si="6"/>
        <v>0</v>
      </c>
      <c r="BT630" s="1497"/>
      <c r="BU630" s="1497"/>
      <c r="BV630" s="1497"/>
      <c r="BW630" s="1497"/>
      <c r="BX630" s="1497">
        <f t="shared" si="7"/>
        <v>0</v>
      </c>
      <c r="BY630" s="1497"/>
      <c r="BZ630" s="1497"/>
      <c r="CA630" s="1497"/>
      <c r="CB630" s="1497"/>
      <c r="CC630" s="1497">
        <f t="shared" si="8"/>
        <v>0</v>
      </c>
      <c r="CD630" s="1497"/>
      <c r="CE630" s="1497"/>
      <c r="CF630" s="1497"/>
      <c r="CG630" s="1497"/>
      <c r="CH630" s="1497">
        <f t="shared" si="9"/>
        <v>0</v>
      </c>
      <c r="CI630" s="1497"/>
      <c r="CJ630" s="1497"/>
      <c r="CK630" s="1497"/>
      <c r="CL630" s="1497"/>
      <c r="CM630" s="1497">
        <f t="shared" si="10"/>
        <v>0</v>
      </c>
      <c r="CN630" s="1497"/>
      <c r="CO630" s="1497"/>
      <c r="CP630" s="1497"/>
      <c r="CQ630" s="1497"/>
      <c r="CR630" s="6"/>
      <c r="CS630" s="1507">
        <f t="shared" si="11"/>
        <v>0</v>
      </c>
      <c r="CT630" s="1507"/>
      <c r="CU630" s="1507"/>
      <c r="CV630" s="1507"/>
      <c r="CW630" s="1507"/>
      <c r="CX630" s="1507">
        <f t="shared" si="12"/>
        <v>0</v>
      </c>
      <c r="CY630" s="1507"/>
      <c r="CZ630" s="1507"/>
      <c r="DA630" s="1507"/>
      <c r="DB630" s="1507"/>
      <c r="DC630" s="1507">
        <f t="shared" si="13"/>
        <v>0</v>
      </c>
      <c r="DD630" s="1507"/>
      <c r="DE630" s="1507"/>
      <c r="DF630" s="1507"/>
      <c r="DG630" s="1507"/>
      <c r="DH630" s="1507">
        <f t="shared" si="14"/>
        <v>0</v>
      </c>
      <c r="DI630" s="1507"/>
      <c r="DJ630" s="1507"/>
      <c r="DK630" s="1507"/>
      <c r="DL630" s="1507"/>
      <c r="DM630" s="1507">
        <f t="shared" si="15"/>
        <v>0</v>
      </c>
      <c r="DN630" s="1507"/>
      <c r="DO630" s="1507"/>
      <c r="DP630" s="1507"/>
      <c r="DQ630" s="1507"/>
      <c r="DR630" s="1507">
        <f t="shared" si="16"/>
        <v>0</v>
      </c>
      <c r="DS630" s="1507"/>
      <c r="DT630" s="1507"/>
      <c r="DU630" s="1507"/>
      <c r="DV630" s="1507"/>
      <c r="DX630" s="1494" t="str">
        <f t="shared" si="17"/>
        <v/>
      </c>
      <c r="DY630" s="1495"/>
      <c r="DZ630" s="1495"/>
      <c r="EA630" s="1495"/>
      <c r="EB630" s="1496"/>
      <c r="EC630" s="1494" t="str">
        <f t="shared" si="18"/>
        <v/>
      </c>
      <c r="ED630" s="1495"/>
      <c r="EE630" s="1495"/>
      <c r="EF630" s="1495"/>
      <c r="EG630" s="1496"/>
      <c r="EH630" s="1494" t="str">
        <f t="shared" si="19"/>
        <v/>
      </c>
      <c r="EI630" s="1495"/>
      <c r="EJ630" s="1495"/>
      <c r="EK630" s="1495"/>
      <c r="EL630" s="1496"/>
      <c r="EM630" s="1494" t="str">
        <f t="shared" si="20"/>
        <v/>
      </c>
      <c r="EN630" s="1495"/>
      <c r="EO630" s="1495"/>
      <c r="EP630" s="1495"/>
      <c r="EQ630" s="1496"/>
      <c r="ER630" s="1494" t="str">
        <f t="shared" si="21"/>
        <v/>
      </c>
      <c r="ES630" s="1495"/>
      <c r="ET630" s="1495"/>
      <c r="EU630" s="1495"/>
      <c r="EV630" s="1496"/>
      <c r="EW630" s="1494" t="str">
        <f t="shared" si="22"/>
        <v/>
      </c>
      <c r="EX630" s="1495"/>
      <c r="EY630" s="1495"/>
      <c r="EZ630" s="1495"/>
      <c r="FA630" s="1496"/>
    </row>
    <row r="631" spans="2:157" ht="12.95" customHeight="1">
      <c r="B631" s="52" t="s">
        <v>772</v>
      </c>
      <c r="C631" s="1719" t="s">
        <v>2743</v>
      </c>
      <c r="D631" s="1382"/>
      <c r="E631" s="1382"/>
      <c r="F631" s="1382"/>
      <c r="G631" s="1382"/>
      <c r="H631" s="1382"/>
      <c r="I631" s="1382"/>
      <c r="J631" s="1382"/>
      <c r="K631" s="1382"/>
      <c r="L631" s="1382"/>
      <c r="M631" s="1457" t="s">
        <v>2439</v>
      </c>
      <c r="N631" s="1457"/>
      <c r="O631" s="1457"/>
      <c r="P631" s="1457"/>
      <c r="Q631" s="1459"/>
      <c r="R631" s="1460"/>
      <c r="S631" s="1461"/>
      <c r="T631" s="1459"/>
      <c r="U631" s="1460"/>
      <c r="V631" s="1461"/>
      <c r="W631" s="1442"/>
      <c r="X631" s="1443"/>
      <c r="Y631" s="1444"/>
      <c r="Z631" s="1511" t="s">
        <v>1290</v>
      </c>
      <c r="AA631" s="1512"/>
      <c r="AB631" s="1513"/>
      <c r="AC631" s="1453"/>
      <c r="AD631" s="1454"/>
      <c r="AE631" s="1455"/>
      <c r="AF631" s="1480"/>
      <c r="AG631" s="1481"/>
      <c r="AH631" s="1481"/>
      <c r="AI631" s="1481"/>
      <c r="AJ631" s="1482"/>
      <c r="AK631" s="1462"/>
      <c r="AL631" s="1463"/>
      <c r="AM631" s="1463"/>
      <c r="AN631" s="1464"/>
      <c r="AO631" s="1521">
        <v>1603138</v>
      </c>
      <c r="AP631" s="1522"/>
      <c r="AQ631" s="1522"/>
      <c r="AR631" s="1522"/>
      <c r="AS631" s="1523"/>
      <c r="AT631" s="1192" t="str">
        <f t="shared" si="23"/>
        <v/>
      </c>
      <c r="AU631" s="3"/>
      <c r="AZ631" s="3"/>
      <c r="BA631" s="3"/>
      <c r="BB631" s="3"/>
      <c r="BC631" s="3"/>
      <c r="BD631" s="3"/>
      <c r="BE631" s="1494">
        <f t="shared" si="1"/>
        <v>0</v>
      </c>
      <c r="BF631" s="1496"/>
      <c r="BG631" s="1508">
        <f t="shared" si="2"/>
        <v>0</v>
      </c>
      <c r="BH631" s="1510"/>
      <c r="BI631" s="1494">
        <f t="shared" si="3"/>
        <v>0</v>
      </c>
      <c r="BJ631" s="1496"/>
      <c r="BK631" s="1508">
        <f t="shared" si="4"/>
        <v>0</v>
      </c>
      <c r="BL631" s="1510"/>
      <c r="BM631" s="3"/>
      <c r="BN631" s="1498">
        <f t="shared" si="5"/>
        <v>0</v>
      </c>
      <c r="BO631" s="1499"/>
      <c r="BP631" s="1499"/>
      <c r="BQ631" s="1499"/>
      <c r="BR631" s="1500"/>
      <c r="BS631" s="1497">
        <f t="shared" si="6"/>
        <v>0</v>
      </c>
      <c r="BT631" s="1497"/>
      <c r="BU631" s="1497"/>
      <c r="BV631" s="1497"/>
      <c r="BW631" s="1497"/>
      <c r="BX631" s="1497">
        <f t="shared" si="7"/>
        <v>0</v>
      </c>
      <c r="BY631" s="1497"/>
      <c r="BZ631" s="1497"/>
      <c r="CA631" s="1497"/>
      <c r="CB631" s="1497"/>
      <c r="CC631" s="1497">
        <f t="shared" si="8"/>
        <v>0</v>
      </c>
      <c r="CD631" s="1497"/>
      <c r="CE631" s="1497"/>
      <c r="CF631" s="1497"/>
      <c r="CG631" s="1497"/>
      <c r="CH631" s="1497">
        <f t="shared" si="9"/>
        <v>0</v>
      </c>
      <c r="CI631" s="1497"/>
      <c r="CJ631" s="1497"/>
      <c r="CK631" s="1497"/>
      <c r="CL631" s="1497"/>
      <c r="CM631" s="1497">
        <f t="shared" si="10"/>
        <v>0</v>
      </c>
      <c r="CN631" s="1497"/>
      <c r="CO631" s="1497"/>
      <c r="CP631" s="1497"/>
      <c r="CQ631" s="1497"/>
      <c r="CR631" s="6"/>
      <c r="CS631" s="1507">
        <f t="shared" si="11"/>
        <v>0</v>
      </c>
      <c r="CT631" s="1507"/>
      <c r="CU631" s="1507"/>
      <c r="CV631" s="1507"/>
      <c r="CW631" s="1507"/>
      <c r="CX631" s="1507">
        <f t="shared" si="12"/>
        <v>0</v>
      </c>
      <c r="CY631" s="1507"/>
      <c r="CZ631" s="1507"/>
      <c r="DA631" s="1507"/>
      <c r="DB631" s="1507"/>
      <c r="DC631" s="1507">
        <f t="shared" si="13"/>
        <v>0</v>
      </c>
      <c r="DD631" s="1507"/>
      <c r="DE631" s="1507"/>
      <c r="DF631" s="1507"/>
      <c r="DG631" s="1507"/>
      <c r="DH631" s="1507">
        <f t="shared" si="14"/>
        <v>0</v>
      </c>
      <c r="DI631" s="1507"/>
      <c r="DJ631" s="1507"/>
      <c r="DK631" s="1507"/>
      <c r="DL631" s="1507"/>
      <c r="DM631" s="1507">
        <f t="shared" si="15"/>
        <v>0</v>
      </c>
      <c r="DN631" s="1507"/>
      <c r="DO631" s="1507"/>
      <c r="DP631" s="1507"/>
      <c r="DQ631" s="1507"/>
      <c r="DR631" s="1507">
        <f t="shared" si="16"/>
        <v>0</v>
      </c>
      <c r="DS631" s="1507"/>
      <c r="DT631" s="1507"/>
      <c r="DU631" s="1507"/>
      <c r="DV631" s="1507"/>
      <c r="DX631" s="1494" t="str">
        <f t="shared" si="17"/>
        <v/>
      </c>
      <c r="DY631" s="1495"/>
      <c r="DZ631" s="1495"/>
      <c r="EA631" s="1495"/>
      <c r="EB631" s="1496"/>
      <c r="EC631" s="1494" t="str">
        <f t="shared" si="18"/>
        <v/>
      </c>
      <c r="ED631" s="1495"/>
      <c r="EE631" s="1495"/>
      <c r="EF631" s="1495"/>
      <c r="EG631" s="1496"/>
      <c r="EH631" s="1494" t="str">
        <f t="shared" si="19"/>
        <v/>
      </c>
      <c r="EI631" s="1495"/>
      <c r="EJ631" s="1495"/>
      <c r="EK631" s="1495"/>
      <c r="EL631" s="1496"/>
      <c r="EM631" s="1494" t="str">
        <f t="shared" si="20"/>
        <v/>
      </c>
      <c r="EN631" s="1495"/>
      <c r="EO631" s="1495"/>
      <c r="EP631" s="1495"/>
      <c r="EQ631" s="1496"/>
      <c r="ER631" s="1494" t="str">
        <f t="shared" si="21"/>
        <v/>
      </c>
      <c r="ES631" s="1495"/>
      <c r="ET631" s="1495"/>
      <c r="EU631" s="1495"/>
      <c r="EV631" s="1496"/>
      <c r="EW631" s="1494" t="str">
        <f t="shared" si="22"/>
        <v/>
      </c>
      <c r="EX631" s="1495"/>
      <c r="EY631" s="1495"/>
      <c r="EZ631" s="1495"/>
      <c r="FA631" s="1496"/>
    </row>
    <row r="632" spans="2:157" ht="12.95" customHeight="1">
      <c r="B632" s="52" t="s">
        <v>592</v>
      </c>
      <c r="C632" s="1719" t="s">
        <v>1849</v>
      </c>
      <c r="D632" s="1382"/>
      <c r="E632" s="1382"/>
      <c r="F632" s="1382"/>
      <c r="G632" s="1382"/>
      <c r="H632" s="1382"/>
      <c r="I632" s="1382"/>
      <c r="J632" s="1382"/>
      <c r="K632" s="1382"/>
      <c r="L632" s="1382"/>
      <c r="M632" s="1457" t="s">
        <v>2424</v>
      </c>
      <c r="N632" s="1457"/>
      <c r="O632" s="1457"/>
      <c r="P632" s="1457"/>
      <c r="Q632" s="1459"/>
      <c r="R632" s="1460"/>
      <c r="S632" s="1461"/>
      <c r="T632" s="1459"/>
      <c r="U632" s="1460"/>
      <c r="V632" s="1461"/>
      <c r="W632" s="1442"/>
      <c r="X632" s="1443"/>
      <c r="Y632" s="1444"/>
      <c r="Z632" s="1511" t="s">
        <v>1290</v>
      </c>
      <c r="AA632" s="1512"/>
      <c r="AB632" s="1513"/>
      <c r="AC632" s="1453"/>
      <c r="AD632" s="1454"/>
      <c r="AE632" s="1455"/>
      <c r="AF632" s="1480"/>
      <c r="AG632" s="1481"/>
      <c r="AH632" s="1481"/>
      <c r="AI632" s="1481"/>
      <c r="AJ632" s="1482"/>
      <c r="AK632" s="1462"/>
      <c r="AL632" s="1463"/>
      <c r="AM632" s="1463"/>
      <c r="AN632" s="1464"/>
      <c r="AO632" s="1521">
        <f>AM561</f>
        <v>6742396.0499999998</v>
      </c>
      <c r="AP632" s="1522"/>
      <c r="AQ632" s="1522"/>
      <c r="AR632" s="1522"/>
      <c r="AS632" s="1523"/>
      <c r="AT632" s="1192" t="str">
        <f t="shared" si="23"/>
        <v/>
      </c>
      <c r="AU632" s="3"/>
      <c r="AZ632" s="3"/>
      <c r="BA632" s="3"/>
      <c r="BB632" s="3"/>
      <c r="BC632" s="3"/>
      <c r="BD632" s="3"/>
      <c r="BE632" s="3"/>
      <c r="BF632" s="3"/>
      <c r="BG632" s="1494">
        <f>SUM(BG597:BH631)</f>
        <v>20</v>
      </c>
      <c r="BH632" s="1496"/>
      <c r="BI632" s="3"/>
      <c r="BJ632" s="3"/>
      <c r="BK632" s="1494">
        <f>SUM(BK597:BL631)</f>
        <v>20</v>
      </c>
      <c r="BL632" s="1496"/>
      <c r="BM632" s="3"/>
      <c r="BN632" s="1494">
        <f>SUM(BN597:BR631)</f>
        <v>0</v>
      </c>
      <c r="BO632" s="1495"/>
      <c r="BP632" s="1495"/>
      <c r="BQ632" s="1495"/>
      <c r="BR632" s="1496"/>
      <c r="BS632" s="1506">
        <f>SUM(BS597:BW631)</f>
        <v>148</v>
      </c>
      <c r="BT632" s="1506"/>
      <c r="BU632" s="1506"/>
      <c r="BV632" s="1506"/>
      <c r="BW632" s="1506"/>
      <c r="BX632" s="1506">
        <f>SUM(BX597:CB631)</f>
        <v>48</v>
      </c>
      <c r="BY632" s="1506"/>
      <c r="BZ632" s="1506"/>
      <c r="CA632" s="1506"/>
      <c r="CB632" s="1506"/>
      <c r="CC632" s="1506">
        <f>SUM(CC597:CG631)</f>
        <v>0</v>
      </c>
      <c r="CD632" s="1506"/>
      <c r="CE632" s="1506"/>
      <c r="CF632" s="1506"/>
      <c r="CG632" s="1506"/>
      <c r="CH632" s="1506">
        <f>SUM(CH597:CL631)</f>
        <v>0</v>
      </c>
      <c r="CI632" s="1506"/>
      <c r="CJ632" s="1506"/>
      <c r="CK632" s="1506"/>
      <c r="CL632" s="1506"/>
      <c r="CM632" s="1506">
        <f>SUM(CM597:CQ631)</f>
        <v>0</v>
      </c>
      <c r="CN632" s="1506"/>
      <c r="CO632" s="1506"/>
      <c r="CP632" s="1506"/>
      <c r="CQ632" s="1506"/>
      <c r="CR632" s="385"/>
      <c r="CS632" s="1506">
        <f>SUM(CS597:CW631)</f>
        <v>0</v>
      </c>
      <c r="CT632" s="1506"/>
      <c r="CU632" s="1506"/>
      <c r="CV632" s="1506"/>
      <c r="CW632" s="1506"/>
      <c r="CX632" s="1506">
        <f>SUM(CX597:DB631)</f>
        <v>15</v>
      </c>
      <c r="CY632" s="1506"/>
      <c r="CZ632" s="1506"/>
      <c r="DA632" s="1506"/>
      <c r="DB632" s="1506"/>
      <c r="DC632" s="1506">
        <f>SUM(DC597:DG631)</f>
        <v>5</v>
      </c>
      <c r="DD632" s="1506"/>
      <c r="DE632" s="1506"/>
      <c r="DF632" s="1506"/>
      <c r="DG632" s="1506"/>
      <c r="DH632" s="1506">
        <f>SUM(DH597:DL631)</f>
        <v>0</v>
      </c>
      <c r="DI632" s="1506"/>
      <c r="DJ632" s="1506"/>
      <c r="DK632" s="1506"/>
      <c r="DL632" s="1506"/>
      <c r="DM632" s="1506">
        <f>SUM(DM597:DQ631)</f>
        <v>0</v>
      </c>
      <c r="DN632" s="1506"/>
      <c r="DO632" s="1506"/>
      <c r="DP632" s="1506"/>
      <c r="DQ632" s="1506"/>
      <c r="DR632" s="1506">
        <f>SUM(DR597:DV631)</f>
        <v>0</v>
      </c>
      <c r="DS632" s="1506"/>
      <c r="DT632" s="1506"/>
      <c r="DU632" s="1506"/>
      <c r="DV632" s="1506"/>
      <c r="DX632" s="1506">
        <f>SUM(DX597:EB631)</f>
        <v>0</v>
      </c>
      <c r="DY632" s="1506"/>
      <c r="DZ632" s="1506"/>
      <c r="EA632" s="1506"/>
      <c r="EB632" s="1506"/>
      <c r="EC632" s="1506">
        <f>SUM(EC597:EG631)</f>
        <v>2689</v>
      </c>
      <c r="ED632" s="1506"/>
      <c r="EE632" s="1506"/>
      <c r="EF632" s="1506"/>
      <c r="EG632" s="1506"/>
      <c r="EH632" s="1506">
        <f>SUM(EH597:EL631)</f>
        <v>6452</v>
      </c>
      <c r="EI632" s="1506"/>
      <c r="EJ632" s="1506"/>
      <c r="EK632" s="1506"/>
      <c r="EL632" s="1506"/>
      <c r="EM632" s="1506">
        <f>SUM(EM597:EQ631)</f>
        <v>0</v>
      </c>
      <c r="EN632" s="1506"/>
      <c r="EO632" s="1506"/>
      <c r="EP632" s="1506"/>
      <c r="EQ632" s="1506"/>
      <c r="ER632" s="1506">
        <f>SUM(ER597:EV631)</f>
        <v>0</v>
      </c>
      <c r="ES632" s="1506"/>
      <c r="ET632" s="1506"/>
      <c r="EU632" s="1506"/>
      <c r="EV632" s="1506"/>
      <c r="EW632" s="1506">
        <f>SUM(EW597:FA631)</f>
        <v>0</v>
      </c>
      <c r="EX632" s="1506"/>
      <c r="EY632" s="1506"/>
      <c r="EZ632" s="1506"/>
      <c r="FA632" s="1506"/>
    </row>
    <row r="633" spans="2:157" ht="12.95" customHeight="1">
      <c r="B633" s="52" t="s">
        <v>463</v>
      </c>
      <c r="C633" s="1382"/>
      <c r="D633" s="1382"/>
      <c r="E633" s="1382"/>
      <c r="F633" s="1382"/>
      <c r="G633" s="1382"/>
      <c r="H633" s="1382"/>
      <c r="I633" s="1382"/>
      <c r="J633" s="1382"/>
      <c r="K633" s="1382"/>
      <c r="L633" s="1382"/>
      <c r="M633" s="1457" t="s">
        <v>1290</v>
      </c>
      <c r="N633" s="1457"/>
      <c r="O633" s="1457"/>
      <c r="P633" s="1457"/>
      <c r="Q633" s="1459"/>
      <c r="R633" s="1460"/>
      <c r="S633" s="1461"/>
      <c r="T633" s="1459"/>
      <c r="U633" s="1460"/>
      <c r="V633" s="1461"/>
      <c r="W633" s="1442"/>
      <c r="X633" s="1443"/>
      <c r="Y633" s="1444"/>
      <c r="Z633" s="1511" t="s">
        <v>1290</v>
      </c>
      <c r="AA633" s="1512"/>
      <c r="AB633" s="1513"/>
      <c r="AC633" s="1453"/>
      <c r="AD633" s="1454"/>
      <c r="AE633" s="1455"/>
      <c r="AF633" s="1480"/>
      <c r="AG633" s="1481"/>
      <c r="AH633" s="1481"/>
      <c r="AI633" s="1481"/>
      <c r="AJ633" s="1482"/>
      <c r="AK633" s="1462"/>
      <c r="AL633" s="1463"/>
      <c r="AM633" s="1463"/>
      <c r="AN633" s="1464"/>
      <c r="AO633" s="1521"/>
      <c r="AP633" s="1522"/>
      <c r="AQ633" s="1522"/>
      <c r="AR633" s="1522"/>
      <c r="AS633" s="152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94">
        <f>BN632+BS632+BX632+CC632+CH632+CM632</f>
        <v>196</v>
      </c>
      <c r="CN633" s="1495"/>
      <c r="CO633" s="1495"/>
      <c r="CP633" s="1495"/>
      <c r="CQ633" s="1496"/>
      <c r="CR633" s="385"/>
      <c r="CS633" s="3"/>
      <c r="CT633" s="3"/>
      <c r="CU633" s="3"/>
      <c r="CV633" s="3"/>
      <c r="CW633" s="3"/>
      <c r="CX633" s="3"/>
      <c r="CY633" s="3"/>
      <c r="CZ633" s="3"/>
      <c r="DA633" s="3"/>
      <c r="DB633" s="3"/>
      <c r="DC633" s="3"/>
      <c r="DD633" s="3"/>
      <c r="DE633" s="3"/>
      <c r="DF633" s="3"/>
    </row>
    <row r="634" spans="2:157" ht="12.95" customHeight="1">
      <c r="B634" s="52" t="s">
        <v>464</v>
      </c>
      <c r="C634" s="1382"/>
      <c r="D634" s="1382"/>
      <c r="E634" s="1382"/>
      <c r="F634" s="1382"/>
      <c r="G634" s="1382"/>
      <c r="H634" s="1382"/>
      <c r="I634" s="1382"/>
      <c r="J634" s="1382"/>
      <c r="K634" s="1382"/>
      <c r="L634" s="1382"/>
      <c r="M634" s="1457" t="s">
        <v>1290</v>
      </c>
      <c r="N634" s="1457"/>
      <c r="O634" s="1457"/>
      <c r="P634" s="1457"/>
      <c r="Q634" s="1459"/>
      <c r="R634" s="1460"/>
      <c r="S634" s="1461"/>
      <c r="T634" s="1459"/>
      <c r="U634" s="1460"/>
      <c r="V634" s="1461"/>
      <c r="W634" s="1442"/>
      <c r="X634" s="1443"/>
      <c r="Y634" s="1444"/>
      <c r="Z634" s="1511" t="s">
        <v>1290</v>
      </c>
      <c r="AA634" s="1512"/>
      <c r="AB634" s="1513"/>
      <c r="AC634" s="1453"/>
      <c r="AD634" s="1454"/>
      <c r="AE634" s="1455"/>
      <c r="AF634" s="1480"/>
      <c r="AG634" s="1481"/>
      <c r="AH634" s="1481"/>
      <c r="AI634" s="1481"/>
      <c r="AJ634" s="1482"/>
      <c r="AK634" s="1462"/>
      <c r="AL634" s="1463"/>
      <c r="AM634" s="1463"/>
      <c r="AN634" s="1464"/>
      <c r="AO634" s="1521"/>
      <c r="AP634" s="1522"/>
      <c r="AQ634" s="1522"/>
      <c r="AR634" s="1522"/>
      <c r="AS634" s="1523"/>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148</v>
      </c>
      <c r="BX634" s="3"/>
      <c r="BY634" s="3"/>
      <c r="BZ634" s="3"/>
      <c r="CA634" s="3"/>
      <c r="CB634" s="895">
        <f>BX632*2</f>
        <v>96</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244</v>
      </c>
      <c r="CT634" s="57" t="s">
        <v>2052</v>
      </c>
      <c r="CU634" s="3"/>
      <c r="CV634" s="3"/>
      <c r="CW634" s="3"/>
      <c r="CX634" s="3"/>
      <c r="CY634" s="3"/>
      <c r="CZ634" s="3"/>
      <c r="DA634" s="3"/>
      <c r="DB634" s="3"/>
      <c r="DC634" s="3"/>
      <c r="DD634" s="3"/>
      <c r="DE634" s="3"/>
      <c r="DF634" s="3"/>
    </row>
    <row r="635" spans="2:157" ht="12.95" customHeight="1">
      <c r="B635" s="52" t="s">
        <v>469</v>
      </c>
      <c r="C635" s="1382"/>
      <c r="D635" s="1382"/>
      <c r="E635" s="1382"/>
      <c r="F635" s="1382"/>
      <c r="G635" s="1382"/>
      <c r="H635" s="1382"/>
      <c r="I635" s="1382"/>
      <c r="J635" s="1382"/>
      <c r="K635" s="1382"/>
      <c r="L635" s="1382"/>
      <c r="M635" s="1457" t="s">
        <v>1290</v>
      </c>
      <c r="N635" s="1457"/>
      <c r="O635" s="1457"/>
      <c r="P635" s="1457"/>
      <c r="Q635" s="1459"/>
      <c r="R635" s="1460"/>
      <c r="S635" s="1461"/>
      <c r="T635" s="1459"/>
      <c r="U635" s="1460"/>
      <c r="V635" s="1461"/>
      <c r="W635" s="1442"/>
      <c r="X635" s="1443"/>
      <c r="Y635" s="1444"/>
      <c r="Z635" s="1511" t="s">
        <v>1290</v>
      </c>
      <c r="AA635" s="1512"/>
      <c r="AB635" s="1513"/>
      <c r="AC635" s="1453"/>
      <c r="AD635" s="1454"/>
      <c r="AE635" s="1455"/>
      <c r="AF635" s="1480"/>
      <c r="AG635" s="1481"/>
      <c r="AH635" s="1481"/>
      <c r="AI635" s="1481"/>
      <c r="AJ635" s="1482"/>
      <c r="AK635" s="1462"/>
      <c r="AL635" s="1463"/>
      <c r="AM635" s="1463"/>
      <c r="AN635" s="1464"/>
      <c r="AO635" s="1521"/>
      <c r="AP635" s="1522"/>
      <c r="AQ635" s="1522"/>
      <c r="AR635" s="1522"/>
      <c r="AS635" s="1523"/>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2" t="e">
        <f>DX597*(BN597/$BN$632)</f>
        <v>#VALUE!</v>
      </c>
      <c r="DY635" s="1492"/>
      <c r="DZ635" s="1492"/>
      <c r="EA635" s="1492"/>
      <c r="EB635" s="1492"/>
      <c r="EC635" s="1492">
        <f t="shared" ref="EC635:EC657" si="24">EC597*(BS597/$BS$632)</f>
        <v>58.378378378378379</v>
      </c>
      <c r="ED635" s="1492"/>
      <c r="EE635" s="1492"/>
      <c r="EF635" s="1492"/>
      <c r="EG635" s="1492"/>
      <c r="EH635" s="1492" t="e">
        <f t="shared" ref="EH635:EH657" si="25">EH597*(BX597/$BX$632)</f>
        <v>#VALUE!</v>
      </c>
      <c r="EI635" s="1492"/>
      <c r="EJ635" s="1492"/>
      <c r="EK635" s="1492"/>
      <c r="EL635" s="1492"/>
      <c r="EM635" s="1492" t="e">
        <f t="shared" ref="EM635:EM657" si="26">EM597*(CC597/$CC$632)</f>
        <v>#VALUE!</v>
      </c>
      <c r="EN635" s="1492"/>
      <c r="EO635" s="1492"/>
      <c r="EP635" s="1492"/>
      <c r="EQ635" s="1492"/>
      <c r="ER635" s="1492" t="e">
        <f t="shared" ref="ER635:ER657" si="27">ER597*(CH597/$CH$632)</f>
        <v>#VALUE!</v>
      </c>
      <c r="ES635" s="1492"/>
      <c r="ET635" s="1492"/>
      <c r="EU635" s="1492"/>
      <c r="EV635" s="1492"/>
      <c r="EW635" s="1492" t="e">
        <f t="shared" ref="EW635:EW657" si="28">EW597*(CM597/$CM$632)</f>
        <v>#VALUE!</v>
      </c>
      <c r="EX635" s="1492"/>
      <c r="EY635" s="1492"/>
      <c r="EZ635" s="1492"/>
      <c r="FA635" s="1492"/>
    </row>
    <row r="636" spans="2:157" ht="12.95" customHeight="1">
      <c r="B636" s="52" t="s">
        <v>654</v>
      </c>
      <c r="C636" s="1382"/>
      <c r="D636" s="1382"/>
      <c r="E636" s="1382"/>
      <c r="F636" s="1382"/>
      <c r="G636" s="1382"/>
      <c r="H636" s="1382"/>
      <c r="I636" s="1382"/>
      <c r="J636" s="1382"/>
      <c r="K636" s="1382"/>
      <c r="L636" s="1382"/>
      <c r="M636" s="1457" t="s">
        <v>1290</v>
      </c>
      <c r="N636" s="1457"/>
      <c r="O636" s="1457"/>
      <c r="P636" s="1457"/>
      <c r="Q636" s="1459"/>
      <c r="R636" s="1460"/>
      <c r="S636" s="1461"/>
      <c r="T636" s="1459"/>
      <c r="U636" s="1460"/>
      <c r="V636" s="1461"/>
      <c r="W636" s="1442"/>
      <c r="X636" s="1443"/>
      <c r="Y636" s="1444"/>
      <c r="Z636" s="1511" t="s">
        <v>1290</v>
      </c>
      <c r="AA636" s="1512"/>
      <c r="AB636" s="1513"/>
      <c r="AC636" s="1453"/>
      <c r="AD636" s="1454"/>
      <c r="AE636" s="1455"/>
      <c r="AF636" s="1480"/>
      <c r="AG636" s="1481"/>
      <c r="AH636" s="1481"/>
      <c r="AI636" s="1481"/>
      <c r="AJ636" s="1482"/>
      <c r="AK636" s="1462"/>
      <c r="AL636" s="1463"/>
      <c r="AM636" s="1463"/>
      <c r="AN636" s="1464"/>
      <c r="AO636" s="1521"/>
      <c r="AP636" s="1522"/>
      <c r="AQ636" s="1522"/>
      <c r="AR636" s="1522"/>
      <c r="AS636" s="1523"/>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2" t="e">
        <f t="shared" ref="DX636:DX657" si="29">DX598*(BN598/$BN$632)</f>
        <v>#VALUE!</v>
      </c>
      <c r="DY636" s="1492"/>
      <c r="DZ636" s="1492"/>
      <c r="EA636" s="1492"/>
      <c r="EB636" s="1492"/>
      <c r="EC636" s="1492">
        <f t="shared" si="24"/>
        <v>97.297297297297305</v>
      </c>
      <c r="ED636" s="1492"/>
      <c r="EE636" s="1492"/>
      <c r="EF636" s="1492"/>
      <c r="EG636" s="1492"/>
      <c r="EH636" s="1492" t="e">
        <f t="shared" si="25"/>
        <v>#VALUE!</v>
      </c>
      <c r="EI636" s="1492"/>
      <c r="EJ636" s="1492"/>
      <c r="EK636" s="1492"/>
      <c r="EL636" s="1492"/>
      <c r="EM636" s="1492" t="e">
        <f t="shared" si="26"/>
        <v>#VALUE!</v>
      </c>
      <c r="EN636" s="1492"/>
      <c r="EO636" s="1492"/>
      <c r="EP636" s="1492"/>
      <c r="EQ636" s="1492"/>
      <c r="ER636" s="1492" t="e">
        <f t="shared" si="27"/>
        <v>#VALUE!</v>
      </c>
      <c r="ES636" s="1492"/>
      <c r="ET636" s="1492"/>
      <c r="EU636" s="1492"/>
      <c r="EV636" s="1492"/>
      <c r="EW636" s="1492" t="e">
        <f t="shared" si="28"/>
        <v>#VALUE!</v>
      </c>
      <c r="EX636" s="1492"/>
      <c r="EY636" s="1492"/>
      <c r="EZ636" s="1492"/>
      <c r="FA636" s="1492"/>
    </row>
    <row r="637" spans="2:157" ht="12.95" customHeight="1">
      <c r="B637" s="52" t="s">
        <v>363</v>
      </c>
      <c r="C637" s="1382"/>
      <c r="D637" s="1382"/>
      <c r="E637" s="1382"/>
      <c r="F637" s="1382"/>
      <c r="G637" s="1382"/>
      <c r="H637" s="1382"/>
      <c r="I637" s="1382"/>
      <c r="J637" s="1382"/>
      <c r="K637" s="1382"/>
      <c r="L637" s="1382"/>
      <c r="M637" s="1457" t="s">
        <v>1290</v>
      </c>
      <c r="N637" s="1457"/>
      <c r="O637" s="1457"/>
      <c r="P637" s="1457"/>
      <c r="Q637" s="1459"/>
      <c r="R637" s="1460"/>
      <c r="S637" s="1461"/>
      <c r="T637" s="1459"/>
      <c r="U637" s="1460"/>
      <c r="V637" s="1461"/>
      <c r="W637" s="1442"/>
      <c r="X637" s="1443"/>
      <c r="Y637" s="1444"/>
      <c r="Z637" s="1511" t="s">
        <v>1290</v>
      </c>
      <c r="AA637" s="1512"/>
      <c r="AB637" s="1513"/>
      <c r="AC637" s="1453"/>
      <c r="AD637" s="1454"/>
      <c r="AE637" s="1455"/>
      <c r="AF637" s="1480"/>
      <c r="AG637" s="1481"/>
      <c r="AH637" s="1481"/>
      <c r="AI637" s="1481"/>
      <c r="AJ637" s="1482"/>
      <c r="AK637" s="1462"/>
      <c r="AL637" s="1463"/>
      <c r="AM637" s="1463"/>
      <c r="AN637" s="1464"/>
      <c r="AO637" s="1521"/>
      <c r="AP637" s="1522"/>
      <c r="AQ637" s="1522"/>
      <c r="AR637" s="1522"/>
      <c r="AS637" s="1523"/>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8">
        <f>IF(J773="SRO/Studio",O773,0)</f>
        <v>0</v>
      </c>
      <c r="BO637" s="1499"/>
      <c r="BP637" s="1499"/>
      <c r="BQ637" s="1499"/>
      <c r="BR637" s="1500"/>
      <c r="BS637" s="1497">
        <f>IF(J773="1 Bedroom",O773,0)</f>
        <v>0</v>
      </c>
      <c r="BT637" s="1497"/>
      <c r="BU637" s="1497"/>
      <c r="BV637" s="1497"/>
      <c r="BW637" s="1497"/>
      <c r="BX637" s="1497">
        <f>IF(J773="2 Bedrooms",O773,0)</f>
        <v>1</v>
      </c>
      <c r="BY637" s="1497"/>
      <c r="BZ637" s="1497"/>
      <c r="CA637" s="1497"/>
      <c r="CB637" s="1497"/>
      <c r="CC637" s="1497">
        <f>IF(J773="3 Bedrooms",O773,0)</f>
        <v>0</v>
      </c>
      <c r="CD637" s="1497"/>
      <c r="CE637" s="1497"/>
      <c r="CF637" s="1497"/>
      <c r="CG637" s="1497"/>
      <c r="CH637" s="1497">
        <f>IF(J773="4 Bedrooms",O773,0)</f>
        <v>0</v>
      </c>
      <c r="CI637" s="1497"/>
      <c r="CJ637" s="1497"/>
      <c r="CK637" s="1497"/>
      <c r="CL637" s="1497"/>
      <c r="CM637" s="1497">
        <f>IF(J773="5 Bedrooms",O773,0)</f>
        <v>0</v>
      </c>
      <c r="CN637" s="1497"/>
      <c r="CO637" s="1497"/>
      <c r="CP637" s="1497"/>
      <c r="CQ637" s="1497"/>
      <c r="CR637" s="6"/>
      <c r="CS637" s="3"/>
      <c r="CT637" s="3"/>
      <c r="CU637" s="3"/>
      <c r="CV637" s="3"/>
      <c r="CW637" s="3"/>
      <c r="CX637" s="3"/>
      <c r="CY637" s="3"/>
      <c r="CZ637" s="3"/>
      <c r="DA637" s="3"/>
      <c r="DB637" s="3"/>
      <c r="DC637" s="3"/>
      <c r="DD637" s="3"/>
      <c r="DE637" s="3"/>
      <c r="DF637" s="3"/>
      <c r="DX637" s="1492" t="e">
        <f t="shared" si="29"/>
        <v>#VALUE!</v>
      </c>
      <c r="DY637" s="1492"/>
      <c r="DZ637" s="1492"/>
      <c r="EA637" s="1492"/>
      <c r="EB637" s="1492"/>
      <c r="EC637" s="1492">
        <f t="shared" si="24"/>
        <v>919.28378378378375</v>
      </c>
      <c r="ED637" s="1492"/>
      <c r="EE637" s="1492"/>
      <c r="EF637" s="1492"/>
      <c r="EG637" s="1492"/>
      <c r="EH637" s="1492" t="e">
        <f t="shared" si="25"/>
        <v>#VALUE!</v>
      </c>
      <c r="EI637" s="1492"/>
      <c r="EJ637" s="1492"/>
      <c r="EK637" s="1492"/>
      <c r="EL637" s="1492"/>
      <c r="EM637" s="1492" t="e">
        <f t="shared" si="26"/>
        <v>#VALUE!</v>
      </c>
      <c r="EN637" s="1492"/>
      <c r="EO637" s="1492"/>
      <c r="EP637" s="1492"/>
      <c r="EQ637" s="1492"/>
      <c r="ER637" s="1492" t="e">
        <f t="shared" si="27"/>
        <v>#VALUE!</v>
      </c>
      <c r="ES637" s="1492"/>
      <c r="ET637" s="1492"/>
      <c r="EU637" s="1492"/>
      <c r="EV637" s="1492"/>
      <c r="EW637" s="1492" t="e">
        <f t="shared" si="28"/>
        <v>#VALUE!</v>
      </c>
      <c r="EX637" s="1492"/>
      <c r="EY637" s="1492"/>
      <c r="EZ637" s="1492"/>
      <c r="FA637" s="1492"/>
    </row>
    <row r="638" spans="2:157" ht="12.95" customHeight="1">
      <c r="B638" s="52" t="s">
        <v>364</v>
      </c>
      <c r="C638" s="1382"/>
      <c r="D638" s="1382"/>
      <c r="E638" s="1382"/>
      <c r="F638" s="1382"/>
      <c r="G638" s="1382"/>
      <c r="H638" s="1382"/>
      <c r="I638" s="1382"/>
      <c r="J638" s="1382"/>
      <c r="K638" s="1382"/>
      <c r="L638" s="1382"/>
      <c r="M638" s="1457" t="s">
        <v>1290</v>
      </c>
      <c r="N638" s="1457"/>
      <c r="O638" s="1457"/>
      <c r="P638" s="1457"/>
      <c r="Q638" s="1459"/>
      <c r="R638" s="1460"/>
      <c r="S638" s="1461"/>
      <c r="T638" s="1459"/>
      <c r="U638" s="1460"/>
      <c r="V638" s="1461"/>
      <c r="W638" s="1442"/>
      <c r="X638" s="1443"/>
      <c r="Y638" s="1444"/>
      <c r="Z638" s="1511" t="s">
        <v>1290</v>
      </c>
      <c r="AA638" s="1512"/>
      <c r="AB638" s="1513"/>
      <c r="AC638" s="1453"/>
      <c r="AD638" s="1454"/>
      <c r="AE638" s="1455"/>
      <c r="AF638" s="1480"/>
      <c r="AG638" s="1481"/>
      <c r="AH638" s="1481"/>
      <c r="AI638" s="1481"/>
      <c r="AJ638" s="1482"/>
      <c r="AK638" s="1462"/>
      <c r="AL638" s="1463"/>
      <c r="AM638" s="1463"/>
      <c r="AN638" s="1464"/>
      <c r="AO638" s="1521"/>
      <c r="AP638" s="1522"/>
      <c r="AQ638" s="1522"/>
      <c r="AR638" s="1522"/>
      <c r="AS638" s="1523"/>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8">
        <f>IF(J774="SRO/Studio",O774,0)</f>
        <v>0</v>
      </c>
      <c r="BO638" s="1499"/>
      <c r="BP638" s="1499"/>
      <c r="BQ638" s="1499"/>
      <c r="BR638" s="1500"/>
      <c r="BS638" s="1497">
        <f>IF(J774="1 Bedroom",O774,0)</f>
        <v>0</v>
      </c>
      <c r="BT638" s="1497"/>
      <c r="BU638" s="1497"/>
      <c r="BV638" s="1497"/>
      <c r="BW638" s="1497"/>
      <c r="BX638" s="1497">
        <f>IF(J774="2 Bedrooms",O774,0)</f>
        <v>0</v>
      </c>
      <c r="BY638" s="1497"/>
      <c r="BZ638" s="1497"/>
      <c r="CA638" s="1497"/>
      <c r="CB638" s="1497"/>
      <c r="CC638" s="1497">
        <f>IF(J774="3 Bedrooms",O774,0)</f>
        <v>0</v>
      </c>
      <c r="CD638" s="1497"/>
      <c r="CE638" s="1497"/>
      <c r="CF638" s="1497"/>
      <c r="CG638" s="1497"/>
      <c r="CH638" s="1497">
        <f>IF(J774="4 Bedrooms",O774,0)</f>
        <v>0</v>
      </c>
      <c r="CI638" s="1497"/>
      <c r="CJ638" s="1497"/>
      <c r="CK638" s="1497"/>
      <c r="CL638" s="1497"/>
      <c r="CM638" s="1497">
        <f>IF(J774="5 Bedrooms",O774,0)</f>
        <v>0</v>
      </c>
      <c r="CN638" s="1497"/>
      <c r="CO638" s="1497"/>
      <c r="CP638" s="1497"/>
      <c r="CQ638" s="1497"/>
      <c r="CR638" s="6"/>
      <c r="CS638" s="3"/>
      <c r="CT638" s="3"/>
      <c r="CU638" s="3"/>
      <c r="CV638" s="3"/>
      <c r="CW638" s="3"/>
      <c r="CX638" s="3"/>
      <c r="CY638" s="3"/>
      <c r="CZ638" s="3"/>
      <c r="DA638" s="3"/>
      <c r="DB638" s="3"/>
      <c r="DC638" s="3"/>
      <c r="DD638" s="3"/>
      <c r="DE638" s="3"/>
      <c r="DF638" s="3"/>
      <c r="DX638" s="1492" t="e">
        <f t="shared" si="29"/>
        <v>#VALUE!</v>
      </c>
      <c r="DY638" s="1492"/>
      <c r="DZ638" s="1492"/>
      <c r="EA638" s="1492"/>
      <c r="EB638" s="1492"/>
      <c r="EC638" s="1492" t="e">
        <f t="shared" si="24"/>
        <v>#VALUE!</v>
      </c>
      <c r="ED638" s="1492"/>
      <c r="EE638" s="1492"/>
      <c r="EF638" s="1492"/>
      <c r="EG638" s="1492"/>
      <c r="EH638" s="1492">
        <f t="shared" si="25"/>
        <v>57.583333333333329</v>
      </c>
      <c r="EI638" s="1492"/>
      <c r="EJ638" s="1492"/>
      <c r="EK638" s="1492"/>
      <c r="EL638" s="1492"/>
      <c r="EM638" s="1492" t="e">
        <f t="shared" si="26"/>
        <v>#VALUE!</v>
      </c>
      <c r="EN638" s="1492"/>
      <c r="EO638" s="1492"/>
      <c r="EP638" s="1492"/>
      <c r="EQ638" s="1492"/>
      <c r="ER638" s="1492" t="e">
        <f t="shared" si="27"/>
        <v>#VALUE!</v>
      </c>
      <c r="ES638" s="1492"/>
      <c r="ET638" s="1492"/>
      <c r="EU638" s="1492"/>
      <c r="EV638" s="1492"/>
      <c r="EW638" s="1492" t="e">
        <f t="shared" si="28"/>
        <v>#VALUE!</v>
      </c>
      <c r="EX638" s="1492"/>
      <c r="EY638" s="1492"/>
      <c r="EZ638" s="1492"/>
      <c r="FA638" s="1492"/>
    </row>
    <row r="639" spans="2:157" ht="12.95" customHeight="1">
      <c r="B639" s="1465" t="s">
        <v>128</v>
      </c>
      <c r="C639" s="1466"/>
      <c r="D639" s="1466"/>
      <c r="E639" s="1466"/>
      <c r="F639" s="1466"/>
      <c r="G639" s="1466"/>
      <c r="H639" s="1466"/>
      <c r="I639" s="1466"/>
      <c r="J639" s="1466"/>
      <c r="K639" s="1466"/>
      <c r="L639" s="1466"/>
      <c r="M639" s="1466"/>
      <c r="N639" s="1466"/>
      <c r="O639" s="1466"/>
      <c r="P639" s="1466"/>
      <c r="Q639" s="1466"/>
      <c r="R639" s="1466"/>
      <c r="S639" s="1466"/>
      <c r="T639" s="1466"/>
      <c r="U639" s="1466"/>
      <c r="V639" s="1466"/>
      <c r="W639" s="1466"/>
      <c r="X639" s="1466"/>
      <c r="Y639" s="1466"/>
      <c r="Z639" s="1466"/>
      <c r="AA639" s="1466"/>
      <c r="AB639" s="1466"/>
      <c r="AC639" s="1466"/>
      <c r="AD639" s="1466"/>
      <c r="AE639" s="1466"/>
      <c r="AF639" s="1466"/>
      <c r="AG639" s="1466"/>
      <c r="AH639" s="1466"/>
      <c r="AI639" s="1466"/>
      <c r="AJ639" s="1466"/>
      <c r="AK639" s="1466"/>
      <c r="AL639" s="1466"/>
      <c r="AM639" s="1466"/>
      <c r="AN639" s="1467"/>
      <c r="AO639" s="1654">
        <f>SUM(AO627:AR638)</f>
        <v>36635215.049999997</v>
      </c>
      <c r="AP639" s="1655"/>
      <c r="AQ639" s="1655"/>
      <c r="AR639" s="1655"/>
      <c r="AS639" s="1656"/>
      <c r="AV639" s="3"/>
      <c r="AW639" s="3"/>
      <c r="AX639" s="3"/>
      <c r="AY639" s="3"/>
      <c r="AZ639" s="34"/>
      <c r="BA639" s="34"/>
      <c r="BB639" s="34"/>
      <c r="BC639" s="34"/>
      <c r="BD639" s="34"/>
      <c r="BE639" s="34"/>
      <c r="BF639" s="34"/>
      <c r="BG639" s="34"/>
      <c r="BH639" s="34"/>
      <c r="BI639" s="34"/>
      <c r="BJ639" s="34"/>
      <c r="BK639" s="34"/>
      <c r="BL639" s="34"/>
      <c r="BM639" s="34"/>
      <c r="BN639" s="1498">
        <f>IF(J775="SRO/Studio",O775,0)</f>
        <v>0</v>
      </c>
      <c r="BO639" s="1499"/>
      <c r="BP639" s="1499"/>
      <c r="BQ639" s="1499"/>
      <c r="BR639" s="1500"/>
      <c r="BS639" s="1497">
        <f>IF(J775="1 Bedroom",O775,0)</f>
        <v>0</v>
      </c>
      <c r="BT639" s="1497"/>
      <c r="BU639" s="1497"/>
      <c r="BV639" s="1497"/>
      <c r="BW639" s="1497"/>
      <c r="BX639" s="1497">
        <f>IF(J775="2 Bedrooms",O775,0)</f>
        <v>0</v>
      </c>
      <c r="BY639" s="1497"/>
      <c r="BZ639" s="1497"/>
      <c r="CA639" s="1497"/>
      <c r="CB639" s="1497"/>
      <c r="CC639" s="1497">
        <f>IF(J775="3 Bedrooms",O775,0)</f>
        <v>0</v>
      </c>
      <c r="CD639" s="1497"/>
      <c r="CE639" s="1497"/>
      <c r="CF639" s="1497"/>
      <c r="CG639" s="1497"/>
      <c r="CH639" s="1497">
        <f>IF(J775="4 Bedrooms",O775,0)</f>
        <v>0</v>
      </c>
      <c r="CI639" s="1497"/>
      <c r="CJ639" s="1497"/>
      <c r="CK639" s="1497"/>
      <c r="CL639" s="1497"/>
      <c r="CM639" s="1497">
        <f>IF(J775="5 Bedrooms",O775,0)</f>
        <v>0</v>
      </c>
      <c r="CN639" s="1497"/>
      <c r="CO639" s="1497"/>
      <c r="CP639" s="1497"/>
      <c r="CQ639" s="1497"/>
      <c r="CR639" s="1047"/>
      <c r="CV639" s="3"/>
      <c r="CW639" s="3"/>
      <c r="CX639" s="3"/>
      <c r="CY639" s="3"/>
      <c r="CZ639" s="3"/>
      <c r="DA639" s="3"/>
      <c r="DB639" s="3"/>
      <c r="DC639" s="3"/>
      <c r="DD639" s="3"/>
      <c r="DE639" s="3"/>
      <c r="DF639" s="3"/>
      <c r="DX639" s="1492" t="e">
        <f t="shared" si="29"/>
        <v>#VALUE!</v>
      </c>
      <c r="DY639" s="1492"/>
      <c r="DZ639" s="1492"/>
      <c r="EA639" s="1492"/>
      <c r="EB639" s="1492"/>
      <c r="EC639" s="1492" t="e">
        <f t="shared" si="24"/>
        <v>#VALUE!</v>
      </c>
      <c r="ED639" s="1492"/>
      <c r="EE639" s="1492"/>
      <c r="EF639" s="1492"/>
      <c r="EG639" s="1492"/>
      <c r="EH639" s="1492">
        <f t="shared" si="25"/>
        <v>96</v>
      </c>
      <c r="EI639" s="1492"/>
      <c r="EJ639" s="1492"/>
      <c r="EK639" s="1492"/>
      <c r="EL639" s="1492"/>
      <c r="EM639" s="1492" t="e">
        <f t="shared" si="26"/>
        <v>#VALUE!</v>
      </c>
      <c r="EN639" s="1492"/>
      <c r="EO639" s="1492"/>
      <c r="EP639" s="1492"/>
      <c r="EQ639" s="1492"/>
      <c r="ER639" s="1492" t="e">
        <f t="shared" si="27"/>
        <v>#VALUE!</v>
      </c>
      <c r="ES639" s="1492"/>
      <c r="ET639" s="1492"/>
      <c r="EU639" s="1492"/>
      <c r="EV639" s="1492"/>
      <c r="EW639" s="1492" t="e">
        <f t="shared" si="28"/>
        <v>#VALUE!</v>
      </c>
      <c r="EX639" s="1492"/>
      <c r="EY639" s="1492"/>
      <c r="EZ639" s="1492"/>
      <c r="FA639" s="1492"/>
    </row>
    <row r="640" spans="2:157" ht="12.95" customHeight="1">
      <c r="B640" s="1465" t="s">
        <v>268</v>
      </c>
      <c r="C640" s="1466"/>
      <c r="D640" s="1466"/>
      <c r="E640" s="1466"/>
      <c r="F640" s="1466"/>
      <c r="G640" s="1466"/>
      <c r="H640" s="1466"/>
      <c r="I640" s="1466"/>
      <c r="J640" s="1466"/>
      <c r="K640" s="1466"/>
      <c r="L640" s="1466"/>
      <c r="M640" s="1466"/>
      <c r="N640" s="1466"/>
      <c r="O640" s="1466"/>
      <c r="P640" s="1466"/>
      <c r="Q640" s="1466"/>
      <c r="R640" s="1466"/>
      <c r="S640" s="1466"/>
      <c r="T640" s="1466"/>
      <c r="U640" s="1466"/>
      <c r="V640" s="1466"/>
      <c r="W640" s="1466"/>
      <c r="X640" s="1466"/>
      <c r="Y640" s="1466"/>
      <c r="Z640" s="1466"/>
      <c r="AA640" s="1466"/>
      <c r="AB640" s="1466"/>
      <c r="AC640" s="1466"/>
      <c r="AD640" s="1466"/>
      <c r="AE640" s="1466"/>
      <c r="AF640" s="1466"/>
      <c r="AG640" s="1466"/>
      <c r="AH640" s="1466"/>
      <c r="AI640" s="1466"/>
      <c r="AJ640" s="1466"/>
      <c r="AK640" s="1466"/>
      <c r="AL640" s="1466"/>
      <c r="AM640" s="1466"/>
      <c r="AN640" s="1467"/>
      <c r="AO640" s="1521">
        <v>19936512</v>
      </c>
      <c r="AP640" s="1522"/>
      <c r="AQ640" s="1522"/>
      <c r="AR640" s="1522"/>
      <c r="AS640" s="1523"/>
      <c r="AV640" s="3"/>
      <c r="AW640" s="3"/>
      <c r="AX640" s="3"/>
      <c r="AY640" s="3"/>
      <c r="AZ640" s="34"/>
      <c r="BA640" s="34"/>
      <c r="BB640" s="34"/>
      <c r="BC640" s="34"/>
      <c r="BD640" s="34"/>
      <c r="BE640" s="34"/>
      <c r="BF640" s="34"/>
      <c r="BG640" s="34"/>
      <c r="BH640" s="34"/>
      <c r="BI640" s="34"/>
      <c r="BJ640" s="34"/>
      <c r="BK640" s="34"/>
      <c r="BL640" s="34"/>
      <c r="BM640" s="34"/>
      <c r="BN640" s="1498">
        <f>IF(J776="SRO/Studio",O776,0)</f>
        <v>0</v>
      </c>
      <c r="BO640" s="1499"/>
      <c r="BP640" s="1499"/>
      <c r="BQ640" s="1499"/>
      <c r="BR640" s="1500"/>
      <c r="BS640" s="1497">
        <f>IF(J776="1 Bedroom",O776,0)</f>
        <v>0</v>
      </c>
      <c r="BT640" s="1497"/>
      <c r="BU640" s="1497"/>
      <c r="BV640" s="1497"/>
      <c r="BW640" s="1497"/>
      <c r="BX640" s="1497">
        <f>IF(J776="2 Bedrooms",O776,0)</f>
        <v>0</v>
      </c>
      <c r="BY640" s="1497"/>
      <c r="BZ640" s="1497"/>
      <c r="CA640" s="1497"/>
      <c r="CB640" s="1497"/>
      <c r="CC640" s="1497">
        <f>IF(J776="3 Bedrooms",O776,0)</f>
        <v>0</v>
      </c>
      <c r="CD640" s="1497"/>
      <c r="CE640" s="1497"/>
      <c r="CF640" s="1497"/>
      <c r="CG640" s="1497"/>
      <c r="CH640" s="1497">
        <f>IF(J776="4 Bedrooms",O776,0)</f>
        <v>0</v>
      </c>
      <c r="CI640" s="1497"/>
      <c r="CJ640" s="1497"/>
      <c r="CK640" s="1497"/>
      <c r="CL640" s="1497"/>
      <c r="CM640" s="1497">
        <f>IF(J776="5 Bedrooms",O776,0)</f>
        <v>0</v>
      </c>
      <c r="CN640" s="1497"/>
      <c r="CO640" s="1497"/>
      <c r="CP640" s="1497"/>
      <c r="CQ640" s="1497"/>
      <c r="CV640" s="3"/>
      <c r="CW640" s="3"/>
      <c r="CX640" s="3"/>
      <c r="CY640" s="3"/>
      <c r="CZ640" s="3"/>
      <c r="DA640" s="3"/>
      <c r="DB640" s="3"/>
      <c r="DC640" s="3"/>
      <c r="DD640" s="3"/>
      <c r="DE640" s="3"/>
      <c r="DF640" s="3"/>
      <c r="DX640" s="1492" t="e">
        <f t="shared" si="29"/>
        <v>#VALUE!</v>
      </c>
      <c r="DY640" s="1492"/>
      <c r="DZ640" s="1492"/>
      <c r="EA640" s="1492"/>
      <c r="EB640" s="1492"/>
      <c r="EC640" s="1492" t="e">
        <f t="shared" si="24"/>
        <v>#VALUE!</v>
      </c>
      <c r="ED640" s="1492"/>
      <c r="EE640" s="1492"/>
      <c r="EF640" s="1492"/>
      <c r="EG640" s="1492"/>
      <c r="EH640" s="1492">
        <f t="shared" si="25"/>
        <v>922</v>
      </c>
      <c r="EI640" s="1492"/>
      <c r="EJ640" s="1492"/>
      <c r="EK640" s="1492"/>
      <c r="EL640" s="1492"/>
      <c r="EM640" s="1492" t="e">
        <f t="shared" si="26"/>
        <v>#VALUE!</v>
      </c>
      <c r="EN640" s="1492"/>
      <c r="EO640" s="1492"/>
      <c r="EP640" s="1492"/>
      <c r="EQ640" s="1492"/>
      <c r="ER640" s="1492" t="e">
        <f t="shared" si="27"/>
        <v>#VALUE!</v>
      </c>
      <c r="ES640" s="1492"/>
      <c r="ET640" s="1492"/>
      <c r="EU640" s="1492"/>
      <c r="EV640" s="1492"/>
      <c r="EW640" s="1492" t="e">
        <f t="shared" si="28"/>
        <v>#VALUE!</v>
      </c>
      <c r="EX640" s="1492"/>
      <c r="EY640" s="1492"/>
      <c r="EZ640" s="1492"/>
      <c r="FA640" s="1492"/>
    </row>
    <row r="641" spans="1:157" ht="12.95" customHeight="1">
      <c r="B641" s="1468" t="s">
        <v>269</v>
      </c>
      <c r="C641" s="1469"/>
      <c r="D641" s="1469"/>
      <c r="E641" s="1469"/>
      <c r="F641" s="1469"/>
      <c r="G641" s="1469"/>
      <c r="H641" s="1469"/>
      <c r="I641" s="1469"/>
      <c r="J641" s="1469"/>
      <c r="K641" s="1469"/>
      <c r="L641" s="1469"/>
      <c r="M641" s="1469"/>
      <c r="N641" s="1469"/>
      <c r="O641" s="1469"/>
      <c r="P641" s="1469"/>
      <c r="Q641" s="1469"/>
      <c r="R641" s="1469"/>
      <c r="S641" s="1469"/>
      <c r="T641" s="1469"/>
      <c r="U641" s="1469"/>
      <c r="V641" s="1469"/>
      <c r="W641" s="1469"/>
      <c r="X641" s="1469"/>
      <c r="Y641" s="1469"/>
      <c r="Z641" s="1469"/>
      <c r="AA641" s="1469"/>
      <c r="AB641" s="1469"/>
      <c r="AC641" s="1469"/>
      <c r="AD641" s="1469"/>
      <c r="AE641" s="1469"/>
      <c r="AF641" s="1469"/>
      <c r="AG641" s="1469"/>
      <c r="AH641" s="1469"/>
      <c r="AI641" s="1469"/>
      <c r="AJ641" s="1469"/>
      <c r="AK641" s="1469"/>
      <c r="AL641" s="1469"/>
      <c r="AM641" s="1469"/>
      <c r="AN641" s="1470"/>
      <c r="AO641" s="1654">
        <f>AO639+AO640</f>
        <v>56571727.049999997</v>
      </c>
      <c r="AP641" s="1655"/>
      <c r="AQ641" s="1655"/>
      <c r="AR641" s="1655"/>
      <c r="AS641" s="1656"/>
      <c r="AV641" s="3"/>
      <c r="AW641" s="3"/>
      <c r="AX641" s="3"/>
      <c r="AY641" s="3"/>
      <c r="AZ641" s="34"/>
      <c r="BA641" s="34"/>
      <c r="BB641" s="34"/>
      <c r="BC641" s="34"/>
      <c r="BD641" s="34"/>
      <c r="BE641" s="34"/>
      <c r="BF641" s="34"/>
      <c r="BG641" s="34"/>
      <c r="BH641" s="34"/>
      <c r="BI641" s="34"/>
      <c r="BJ641" s="34"/>
      <c r="BK641" s="34"/>
      <c r="BL641" s="34"/>
      <c r="BM641" s="34"/>
      <c r="BN641" s="1508">
        <f>SUM(BN637:BR640)</f>
        <v>0</v>
      </c>
      <c r="BO641" s="1509"/>
      <c r="BP641" s="1509"/>
      <c r="BQ641" s="1509"/>
      <c r="BR641" s="1510"/>
      <c r="BS641" s="1502">
        <f>SUM(BS637:BW640)</f>
        <v>0</v>
      </c>
      <c r="BT641" s="1503"/>
      <c r="BU641" s="1503"/>
      <c r="BV641" s="1503"/>
      <c r="BW641" s="1504"/>
      <c r="BX641" s="1502">
        <f>SUM(BX637:CB640)</f>
        <v>1</v>
      </c>
      <c r="BY641" s="1503"/>
      <c r="BZ641" s="1503"/>
      <c r="CA641" s="1503"/>
      <c r="CB641" s="1504"/>
      <c r="CC641" s="1502">
        <f>SUM(CC637:CG640)</f>
        <v>0</v>
      </c>
      <c r="CD641" s="1503"/>
      <c r="CE641" s="1503"/>
      <c r="CF641" s="1503"/>
      <c r="CG641" s="1504"/>
      <c r="CH641" s="1502">
        <f>SUM(CH637:CL640)</f>
        <v>0</v>
      </c>
      <c r="CI641" s="1503"/>
      <c r="CJ641" s="1503"/>
      <c r="CK641" s="1503"/>
      <c r="CL641" s="1504"/>
      <c r="CM641" s="1502">
        <f>SUM(CM637:CQ640)</f>
        <v>0</v>
      </c>
      <c r="CN641" s="1503"/>
      <c r="CO641" s="1503"/>
      <c r="CP641" s="1503"/>
      <c r="CQ641" s="1504"/>
      <c r="CS641" s="895">
        <f>BN641+BS641+BX641+CC641+CH641+CM641</f>
        <v>1</v>
      </c>
      <c r="CT641" s="57" t="s">
        <v>2049</v>
      </c>
      <c r="CU641" s="3"/>
      <c r="CV641" s="3"/>
      <c r="CW641" s="3"/>
      <c r="CX641" s="3"/>
      <c r="CY641" s="3"/>
      <c r="CZ641" s="3"/>
      <c r="DA641" s="3"/>
      <c r="DB641" s="3"/>
      <c r="DC641" s="3"/>
      <c r="DD641" s="3"/>
      <c r="DE641" s="3"/>
      <c r="DF641" s="3"/>
      <c r="DX641" s="1492" t="e">
        <f t="shared" si="29"/>
        <v>#VALUE!</v>
      </c>
      <c r="DY641" s="1492"/>
      <c r="DZ641" s="1492"/>
      <c r="EA641" s="1492"/>
      <c r="EB641" s="1492"/>
      <c r="EC641" s="1492" t="e">
        <f t="shared" si="24"/>
        <v>#VALUE!</v>
      </c>
      <c r="ED641" s="1492"/>
      <c r="EE641" s="1492"/>
      <c r="EF641" s="1492"/>
      <c r="EG641" s="1492"/>
      <c r="EH641" s="1492">
        <f t="shared" si="25"/>
        <v>14.395833333333332</v>
      </c>
      <c r="EI641" s="1492"/>
      <c r="EJ641" s="1492"/>
      <c r="EK641" s="1492"/>
      <c r="EL641" s="1492"/>
      <c r="EM641" s="1492" t="e">
        <f t="shared" si="26"/>
        <v>#VALUE!</v>
      </c>
      <c r="EN641" s="1492"/>
      <c r="EO641" s="1492"/>
      <c r="EP641" s="1492"/>
      <c r="EQ641" s="1492"/>
      <c r="ER641" s="1492" t="e">
        <f t="shared" si="27"/>
        <v>#VALUE!</v>
      </c>
      <c r="ES641" s="1492"/>
      <c r="ET641" s="1492"/>
      <c r="EU641" s="1492"/>
      <c r="EV641" s="1492"/>
      <c r="EW641" s="1492" t="e">
        <f t="shared" si="28"/>
        <v>#VALUE!</v>
      </c>
      <c r="EX641" s="1492"/>
      <c r="EY641" s="1492"/>
      <c r="EZ641" s="1492"/>
      <c r="FA641" s="1492"/>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2051</v>
      </c>
      <c r="CU642" s="3"/>
      <c r="CV642" s="3"/>
      <c r="CW642" s="3"/>
      <c r="CX642" s="3"/>
      <c r="CY642" s="3"/>
      <c r="CZ642" s="3"/>
      <c r="DA642" s="3"/>
      <c r="DB642" s="3"/>
      <c r="DC642" s="3"/>
      <c r="DD642" s="3"/>
      <c r="DE642" s="3"/>
      <c r="DF642" s="3"/>
      <c r="DX642" s="1492" t="e">
        <f t="shared" si="29"/>
        <v>#VALUE!</v>
      </c>
      <c r="DY642" s="1492"/>
      <c r="DZ642" s="1492"/>
      <c r="EA642" s="1492"/>
      <c r="EB642" s="1492"/>
      <c r="EC642" s="1492" t="e">
        <f t="shared" si="24"/>
        <v>#VALUE!</v>
      </c>
      <c r="ED642" s="1492"/>
      <c r="EE642" s="1492"/>
      <c r="EF642" s="1492"/>
      <c r="EG642" s="1492"/>
      <c r="EH642" s="1492">
        <f t="shared" si="25"/>
        <v>24</v>
      </c>
      <c r="EI642" s="1492"/>
      <c r="EJ642" s="1492"/>
      <c r="EK642" s="1492"/>
      <c r="EL642" s="1492"/>
      <c r="EM642" s="1492" t="e">
        <f t="shared" si="26"/>
        <v>#VALUE!</v>
      </c>
      <c r="EN642" s="1492"/>
      <c r="EO642" s="1492"/>
      <c r="EP642" s="1492"/>
      <c r="EQ642" s="1492"/>
      <c r="ER642" s="1492" t="e">
        <f t="shared" si="27"/>
        <v>#VALUE!</v>
      </c>
      <c r="ES642" s="1492"/>
      <c r="ET642" s="1492"/>
      <c r="EU642" s="1492"/>
      <c r="EV642" s="1492"/>
      <c r="EW642" s="1492" t="e">
        <f t="shared" si="28"/>
        <v>#VALUE!</v>
      </c>
      <c r="EX642" s="1492"/>
      <c r="EY642" s="1492"/>
      <c r="EZ642" s="1492"/>
      <c r="FA642" s="1492"/>
    </row>
    <row r="643" spans="1:157" ht="12.95" customHeight="1">
      <c r="A643" s="55" t="s">
        <v>112</v>
      </c>
      <c r="B643" t="s">
        <v>471</v>
      </c>
      <c r="G643" s="1471" t="str">
        <f>C627</f>
        <v>CSCDA (Freddie Mac)</v>
      </c>
      <c r="H643" s="1471"/>
      <c r="I643" s="1471"/>
      <c r="J643" s="1471"/>
      <c r="K643" s="1471"/>
      <c r="L643" s="1471"/>
      <c r="M643" s="1471"/>
      <c r="N643" s="1471"/>
      <c r="O643" s="1471"/>
      <c r="P643" s="1471"/>
      <c r="Q643" s="1471"/>
      <c r="R643" s="1471"/>
      <c r="S643" s="8"/>
      <c r="T643" s="55" t="s">
        <v>113</v>
      </c>
      <c r="U643" t="s">
        <v>471</v>
      </c>
      <c r="Z643" s="1471" t="str">
        <f>C628</f>
        <v>Special Limited Partner Equity</v>
      </c>
      <c r="AA643" s="1471"/>
      <c r="AB643" s="1471"/>
      <c r="AC643" s="1471"/>
      <c r="AD643" s="1471"/>
      <c r="AE643" s="1471"/>
      <c r="AF643" s="1471"/>
      <c r="AG643" s="1471"/>
      <c r="AH643" s="1471"/>
      <c r="AI643" s="1471"/>
      <c r="AJ643" s="1471"/>
      <c r="AK643" s="147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2" t="e">
        <f t="shared" si="29"/>
        <v>#VALUE!</v>
      </c>
      <c r="DY643" s="1492"/>
      <c r="DZ643" s="1492"/>
      <c r="EA643" s="1492"/>
      <c r="EB643" s="1492"/>
      <c r="EC643" s="1492" t="e">
        <f t="shared" si="24"/>
        <v>#VALUE!</v>
      </c>
      <c r="ED643" s="1492"/>
      <c r="EE643" s="1492"/>
      <c r="EF643" s="1492"/>
      <c r="EG643" s="1492"/>
      <c r="EH643" s="1492">
        <f t="shared" si="25"/>
        <v>172.875</v>
      </c>
      <c r="EI643" s="1492"/>
      <c r="EJ643" s="1492"/>
      <c r="EK643" s="1492"/>
      <c r="EL643" s="1492"/>
      <c r="EM643" s="1492" t="e">
        <f t="shared" si="26"/>
        <v>#VALUE!</v>
      </c>
      <c r="EN643" s="1492"/>
      <c r="EO643" s="1492"/>
      <c r="EP643" s="1492"/>
      <c r="EQ643" s="1492"/>
      <c r="ER643" s="1492" t="e">
        <f t="shared" si="27"/>
        <v>#VALUE!</v>
      </c>
      <c r="ES643" s="1492"/>
      <c r="ET643" s="1492"/>
      <c r="EU643" s="1492"/>
      <c r="EV643" s="1492"/>
      <c r="EW643" s="1492" t="e">
        <f t="shared" si="28"/>
        <v>#VALUE!</v>
      </c>
      <c r="EX643" s="1492"/>
      <c r="EY643" s="1492"/>
      <c r="EZ643" s="1492"/>
      <c r="FA643" s="1492"/>
    </row>
    <row r="644" spans="1:157" ht="12.95" customHeight="1">
      <c r="A644" s="22"/>
      <c r="B644" t="s">
        <v>85</v>
      </c>
      <c r="G644" s="1384" t="s">
        <v>2745</v>
      </c>
      <c r="H644" s="1384"/>
      <c r="I644" s="1384"/>
      <c r="J644" s="1384"/>
      <c r="K644" s="1384"/>
      <c r="L644" s="1384"/>
      <c r="M644" s="1384"/>
      <c r="N644" s="1384"/>
      <c r="O644" s="1384"/>
      <c r="P644" s="1384"/>
      <c r="Q644" s="1384"/>
      <c r="R644" s="1384"/>
      <c r="S644" s="8"/>
      <c r="T644" s="22"/>
      <c r="U644" t="s">
        <v>85</v>
      </c>
      <c r="Z644" s="1384" t="s">
        <v>2711</v>
      </c>
      <c r="AA644" s="1384"/>
      <c r="AB644" s="1384"/>
      <c r="AC644" s="1384"/>
      <c r="AD644" s="1384"/>
      <c r="AE644" s="1384"/>
      <c r="AF644" s="1384"/>
      <c r="AG644" s="1384"/>
      <c r="AH644" s="1384"/>
      <c r="AI644" s="1384"/>
      <c r="AJ644" s="1384"/>
      <c r="AK644" s="1384"/>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92" t="e">
        <f t="shared" si="29"/>
        <v>#VALUE!</v>
      </c>
      <c r="DY644" s="1492"/>
      <c r="DZ644" s="1492"/>
      <c r="EA644" s="1492"/>
      <c r="EB644" s="1492"/>
      <c r="EC644" s="1492" t="e">
        <f t="shared" si="24"/>
        <v>#VALUE!</v>
      </c>
      <c r="ED644" s="1492"/>
      <c r="EE644" s="1492"/>
      <c r="EF644" s="1492"/>
      <c r="EG644" s="1492"/>
      <c r="EH644" s="1492" t="e">
        <f t="shared" si="25"/>
        <v>#VALUE!</v>
      </c>
      <c r="EI644" s="1492"/>
      <c r="EJ644" s="1492"/>
      <c r="EK644" s="1492"/>
      <c r="EL644" s="1492"/>
      <c r="EM644" s="1492" t="e">
        <f t="shared" si="26"/>
        <v>#VALUE!</v>
      </c>
      <c r="EN644" s="1492"/>
      <c r="EO644" s="1492"/>
      <c r="EP644" s="1492"/>
      <c r="EQ644" s="1492"/>
      <c r="ER644" s="1492" t="e">
        <f t="shared" si="27"/>
        <v>#VALUE!</v>
      </c>
      <c r="ES644" s="1492"/>
      <c r="ET644" s="1492"/>
      <c r="EU644" s="1492"/>
      <c r="EV644" s="1492"/>
      <c r="EW644" s="1492" t="e">
        <f t="shared" si="28"/>
        <v>#VALUE!</v>
      </c>
      <c r="EX644" s="1492"/>
      <c r="EY644" s="1492"/>
      <c r="EZ644" s="1492"/>
      <c r="FA644" s="1492"/>
    </row>
    <row r="645" spans="1:157" ht="12.95" customHeight="1">
      <c r="A645" s="22"/>
      <c r="B645" t="s">
        <v>588</v>
      </c>
      <c r="G645" s="1384" t="s">
        <v>2746</v>
      </c>
      <c r="H645" s="1384"/>
      <c r="I645" s="1384"/>
      <c r="J645" s="1384"/>
      <c r="K645" s="1384"/>
      <c r="L645" s="1384"/>
      <c r="M645" s="1384"/>
      <c r="N645" s="1384"/>
      <c r="O645" s="1384"/>
      <c r="P645" s="1384"/>
      <c r="Q645" s="1384"/>
      <c r="R645" s="1384"/>
      <c r="T645" s="22"/>
      <c r="U645" t="s">
        <v>588</v>
      </c>
      <c r="Z645" s="1441"/>
      <c r="AA645" s="1441"/>
      <c r="AB645" s="1441"/>
      <c r="AC645" s="1441"/>
      <c r="AD645" s="1441"/>
      <c r="AE645" s="1441"/>
      <c r="AF645" s="1441"/>
      <c r="AG645" s="1441"/>
      <c r="AH645" s="1441"/>
      <c r="AI645" s="1441"/>
      <c r="AJ645" s="1441"/>
      <c r="AK645" s="1441"/>
      <c r="AV645" s="3"/>
      <c r="AW645" s="3"/>
      <c r="AX645" s="3"/>
      <c r="AY645" s="3"/>
      <c r="AZ645" s="3"/>
      <c r="BA645" s="3"/>
      <c r="BB645" s="3"/>
      <c r="BC645" s="3"/>
      <c r="BD645" s="3"/>
      <c r="BE645" s="3"/>
      <c r="BF645" s="3"/>
      <c r="BG645" s="3"/>
      <c r="BH645" s="3"/>
      <c r="BI645" s="3"/>
      <c r="BJ645" s="3"/>
      <c r="BK645" s="3"/>
      <c r="BL645" s="3"/>
      <c r="BM645" s="3"/>
      <c r="BN645" s="1498">
        <f t="shared" ref="BN645:BN654" si="30">IF(J787="SRO/Studio",O787,0)</f>
        <v>0</v>
      </c>
      <c r="BO645" s="1499"/>
      <c r="BP645" s="1499"/>
      <c r="BQ645" s="1499"/>
      <c r="BR645" s="1500"/>
      <c r="BS645" s="1497">
        <f t="shared" ref="BS645:BS654" si="31">IF(J787="1 Bedroom",O787,0)</f>
        <v>0</v>
      </c>
      <c r="BT645" s="1497"/>
      <c r="BU645" s="1497"/>
      <c r="BV645" s="1497"/>
      <c r="BW645" s="1497"/>
      <c r="BX645" s="1497">
        <f t="shared" ref="BX645:BX654" si="32">IF(J787="2 Bedrooms",O787,0)</f>
        <v>0</v>
      </c>
      <c r="BY645" s="1497"/>
      <c r="BZ645" s="1497"/>
      <c r="CA645" s="1497"/>
      <c r="CB645" s="1497"/>
      <c r="CC645" s="1497">
        <f t="shared" ref="CC645:CC654" si="33">IF(J787="3 Bedrooms",O787,0)</f>
        <v>0</v>
      </c>
      <c r="CD645" s="1497"/>
      <c r="CE645" s="1497"/>
      <c r="CF645" s="1497"/>
      <c r="CG645" s="1497"/>
      <c r="CH645" s="1497">
        <f t="shared" ref="CH645:CH654" si="34">IF(J787="4 Bedrooms",O787,0)</f>
        <v>0</v>
      </c>
      <c r="CI645" s="1497"/>
      <c r="CJ645" s="1497"/>
      <c r="CK645" s="1497"/>
      <c r="CL645" s="1497"/>
      <c r="CM645" s="1497">
        <f t="shared" ref="CM645:CM654" si="35">IF(J787="5 Bedrooms",O787,0)</f>
        <v>0</v>
      </c>
      <c r="CN645" s="1497"/>
      <c r="CO645" s="1497"/>
      <c r="CP645" s="1497"/>
      <c r="CQ645" s="1497"/>
      <c r="CR645" s="6"/>
      <c r="CS645" s="1498">
        <f t="shared" ref="CS645:CS654" si="36">IF(AND(BN645&gt;=1,AH787&gt;=0.1,AH787&lt;=1),O787,0)</f>
        <v>0</v>
      </c>
      <c r="CT645" s="1499"/>
      <c r="CU645" s="1499"/>
      <c r="CV645" s="1499"/>
      <c r="CW645" s="1500"/>
      <c r="CX645" s="1498">
        <f t="shared" ref="CX645:CX654" si="37">IF(AND(BS645&gt;=1,AH787&gt;=0.1,AH787&lt;=1),O787,0)</f>
        <v>0</v>
      </c>
      <c r="CY645" s="1499"/>
      <c r="CZ645" s="1499"/>
      <c r="DA645" s="1499"/>
      <c r="DB645" s="1500"/>
      <c r="DC645" s="1498">
        <f t="shared" ref="DC645:DC654" si="38">IF(AND(BX645&gt;=1,AH787&gt;=0.1,AH787&lt;=1),O787,0)</f>
        <v>0</v>
      </c>
      <c r="DD645" s="1499"/>
      <c r="DE645" s="1499"/>
      <c r="DF645" s="1499"/>
      <c r="DG645" s="1500"/>
      <c r="DH645" s="1498">
        <f t="shared" ref="DH645:DH654" si="39">IF(AND(CC645&gt;=1,AH787&gt;=0.1,AH787&lt;=1),O787,0)</f>
        <v>0</v>
      </c>
      <c r="DI645" s="1499"/>
      <c r="DJ645" s="1499"/>
      <c r="DK645" s="1499"/>
      <c r="DL645" s="1500"/>
      <c r="DM645" s="1498">
        <f t="shared" ref="DM645:DM654" si="40">IF(AND(CH645&gt;=1,AH787&gt;=0.1,AH787&lt;=1),O787,0)</f>
        <v>0</v>
      </c>
      <c r="DN645" s="1499"/>
      <c r="DO645" s="1499"/>
      <c r="DP645" s="1499"/>
      <c r="DQ645" s="1500"/>
      <c r="DR645" s="1498">
        <f t="shared" ref="DR645:DR654" si="41">IF(AND(CM645&gt;=1,AH787&gt;=0.1,AH787&lt;=1),O787,0)</f>
        <v>0</v>
      </c>
      <c r="DS645" s="1499"/>
      <c r="DT645" s="1499"/>
      <c r="DU645" s="1499"/>
      <c r="DV645" s="1500"/>
      <c r="DX645" s="1492" t="e">
        <f t="shared" si="29"/>
        <v>#VALUE!</v>
      </c>
      <c r="DY645" s="1492"/>
      <c r="DZ645" s="1492"/>
      <c r="EA645" s="1492"/>
      <c r="EB645" s="1492"/>
      <c r="EC645" s="1492" t="e">
        <f t="shared" si="24"/>
        <v>#VALUE!</v>
      </c>
      <c r="ED645" s="1492"/>
      <c r="EE645" s="1492"/>
      <c r="EF645" s="1492"/>
      <c r="EG645" s="1492"/>
      <c r="EH645" s="1492" t="e">
        <f t="shared" si="25"/>
        <v>#VALUE!</v>
      </c>
      <c r="EI645" s="1492"/>
      <c r="EJ645" s="1492"/>
      <c r="EK645" s="1492"/>
      <c r="EL645" s="1492"/>
      <c r="EM645" s="1492" t="e">
        <f t="shared" si="26"/>
        <v>#VALUE!</v>
      </c>
      <c r="EN645" s="1492"/>
      <c r="EO645" s="1492"/>
      <c r="EP645" s="1492"/>
      <c r="EQ645" s="1492"/>
      <c r="ER645" s="1492" t="e">
        <f t="shared" si="27"/>
        <v>#VALUE!</v>
      </c>
      <c r="ES645" s="1492"/>
      <c r="ET645" s="1492"/>
      <c r="EU645" s="1492"/>
      <c r="EV645" s="1492"/>
      <c r="EW645" s="1492" t="e">
        <f t="shared" si="28"/>
        <v>#VALUE!</v>
      </c>
      <c r="EX645" s="1492"/>
      <c r="EY645" s="1492"/>
      <c r="EZ645" s="1492"/>
      <c r="FA645" s="1492"/>
    </row>
    <row r="646" spans="1:157" ht="12.95" customHeight="1">
      <c r="A646" s="22"/>
      <c r="B646" t="s">
        <v>17</v>
      </c>
      <c r="G646" s="1384" t="s">
        <v>2747</v>
      </c>
      <c r="H646" s="1384"/>
      <c r="I646" s="1384"/>
      <c r="J646" s="1384"/>
      <c r="K646" s="1384"/>
      <c r="L646" s="1384"/>
      <c r="M646" s="1384"/>
      <c r="N646" s="1384"/>
      <c r="O646" s="1384"/>
      <c r="P646" s="1384"/>
      <c r="Q646" s="1384"/>
      <c r="R646" s="1384"/>
      <c r="S646" s="8"/>
      <c r="T646" s="22"/>
      <c r="U646" t="s">
        <v>17</v>
      </c>
      <c r="Z646" s="1441" t="s">
        <v>2713</v>
      </c>
      <c r="AA646" s="1441"/>
      <c r="AB646" s="1441"/>
      <c r="AC646" s="1441"/>
      <c r="AD646" s="1441"/>
      <c r="AE646" s="1441"/>
      <c r="AF646" s="1441"/>
      <c r="AG646" s="1441"/>
      <c r="AH646" s="1441"/>
      <c r="AI646" s="1441"/>
      <c r="AJ646" s="1441"/>
      <c r="AK646" s="1441"/>
      <c r="AZ646" s="3"/>
      <c r="BA646" s="3"/>
      <c r="BB646" s="3"/>
      <c r="BC646" s="3"/>
      <c r="BD646" s="3"/>
      <c r="BE646" s="3"/>
      <c r="BF646" s="3"/>
      <c r="BG646" s="3"/>
      <c r="BH646" s="3"/>
      <c r="BI646" s="3"/>
      <c r="BJ646" s="3"/>
      <c r="BK646" s="3"/>
      <c r="BL646" s="3"/>
      <c r="BM646" s="3"/>
      <c r="BN646" s="1498">
        <f t="shared" si="30"/>
        <v>0</v>
      </c>
      <c r="BO646" s="1499"/>
      <c r="BP646" s="1499"/>
      <c r="BQ646" s="1499"/>
      <c r="BR646" s="1500"/>
      <c r="BS646" s="1497">
        <f t="shared" si="31"/>
        <v>0</v>
      </c>
      <c r="BT646" s="1497"/>
      <c r="BU646" s="1497"/>
      <c r="BV646" s="1497"/>
      <c r="BW646" s="1497"/>
      <c r="BX646" s="1497">
        <f t="shared" si="32"/>
        <v>0</v>
      </c>
      <c r="BY646" s="1497"/>
      <c r="BZ646" s="1497"/>
      <c r="CA646" s="1497"/>
      <c r="CB646" s="1497"/>
      <c r="CC646" s="1497">
        <f t="shared" si="33"/>
        <v>0</v>
      </c>
      <c r="CD646" s="1497"/>
      <c r="CE646" s="1497"/>
      <c r="CF646" s="1497"/>
      <c r="CG646" s="1497"/>
      <c r="CH646" s="1497">
        <f t="shared" si="34"/>
        <v>0</v>
      </c>
      <c r="CI646" s="1497"/>
      <c r="CJ646" s="1497"/>
      <c r="CK646" s="1497"/>
      <c r="CL646" s="1497"/>
      <c r="CM646" s="1497">
        <f t="shared" si="35"/>
        <v>0</v>
      </c>
      <c r="CN646" s="1497"/>
      <c r="CO646" s="1497"/>
      <c r="CP646" s="1497"/>
      <c r="CQ646" s="1497"/>
      <c r="CR646" s="6"/>
      <c r="CS646" s="1498">
        <f t="shared" si="36"/>
        <v>0</v>
      </c>
      <c r="CT646" s="1499"/>
      <c r="CU646" s="1499"/>
      <c r="CV646" s="1499"/>
      <c r="CW646" s="1500"/>
      <c r="CX646" s="1498">
        <f t="shared" si="37"/>
        <v>0</v>
      </c>
      <c r="CY646" s="1499"/>
      <c r="CZ646" s="1499"/>
      <c r="DA646" s="1499"/>
      <c r="DB646" s="1500"/>
      <c r="DC646" s="1498">
        <f t="shared" si="38"/>
        <v>0</v>
      </c>
      <c r="DD646" s="1499"/>
      <c r="DE646" s="1499"/>
      <c r="DF646" s="1499"/>
      <c r="DG646" s="1500"/>
      <c r="DH646" s="1498">
        <f t="shared" si="39"/>
        <v>0</v>
      </c>
      <c r="DI646" s="1499"/>
      <c r="DJ646" s="1499"/>
      <c r="DK646" s="1499"/>
      <c r="DL646" s="1500"/>
      <c r="DM646" s="1498">
        <f t="shared" si="40"/>
        <v>0</v>
      </c>
      <c r="DN646" s="1499"/>
      <c r="DO646" s="1499"/>
      <c r="DP646" s="1499"/>
      <c r="DQ646" s="1500"/>
      <c r="DR646" s="1498">
        <f t="shared" si="41"/>
        <v>0</v>
      </c>
      <c r="DS646" s="1499"/>
      <c r="DT646" s="1499"/>
      <c r="DU646" s="1499"/>
      <c r="DV646" s="1500"/>
      <c r="DX646" s="1492" t="e">
        <f t="shared" si="29"/>
        <v>#VALUE!</v>
      </c>
      <c r="DY646" s="1492"/>
      <c r="DZ646" s="1492"/>
      <c r="EA646" s="1492"/>
      <c r="EB646" s="1492"/>
      <c r="EC646" s="1492" t="e">
        <f t="shared" si="24"/>
        <v>#VALUE!</v>
      </c>
      <c r="ED646" s="1492"/>
      <c r="EE646" s="1492"/>
      <c r="EF646" s="1492"/>
      <c r="EG646" s="1492"/>
      <c r="EH646" s="1492" t="e">
        <f t="shared" si="25"/>
        <v>#VALUE!</v>
      </c>
      <c r="EI646" s="1492"/>
      <c r="EJ646" s="1492"/>
      <c r="EK646" s="1492"/>
      <c r="EL646" s="1492"/>
      <c r="EM646" s="1492" t="e">
        <f t="shared" si="26"/>
        <v>#VALUE!</v>
      </c>
      <c r="EN646" s="1492"/>
      <c r="EO646" s="1492"/>
      <c r="EP646" s="1492"/>
      <c r="EQ646" s="1492"/>
      <c r="ER646" s="1492" t="e">
        <f t="shared" si="27"/>
        <v>#VALUE!</v>
      </c>
      <c r="ES646" s="1492"/>
      <c r="ET646" s="1492"/>
      <c r="EU646" s="1492"/>
      <c r="EV646" s="1492"/>
      <c r="EW646" s="1492" t="e">
        <f t="shared" si="28"/>
        <v>#VALUE!</v>
      </c>
      <c r="EX646" s="1492"/>
      <c r="EY646" s="1492"/>
      <c r="EZ646" s="1492"/>
      <c r="FA646" s="1492"/>
    </row>
    <row r="647" spans="1:157" ht="12.95" customHeight="1">
      <c r="A647" s="22"/>
      <c r="B647" t="s">
        <v>317</v>
      </c>
      <c r="G647" s="1394" t="s">
        <v>2748</v>
      </c>
      <c r="H647" s="1395"/>
      <c r="I647" s="1395"/>
      <c r="J647" s="1395"/>
      <c r="K647" s="1395"/>
      <c r="L647" s="1395"/>
      <c r="O647" s="33" t="s">
        <v>207</v>
      </c>
      <c r="P647" s="1472"/>
      <c r="Q647" s="1472"/>
      <c r="R647" s="1472"/>
      <c r="S647" s="10"/>
      <c r="T647" s="22"/>
      <c r="U647" t="s">
        <v>317</v>
      </c>
      <c r="Z647" s="1394" t="s">
        <v>2714</v>
      </c>
      <c r="AA647" s="1395"/>
      <c r="AB647" s="1395"/>
      <c r="AC647" s="1395"/>
      <c r="AD647" s="1395"/>
      <c r="AE647" s="1395"/>
      <c r="AH647" s="33" t="s">
        <v>207</v>
      </c>
      <c r="AI647" s="1472"/>
      <c r="AJ647" s="1472"/>
      <c r="AK647" s="1472"/>
      <c r="AZ647" s="34"/>
      <c r="BA647" s="34"/>
      <c r="BB647" s="34"/>
      <c r="BC647" s="34"/>
      <c r="BD647" s="34"/>
      <c r="BE647" s="34"/>
      <c r="BF647" s="34"/>
      <c r="BG647" s="34"/>
      <c r="BH647" s="34"/>
      <c r="BI647" s="34"/>
      <c r="BJ647" s="34"/>
      <c r="BK647" s="34"/>
      <c r="BL647" s="34"/>
      <c r="BM647" s="34"/>
      <c r="BN647" s="1498">
        <f t="shared" si="30"/>
        <v>0</v>
      </c>
      <c r="BO647" s="1499"/>
      <c r="BP647" s="1499"/>
      <c r="BQ647" s="1499"/>
      <c r="BR647" s="1500"/>
      <c r="BS647" s="1497">
        <f t="shared" si="31"/>
        <v>0</v>
      </c>
      <c r="BT647" s="1497"/>
      <c r="BU647" s="1497"/>
      <c r="BV647" s="1497"/>
      <c r="BW647" s="1497"/>
      <c r="BX647" s="1497">
        <f t="shared" si="32"/>
        <v>0</v>
      </c>
      <c r="BY647" s="1497"/>
      <c r="BZ647" s="1497"/>
      <c r="CA647" s="1497"/>
      <c r="CB647" s="1497"/>
      <c r="CC647" s="1497">
        <f t="shared" si="33"/>
        <v>0</v>
      </c>
      <c r="CD647" s="1497"/>
      <c r="CE647" s="1497"/>
      <c r="CF647" s="1497"/>
      <c r="CG647" s="1497"/>
      <c r="CH647" s="1497">
        <f t="shared" si="34"/>
        <v>0</v>
      </c>
      <c r="CI647" s="1497"/>
      <c r="CJ647" s="1497"/>
      <c r="CK647" s="1497"/>
      <c r="CL647" s="1497"/>
      <c r="CM647" s="1497">
        <f t="shared" si="35"/>
        <v>0</v>
      </c>
      <c r="CN647" s="1497"/>
      <c r="CO647" s="1497"/>
      <c r="CP647" s="1497"/>
      <c r="CQ647" s="1497"/>
      <c r="CR647" s="6"/>
      <c r="CS647" s="1498">
        <f t="shared" si="36"/>
        <v>0</v>
      </c>
      <c r="CT647" s="1499"/>
      <c r="CU647" s="1499"/>
      <c r="CV647" s="1499"/>
      <c r="CW647" s="1500"/>
      <c r="CX647" s="1498">
        <f t="shared" si="37"/>
        <v>0</v>
      </c>
      <c r="CY647" s="1499"/>
      <c r="CZ647" s="1499"/>
      <c r="DA647" s="1499"/>
      <c r="DB647" s="1500"/>
      <c r="DC647" s="1498">
        <f t="shared" si="38"/>
        <v>0</v>
      </c>
      <c r="DD647" s="1499"/>
      <c r="DE647" s="1499"/>
      <c r="DF647" s="1499"/>
      <c r="DG647" s="1500"/>
      <c r="DH647" s="1498">
        <f t="shared" si="39"/>
        <v>0</v>
      </c>
      <c r="DI647" s="1499"/>
      <c r="DJ647" s="1499"/>
      <c r="DK647" s="1499"/>
      <c r="DL647" s="1500"/>
      <c r="DM647" s="1498">
        <f t="shared" si="40"/>
        <v>0</v>
      </c>
      <c r="DN647" s="1499"/>
      <c r="DO647" s="1499"/>
      <c r="DP647" s="1499"/>
      <c r="DQ647" s="1500"/>
      <c r="DR647" s="1498">
        <f t="shared" si="41"/>
        <v>0</v>
      </c>
      <c r="DS647" s="1499"/>
      <c r="DT647" s="1499"/>
      <c r="DU647" s="1499"/>
      <c r="DV647" s="1500"/>
      <c r="DX647" s="1492" t="e">
        <f t="shared" si="29"/>
        <v>#VALUE!</v>
      </c>
      <c r="DY647" s="1492"/>
      <c r="DZ647" s="1492"/>
      <c r="EA647" s="1492"/>
      <c r="EB647" s="1492"/>
      <c r="EC647" s="1492" t="e">
        <f t="shared" si="24"/>
        <v>#VALUE!</v>
      </c>
      <c r="ED647" s="1492"/>
      <c r="EE647" s="1492"/>
      <c r="EF647" s="1492"/>
      <c r="EG647" s="1492"/>
      <c r="EH647" s="1492" t="e">
        <f t="shared" si="25"/>
        <v>#VALUE!</v>
      </c>
      <c r="EI647" s="1492"/>
      <c r="EJ647" s="1492"/>
      <c r="EK647" s="1492"/>
      <c r="EL647" s="1492"/>
      <c r="EM647" s="1492" t="e">
        <f t="shared" si="26"/>
        <v>#VALUE!</v>
      </c>
      <c r="EN647" s="1492"/>
      <c r="EO647" s="1492"/>
      <c r="EP647" s="1492"/>
      <c r="EQ647" s="1492"/>
      <c r="ER647" s="1492" t="e">
        <f t="shared" si="27"/>
        <v>#VALUE!</v>
      </c>
      <c r="ES647" s="1492"/>
      <c r="ET647" s="1492"/>
      <c r="EU647" s="1492"/>
      <c r="EV647" s="1492"/>
      <c r="EW647" s="1492" t="e">
        <f t="shared" si="28"/>
        <v>#VALUE!</v>
      </c>
      <c r="EX647" s="1492"/>
      <c r="EY647" s="1492"/>
      <c r="EZ647" s="1492"/>
      <c r="FA647" s="1492"/>
    </row>
    <row r="648" spans="1:157" ht="12.95" customHeight="1">
      <c r="A648" s="22"/>
      <c r="B648" t="s">
        <v>18</v>
      </c>
      <c r="H648" s="1384" t="str">
        <f>M627</f>
        <v>Loan, Conventional</v>
      </c>
      <c r="I648" s="1384"/>
      <c r="J648" s="1384"/>
      <c r="K648" s="1384"/>
      <c r="L648" s="1384"/>
      <c r="M648" s="1384"/>
      <c r="N648" s="1384"/>
      <c r="O648" s="1384"/>
      <c r="P648" s="1384"/>
      <c r="Q648" s="1384"/>
      <c r="R648" s="1384"/>
      <c r="S648" s="8"/>
      <c r="T648" s="22"/>
      <c r="U648" t="s">
        <v>18</v>
      </c>
      <c r="AA648" s="1384" t="str">
        <f>M628</f>
        <v>Equity, Other Investor</v>
      </c>
      <c r="AB648" s="1384"/>
      <c r="AC648" s="1384"/>
      <c r="AD648" s="1384"/>
      <c r="AE648" s="1384"/>
      <c r="AF648" s="1384"/>
      <c r="AG648" s="1384"/>
      <c r="AH648" s="1384"/>
      <c r="AI648" s="1384"/>
      <c r="AJ648" s="1384"/>
      <c r="AK648" s="1384"/>
      <c r="AZ648" s="34"/>
      <c r="BA648" s="34"/>
      <c r="BB648" s="34"/>
      <c r="BC648" s="34"/>
      <c r="BD648" s="34"/>
      <c r="BE648" s="34"/>
      <c r="BF648" s="34"/>
      <c r="BG648" s="34"/>
      <c r="BH648" s="34"/>
      <c r="BI648" s="34"/>
      <c r="BJ648" s="34"/>
      <c r="BK648" s="34"/>
      <c r="BL648" s="34"/>
      <c r="BM648" s="34"/>
      <c r="BN648" s="1498">
        <f t="shared" si="30"/>
        <v>0</v>
      </c>
      <c r="BO648" s="1499"/>
      <c r="BP648" s="1499"/>
      <c r="BQ648" s="1499"/>
      <c r="BR648" s="1500"/>
      <c r="BS648" s="1497">
        <f t="shared" si="31"/>
        <v>0</v>
      </c>
      <c r="BT648" s="1497"/>
      <c r="BU648" s="1497"/>
      <c r="BV648" s="1497"/>
      <c r="BW648" s="1497"/>
      <c r="BX648" s="1497">
        <f t="shared" si="32"/>
        <v>0</v>
      </c>
      <c r="BY648" s="1497"/>
      <c r="BZ648" s="1497"/>
      <c r="CA648" s="1497"/>
      <c r="CB648" s="1497"/>
      <c r="CC648" s="1497">
        <f t="shared" si="33"/>
        <v>0</v>
      </c>
      <c r="CD648" s="1497"/>
      <c r="CE648" s="1497"/>
      <c r="CF648" s="1497"/>
      <c r="CG648" s="1497"/>
      <c r="CH648" s="1497">
        <f t="shared" si="34"/>
        <v>0</v>
      </c>
      <c r="CI648" s="1497"/>
      <c r="CJ648" s="1497"/>
      <c r="CK648" s="1497"/>
      <c r="CL648" s="1497"/>
      <c r="CM648" s="1497">
        <f t="shared" si="35"/>
        <v>0</v>
      </c>
      <c r="CN648" s="1497"/>
      <c r="CO648" s="1497"/>
      <c r="CP648" s="1497"/>
      <c r="CQ648" s="1497"/>
      <c r="CR648" s="6"/>
      <c r="CS648" s="1498">
        <f t="shared" si="36"/>
        <v>0</v>
      </c>
      <c r="CT648" s="1499"/>
      <c r="CU648" s="1499"/>
      <c r="CV648" s="1499"/>
      <c r="CW648" s="1500"/>
      <c r="CX648" s="1498">
        <f t="shared" si="37"/>
        <v>0</v>
      </c>
      <c r="CY648" s="1499"/>
      <c r="CZ648" s="1499"/>
      <c r="DA648" s="1499"/>
      <c r="DB648" s="1500"/>
      <c r="DC648" s="1498">
        <f t="shared" si="38"/>
        <v>0</v>
      </c>
      <c r="DD648" s="1499"/>
      <c r="DE648" s="1499"/>
      <c r="DF648" s="1499"/>
      <c r="DG648" s="1500"/>
      <c r="DH648" s="1498">
        <f t="shared" si="39"/>
        <v>0</v>
      </c>
      <c r="DI648" s="1499"/>
      <c r="DJ648" s="1499"/>
      <c r="DK648" s="1499"/>
      <c r="DL648" s="1500"/>
      <c r="DM648" s="1498">
        <f t="shared" si="40"/>
        <v>0</v>
      </c>
      <c r="DN648" s="1499"/>
      <c r="DO648" s="1499"/>
      <c r="DP648" s="1499"/>
      <c r="DQ648" s="1500"/>
      <c r="DR648" s="1498">
        <f t="shared" si="41"/>
        <v>0</v>
      </c>
      <c r="DS648" s="1499"/>
      <c r="DT648" s="1499"/>
      <c r="DU648" s="1499"/>
      <c r="DV648" s="1500"/>
      <c r="DX648" s="1492" t="e">
        <f t="shared" si="29"/>
        <v>#VALUE!</v>
      </c>
      <c r="DY648" s="1492"/>
      <c r="DZ648" s="1492"/>
      <c r="EA648" s="1492"/>
      <c r="EB648" s="1492"/>
      <c r="EC648" s="1492" t="e">
        <f t="shared" si="24"/>
        <v>#VALUE!</v>
      </c>
      <c r="ED648" s="1492"/>
      <c r="EE648" s="1492"/>
      <c r="EF648" s="1492"/>
      <c r="EG648" s="1492"/>
      <c r="EH648" s="1492" t="e">
        <f t="shared" si="25"/>
        <v>#VALUE!</v>
      </c>
      <c r="EI648" s="1492"/>
      <c r="EJ648" s="1492"/>
      <c r="EK648" s="1492"/>
      <c r="EL648" s="1492"/>
      <c r="EM648" s="1492" t="e">
        <f t="shared" si="26"/>
        <v>#VALUE!</v>
      </c>
      <c r="EN648" s="1492"/>
      <c r="EO648" s="1492"/>
      <c r="EP648" s="1492"/>
      <c r="EQ648" s="1492"/>
      <c r="ER648" s="1492" t="e">
        <f t="shared" si="27"/>
        <v>#VALUE!</v>
      </c>
      <c r="ES648" s="1492"/>
      <c r="ET648" s="1492"/>
      <c r="EU648" s="1492"/>
      <c r="EV648" s="1492"/>
      <c r="EW648" s="1492" t="e">
        <f t="shared" si="28"/>
        <v>#VALUE!</v>
      </c>
      <c r="EX648" s="1492"/>
      <c r="EY648" s="1492"/>
      <c r="EZ648" s="1492"/>
      <c r="FA648" s="1492"/>
    </row>
    <row r="649" spans="1:157" ht="12.95" customHeight="1">
      <c r="A649" s="22"/>
      <c r="B649" t="s">
        <v>20</v>
      </c>
      <c r="N649" s="1383" t="s">
        <v>553</v>
      </c>
      <c r="O649" s="1383"/>
      <c r="T649" s="22"/>
      <c r="U649" t="s">
        <v>20</v>
      </c>
      <c r="AG649" s="1383" t="s">
        <v>553</v>
      </c>
      <c r="AH649" s="1383"/>
      <c r="AZ649" s="34"/>
      <c r="BA649" s="34"/>
      <c r="BB649" s="34"/>
      <c r="BC649" s="34"/>
      <c r="BD649" s="34"/>
      <c r="BE649" s="34"/>
      <c r="BF649" s="34"/>
      <c r="BG649" s="34"/>
      <c r="BH649" s="34"/>
      <c r="BI649" s="34"/>
      <c r="BJ649" s="34"/>
      <c r="BK649" s="34"/>
      <c r="BL649" s="34"/>
      <c r="BM649" s="34"/>
      <c r="BN649" s="1498">
        <f t="shared" si="30"/>
        <v>0</v>
      </c>
      <c r="BO649" s="1499"/>
      <c r="BP649" s="1499"/>
      <c r="BQ649" s="1499"/>
      <c r="BR649" s="1500"/>
      <c r="BS649" s="1497">
        <f t="shared" si="31"/>
        <v>0</v>
      </c>
      <c r="BT649" s="1497"/>
      <c r="BU649" s="1497"/>
      <c r="BV649" s="1497"/>
      <c r="BW649" s="1497"/>
      <c r="BX649" s="1497">
        <f t="shared" si="32"/>
        <v>0</v>
      </c>
      <c r="BY649" s="1497"/>
      <c r="BZ649" s="1497"/>
      <c r="CA649" s="1497"/>
      <c r="CB649" s="1497"/>
      <c r="CC649" s="1497">
        <f t="shared" si="33"/>
        <v>0</v>
      </c>
      <c r="CD649" s="1497"/>
      <c r="CE649" s="1497"/>
      <c r="CF649" s="1497"/>
      <c r="CG649" s="1497"/>
      <c r="CH649" s="1497">
        <f t="shared" si="34"/>
        <v>0</v>
      </c>
      <c r="CI649" s="1497"/>
      <c r="CJ649" s="1497"/>
      <c r="CK649" s="1497"/>
      <c r="CL649" s="1497"/>
      <c r="CM649" s="1497">
        <f t="shared" si="35"/>
        <v>0</v>
      </c>
      <c r="CN649" s="1497"/>
      <c r="CO649" s="1497"/>
      <c r="CP649" s="1497"/>
      <c r="CQ649" s="1497"/>
      <c r="CR649" s="6"/>
      <c r="CS649" s="1498">
        <f t="shared" si="36"/>
        <v>0</v>
      </c>
      <c r="CT649" s="1499"/>
      <c r="CU649" s="1499"/>
      <c r="CV649" s="1499"/>
      <c r="CW649" s="1500"/>
      <c r="CX649" s="1498">
        <f t="shared" si="37"/>
        <v>0</v>
      </c>
      <c r="CY649" s="1499"/>
      <c r="CZ649" s="1499"/>
      <c r="DA649" s="1499"/>
      <c r="DB649" s="1500"/>
      <c r="DC649" s="1498">
        <f t="shared" si="38"/>
        <v>0</v>
      </c>
      <c r="DD649" s="1499"/>
      <c r="DE649" s="1499"/>
      <c r="DF649" s="1499"/>
      <c r="DG649" s="1500"/>
      <c r="DH649" s="1498">
        <f t="shared" si="39"/>
        <v>0</v>
      </c>
      <c r="DI649" s="1499"/>
      <c r="DJ649" s="1499"/>
      <c r="DK649" s="1499"/>
      <c r="DL649" s="1500"/>
      <c r="DM649" s="1498">
        <f t="shared" si="40"/>
        <v>0</v>
      </c>
      <c r="DN649" s="1499"/>
      <c r="DO649" s="1499"/>
      <c r="DP649" s="1499"/>
      <c r="DQ649" s="1500"/>
      <c r="DR649" s="1498">
        <f t="shared" si="41"/>
        <v>0</v>
      </c>
      <c r="DS649" s="1499"/>
      <c r="DT649" s="1499"/>
      <c r="DU649" s="1499"/>
      <c r="DV649" s="1500"/>
      <c r="DX649" s="1492" t="e">
        <f t="shared" si="29"/>
        <v>#VALUE!</v>
      </c>
      <c r="DY649" s="1492"/>
      <c r="DZ649" s="1492"/>
      <c r="EA649" s="1492"/>
      <c r="EB649" s="1492"/>
      <c r="EC649" s="1492" t="e">
        <f t="shared" si="24"/>
        <v>#VALUE!</v>
      </c>
      <c r="ED649" s="1492"/>
      <c r="EE649" s="1492"/>
      <c r="EF649" s="1492"/>
      <c r="EG649" s="1492"/>
      <c r="EH649" s="1492" t="e">
        <f t="shared" si="25"/>
        <v>#VALUE!</v>
      </c>
      <c r="EI649" s="1492"/>
      <c r="EJ649" s="1492"/>
      <c r="EK649" s="1492"/>
      <c r="EL649" s="1492"/>
      <c r="EM649" s="1492" t="e">
        <f t="shared" si="26"/>
        <v>#VALUE!</v>
      </c>
      <c r="EN649" s="1492"/>
      <c r="EO649" s="1492"/>
      <c r="EP649" s="1492"/>
      <c r="EQ649" s="1492"/>
      <c r="ER649" s="1492" t="e">
        <f t="shared" si="27"/>
        <v>#VALUE!</v>
      </c>
      <c r="ES649" s="1492"/>
      <c r="ET649" s="1492"/>
      <c r="EU649" s="1492"/>
      <c r="EV649" s="1492"/>
      <c r="EW649" s="1492" t="e">
        <f t="shared" si="28"/>
        <v>#VALUE!</v>
      </c>
      <c r="EX649" s="1492"/>
      <c r="EY649" s="1492"/>
      <c r="EZ649" s="1492"/>
      <c r="FA649" s="1492"/>
    </row>
    <row r="650" spans="1:157" ht="12.95" customHeight="1">
      <c r="A650" s="22"/>
      <c r="T650" s="22"/>
      <c r="AZ650" s="34"/>
      <c r="BA650" s="34"/>
      <c r="BB650" s="34"/>
      <c r="BC650" s="34"/>
      <c r="BD650" s="34"/>
      <c r="BE650" s="34"/>
      <c r="BF650" s="34"/>
      <c r="BG650" s="34"/>
      <c r="BH650" s="34"/>
      <c r="BI650" s="34"/>
      <c r="BJ650" s="34"/>
      <c r="BK650" s="34"/>
      <c r="BL650" s="34"/>
      <c r="BM650" s="34"/>
      <c r="BN650" s="1498">
        <f t="shared" si="30"/>
        <v>0</v>
      </c>
      <c r="BO650" s="1499"/>
      <c r="BP650" s="1499"/>
      <c r="BQ650" s="1499"/>
      <c r="BR650" s="1500"/>
      <c r="BS650" s="1497">
        <f t="shared" si="31"/>
        <v>0</v>
      </c>
      <c r="BT650" s="1497"/>
      <c r="BU650" s="1497"/>
      <c r="BV650" s="1497"/>
      <c r="BW650" s="1497"/>
      <c r="BX650" s="1497">
        <f t="shared" si="32"/>
        <v>0</v>
      </c>
      <c r="BY650" s="1497"/>
      <c r="BZ650" s="1497"/>
      <c r="CA650" s="1497"/>
      <c r="CB650" s="1497"/>
      <c r="CC650" s="1497">
        <f t="shared" si="33"/>
        <v>0</v>
      </c>
      <c r="CD650" s="1497"/>
      <c r="CE650" s="1497"/>
      <c r="CF650" s="1497"/>
      <c r="CG650" s="1497"/>
      <c r="CH650" s="1497">
        <f t="shared" si="34"/>
        <v>0</v>
      </c>
      <c r="CI650" s="1497"/>
      <c r="CJ650" s="1497"/>
      <c r="CK650" s="1497"/>
      <c r="CL650" s="1497"/>
      <c r="CM650" s="1497">
        <f t="shared" si="35"/>
        <v>0</v>
      </c>
      <c r="CN650" s="1497"/>
      <c r="CO650" s="1497"/>
      <c r="CP650" s="1497"/>
      <c r="CQ650" s="1497"/>
      <c r="CR650" s="6"/>
      <c r="CS650" s="1498">
        <f t="shared" si="36"/>
        <v>0</v>
      </c>
      <c r="CT650" s="1499"/>
      <c r="CU650" s="1499"/>
      <c r="CV650" s="1499"/>
      <c r="CW650" s="1500"/>
      <c r="CX650" s="1498">
        <f t="shared" si="37"/>
        <v>0</v>
      </c>
      <c r="CY650" s="1499"/>
      <c r="CZ650" s="1499"/>
      <c r="DA650" s="1499"/>
      <c r="DB650" s="1500"/>
      <c r="DC650" s="1498">
        <f t="shared" si="38"/>
        <v>0</v>
      </c>
      <c r="DD650" s="1499"/>
      <c r="DE650" s="1499"/>
      <c r="DF650" s="1499"/>
      <c r="DG650" s="1500"/>
      <c r="DH650" s="1498">
        <f t="shared" si="39"/>
        <v>0</v>
      </c>
      <c r="DI650" s="1499"/>
      <c r="DJ650" s="1499"/>
      <c r="DK650" s="1499"/>
      <c r="DL650" s="1500"/>
      <c r="DM650" s="1498">
        <f t="shared" si="40"/>
        <v>0</v>
      </c>
      <c r="DN650" s="1499"/>
      <c r="DO650" s="1499"/>
      <c r="DP650" s="1499"/>
      <c r="DQ650" s="1500"/>
      <c r="DR650" s="1498">
        <f t="shared" si="41"/>
        <v>0</v>
      </c>
      <c r="DS650" s="1499"/>
      <c r="DT650" s="1499"/>
      <c r="DU650" s="1499"/>
      <c r="DV650" s="1500"/>
      <c r="DX650" s="1492" t="e">
        <f t="shared" si="29"/>
        <v>#VALUE!</v>
      </c>
      <c r="DY650" s="1492"/>
      <c r="DZ650" s="1492"/>
      <c r="EA650" s="1492"/>
      <c r="EB650" s="1492"/>
      <c r="EC650" s="1492" t="e">
        <f t="shared" si="24"/>
        <v>#VALUE!</v>
      </c>
      <c r="ED650" s="1492"/>
      <c r="EE650" s="1492"/>
      <c r="EF650" s="1492"/>
      <c r="EG650" s="1492"/>
      <c r="EH650" s="1492" t="e">
        <f t="shared" si="25"/>
        <v>#VALUE!</v>
      </c>
      <c r="EI650" s="1492"/>
      <c r="EJ650" s="1492"/>
      <c r="EK650" s="1492"/>
      <c r="EL650" s="1492"/>
      <c r="EM650" s="1492" t="e">
        <f t="shared" si="26"/>
        <v>#VALUE!</v>
      </c>
      <c r="EN650" s="1492"/>
      <c r="EO650" s="1492"/>
      <c r="EP650" s="1492"/>
      <c r="EQ650" s="1492"/>
      <c r="ER650" s="1492" t="e">
        <f t="shared" si="27"/>
        <v>#VALUE!</v>
      </c>
      <c r="ES650" s="1492"/>
      <c r="ET650" s="1492"/>
      <c r="EU650" s="1492"/>
      <c r="EV650" s="1492"/>
      <c r="EW650" s="1492" t="e">
        <f t="shared" si="28"/>
        <v>#VALUE!</v>
      </c>
      <c r="EX650" s="1492"/>
      <c r="EY650" s="1492"/>
      <c r="EZ650" s="1492"/>
      <c r="FA650" s="1492"/>
    </row>
    <row r="651" spans="1:157" ht="12.95" customHeight="1">
      <c r="A651" s="55" t="s">
        <v>119</v>
      </c>
      <c r="B651" t="s">
        <v>471</v>
      </c>
      <c r="G651" s="1471" t="str">
        <f>C629</f>
        <v>General Partner Equity</v>
      </c>
      <c r="H651" s="1471"/>
      <c r="I651" s="1471"/>
      <c r="J651" s="1471"/>
      <c r="K651" s="1471"/>
      <c r="L651" s="1471"/>
      <c r="M651" s="1471"/>
      <c r="N651" s="1471"/>
      <c r="O651" s="1471"/>
      <c r="P651" s="1471"/>
      <c r="Q651" s="1471"/>
      <c r="R651" s="1471"/>
      <c r="T651" s="55" t="s">
        <v>589</v>
      </c>
      <c r="U651" t="s">
        <v>471</v>
      </c>
      <c r="Z651" s="1471" t="str">
        <f>C630</f>
        <v>GP Subordinate Note</v>
      </c>
      <c r="AA651" s="1471"/>
      <c r="AB651" s="1471"/>
      <c r="AC651" s="1471"/>
      <c r="AD651" s="1471"/>
      <c r="AE651" s="1471"/>
      <c r="AF651" s="1471"/>
      <c r="AG651" s="1471"/>
      <c r="AH651" s="1471"/>
      <c r="AI651" s="1471"/>
      <c r="AJ651" s="1471"/>
      <c r="AK651" s="1471"/>
      <c r="AZ651" s="34"/>
      <c r="BA651" s="34"/>
      <c r="BB651" s="34"/>
      <c r="BC651" s="34"/>
      <c r="BD651" s="34"/>
      <c r="BE651" s="34"/>
      <c r="BF651" s="34"/>
      <c r="BG651" s="34"/>
      <c r="BH651" s="34"/>
      <c r="BI651" s="34"/>
      <c r="BJ651" s="34"/>
      <c r="BK651" s="34"/>
      <c r="BL651" s="34"/>
      <c r="BM651" s="34"/>
      <c r="BN651" s="1498">
        <f t="shared" si="30"/>
        <v>0</v>
      </c>
      <c r="BO651" s="1499"/>
      <c r="BP651" s="1499"/>
      <c r="BQ651" s="1499"/>
      <c r="BR651" s="1500"/>
      <c r="BS651" s="1497">
        <f t="shared" si="31"/>
        <v>0</v>
      </c>
      <c r="BT651" s="1497"/>
      <c r="BU651" s="1497"/>
      <c r="BV651" s="1497"/>
      <c r="BW651" s="1497"/>
      <c r="BX651" s="1497">
        <f t="shared" si="32"/>
        <v>0</v>
      </c>
      <c r="BY651" s="1497"/>
      <c r="BZ651" s="1497"/>
      <c r="CA651" s="1497"/>
      <c r="CB651" s="1497"/>
      <c r="CC651" s="1497">
        <f t="shared" si="33"/>
        <v>0</v>
      </c>
      <c r="CD651" s="1497"/>
      <c r="CE651" s="1497"/>
      <c r="CF651" s="1497"/>
      <c r="CG651" s="1497"/>
      <c r="CH651" s="1497">
        <f t="shared" si="34"/>
        <v>0</v>
      </c>
      <c r="CI651" s="1497"/>
      <c r="CJ651" s="1497"/>
      <c r="CK651" s="1497"/>
      <c r="CL651" s="1497"/>
      <c r="CM651" s="1497">
        <f t="shared" si="35"/>
        <v>0</v>
      </c>
      <c r="CN651" s="1497"/>
      <c r="CO651" s="1497"/>
      <c r="CP651" s="1497"/>
      <c r="CQ651" s="1497"/>
      <c r="CR651" s="6"/>
      <c r="CS651" s="1498">
        <f t="shared" si="36"/>
        <v>0</v>
      </c>
      <c r="CT651" s="1499"/>
      <c r="CU651" s="1499"/>
      <c r="CV651" s="1499"/>
      <c r="CW651" s="1500"/>
      <c r="CX651" s="1498">
        <f t="shared" si="37"/>
        <v>0</v>
      </c>
      <c r="CY651" s="1499"/>
      <c r="CZ651" s="1499"/>
      <c r="DA651" s="1499"/>
      <c r="DB651" s="1500"/>
      <c r="DC651" s="1498">
        <f t="shared" si="38"/>
        <v>0</v>
      </c>
      <c r="DD651" s="1499"/>
      <c r="DE651" s="1499"/>
      <c r="DF651" s="1499"/>
      <c r="DG651" s="1500"/>
      <c r="DH651" s="1498">
        <f t="shared" si="39"/>
        <v>0</v>
      </c>
      <c r="DI651" s="1499"/>
      <c r="DJ651" s="1499"/>
      <c r="DK651" s="1499"/>
      <c r="DL651" s="1500"/>
      <c r="DM651" s="1498">
        <f t="shared" si="40"/>
        <v>0</v>
      </c>
      <c r="DN651" s="1499"/>
      <c r="DO651" s="1499"/>
      <c r="DP651" s="1499"/>
      <c r="DQ651" s="1500"/>
      <c r="DR651" s="1498">
        <f t="shared" si="41"/>
        <v>0</v>
      </c>
      <c r="DS651" s="1499"/>
      <c r="DT651" s="1499"/>
      <c r="DU651" s="1499"/>
      <c r="DV651" s="1500"/>
      <c r="DX651" s="1492" t="e">
        <f t="shared" si="29"/>
        <v>#VALUE!</v>
      </c>
      <c r="DY651" s="1492"/>
      <c r="DZ651" s="1492"/>
      <c r="EA651" s="1492"/>
      <c r="EB651" s="1492"/>
      <c r="EC651" s="1492" t="e">
        <f t="shared" si="24"/>
        <v>#VALUE!</v>
      </c>
      <c r="ED651" s="1492"/>
      <c r="EE651" s="1492"/>
      <c r="EF651" s="1492"/>
      <c r="EG651" s="1492"/>
      <c r="EH651" s="1492" t="e">
        <f t="shared" si="25"/>
        <v>#VALUE!</v>
      </c>
      <c r="EI651" s="1492"/>
      <c r="EJ651" s="1492"/>
      <c r="EK651" s="1492"/>
      <c r="EL651" s="1492"/>
      <c r="EM651" s="1492" t="e">
        <f t="shared" si="26"/>
        <v>#VALUE!</v>
      </c>
      <c r="EN651" s="1492"/>
      <c r="EO651" s="1492"/>
      <c r="EP651" s="1492"/>
      <c r="EQ651" s="1492"/>
      <c r="ER651" s="1492" t="e">
        <f t="shared" si="27"/>
        <v>#VALUE!</v>
      </c>
      <c r="ES651" s="1492"/>
      <c r="ET651" s="1492"/>
      <c r="EU651" s="1492"/>
      <c r="EV651" s="1492"/>
      <c r="EW651" s="1492" t="e">
        <f t="shared" si="28"/>
        <v>#VALUE!</v>
      </c>
      <c r="EX651" s="1492"/>
      <c r="EY651" s="1492"/>
      <c r="EZ651" s="1492"/>
      <c r="FA651" s="1492"/>
    </row>
    <row r="652" spans="1:157" ht="12.95" customHeight="1">
      <c r="A652" s="22"/>
      <c r="B652" t="s">
        <v>85</v>
      </c>
      <c r="G652" s="1384" t="s">
        <v>2655</v>
      </c>
      <c r="H652" s="1384"/>
      <c r="I652" s="1384"/>
      <c r="J652" s="1384"/>
      <c r="K652" s="1384"/>
      <c r="L652" s="1384"/>
      <c r="M652" s="1384"/>
      <c r="N652" s="1384"/>
      <c r="O652" s="1384"/>
      <c r="P652" s="1384"/>
      <c r="Q652" s="1384"/>
      <c r="R652" s="1384"/>
      <c r="T652" s="22"/>
      <c r="U652" t="s">
        <v>85</v>
      </c>
      <c r="Z652" s="1384" t="s">
        <v>2655</v>
      </c>
      <c r="AA652" s="1384"/>
      <c r="AB652" s="1384"/>
      <c r="AC652" s="1384"/>
      <c r="AD652" s="1384"/>
      <c r="AE652" s="1384"/>
      <c r="AF652" s="1384"/>
      <c r="AG652" s="1384"/>
      <c r="AH652" s="1384"/>
      <c r="AI652" s="1384"/>
      <c r="AJ652" s="1384"/>
      <c r="AK652" s="1384"/>
      <c r="AZ652" s="34"/>
      <c r="BA652" s="34"/>
      <c r="BB652" s="34"/>
      <c r="BC652" s="34"/>
      <c r="BD652" s="34"/>
      <c r="BE652" s="34"/>
      <c r="BF652" s="34"/>
      <c r="BG652" s="34"/>
      <c r="BH652" s="34"/>
      <c r="BI652" s="34"/>
      <c r="BJ652" s="34"/>
      <c r="BK652" s="34"/>
      <c r="BL652" s="34"/>
      <c r="BM652" s="34"/>
      <c r="BN652" s="1498">
        <f t="shared" si="30"/>
        <v>0</v>
      </c>
      <c r="BO652" s="1499"/>
      <c r="BP652" s="1499"/>
      <c r="BQ652" s="1499"/>
      <c r="BR652" s="1500"/>
      <c r="BS652" s="1497">
        <f t="shared" si="31"/>
        <v>0</v>
      </c>
      <c r="BT652" s="1497"/>
      <c r="BU652" s="1497"/>
      <c r="BV652" s="1497"/>
      <c r="BW652" s="1497"/>
      <c r="BX652" s="1497">
        <f t="shared" si="32"/>
        <v>0</v>
      </c>
      <c r="BY652" s="1497"/>
      <c r="BZ652" s="1497"/>
      <c r="CA652" s="1497"/>
      <c r="CB652" s="1497"/>
      <c r="CC652" s="1497">
        <f t="shared" si="33"/>
        <v>0</v>
      </c>
      <c r="CD652" s="1497"/>
      <c r="CE652" s="1497"/>
      <c r="CF652" s="1497"/>
      <c r="CG652" s="1497"/>
      <c r="CH652" s="1497">
        <f t="shared" si="34"/>
        <v>0</v>
      </c>
      <c r="CI652" s="1497"/>
      <c r="CJ652" s="1497"/>
      <c r="CK652" s="1497"/>
      <c r="CL652" s="1497"/>
      <c r="CM652" s="1497">
        <f t="shared" si="35"/>
        <v>0</v>
      </c>
      <c r="CN652" s="1497"/>
      <c r="CO652" s="1497"/>
      <c r="CP652" s="1497"/>
      <c r="CQ652" s="1497"/>
      <c r="CR652" s="6"/>
      <c r="CS652" s="1498">
        <f t="shared" si="36"/>
        <v>0</v>
      </c>
      <c r="CT652" s="1499"/>
      <c r="CU652" s="1499"/>
      <c r="CV652" s="1499"/>
      <c r="CW652" s="1500"/>
      <c r="CX652" s="1498">
        <f t="shared" si="37"/>
        <v>0</v>
      </c>
      <c r="CY652" s="1499"/>
      <c r="CZ652" s="1499"/>
      <c r="DA652" s="1499"/>
      <c r="DB652" s="1500"/>
      <c r="DC652" s="1498">
        <f t="shared" si="38"/>
        <v>0</v>
      </c>
      <c r="DD652" s="1499"/>
      <c r="DE652" s="1499"/>
      <c r="DF652" s="1499"/>
      <c r="DG652" s="1500"/>
      <c r="DH652" s="1498">
        <f t="shared" si="39"/>
        <v>0</v>
      </c>
      <c r="DI652" s="1499"/>
      <c r="DJ652" s="1499"/>
      <c r="DK652" s="1499"/>
      <c r="DL652" s="1500"/>
      <c r="DM652" s="1498">
        <f t="shared" si="40"/>
        <v>0</v>
      </c>
      <c r="DN652" s="1499"/>
      <c r="DO652" s="1499"/>
      <c r="DP652" s="1499"/>
      <c r="DQ652" s="1500"/>
      <c r="DR652" s="1498">
        <f t="shared" si="41"/>
        <v>0</v>
      </c>
      <c r="DS652" s="1499"/>
      <c r="DT652" s="1499"/>
      <c r="DU652" s="1499"/>
      <c r="DV652" s="1500"/>
      <c r="DX652" s="1492" t="e">
        <f t="shared" si="29"/>
        <v>#VALUE!</v>
      </c>
      <c r="DY652" s="1492"/>
      <c r="DZ652" s="1492"/>
      <c r="EA652" s="1492"/>
      <c r="EB652" s="1492"/>
      <c r="EC652" s="1492" t="e">
        <f t="shared" si="24"/>
        <v>#VALUE!</v>
      </c>
      <c r="ED652" s="1492"/>
      <c r="EE652" s="1492"/>
      <c r="EF652" s="1492"/>
      <c r="EG652" s="1492"/>
      <c r="EH652" s="1492" t="e">
        <f t="shared" si="25"/>
        <v>#VALUE!</v>
      </c>
      <c r="EI652" s="1492"/>
      <c r="EJ652" s="1492"/>
      <c r="EK652" s="1492"/>
      <c r="EL652" s="1492"/>
      <c r="EM652" s="1492" t="e">
        <f t="shared" si="26"/>
        <v>#VALUE!</v>
      </c>
      <c r="EN652" s="1492"/>
      <c r="EO652" s="1492"/>
      <c r="EP652" s="1492"/>
      <c r="EQ652" s="1492"/>
      <c r="ER652" s="1492" t="e">
        <f t="shared" si="27"/>
        <v>#VALUE!</v>
      </c>
      <c r="ES652" s="1492"/>
      <c r="ET652" s="1492"/>
      <c r="EU652" s="1492"/>
      <c r="EV652" s="1492"/>
      <c r="EW652" s="1492" t="e">
        <f t="shared" si="28"/>
        <v>#VALUE!</v>
      </c>
      <c r="EX652" s="1492"/>
      <c r="EY652" s="1492"/>
      <c r="EZ652" s="1492"/>
      <c r="FA652" s="1492"/>
    </row>
    <row r="653" spans="1:157" ht="12.95" customHeight="1">
      <c r="A653" s="22"/>
      <c r="B653" t="s">
        <v>588</v>
      </c>
      <c r="G653" s="1441" t="s">
        <v>739</v>
      </c>
      <c r="H653" s="1441"/>
      <c r="I653" s="1441"/>
      <c r="J653" s="1441"/>
      <c r="K653" s="1441"/>
      <c r="L653" s="1441"/>
      <c r="M653" s="1441"/>
      <c r="N653" s="1441"/>
      <c r="O653" s="1441"/>
      <c r="P653" s="1441"/>
      <c r="Q653" s="1441"/>
      <c r="R653" s="1441"/>
      <c r="T653" s="22"/>
      <c r="U653" t="s">
        <v>588</v>
      </c>
      <c r="Z653" s="1441" t="s">
        <v>739</v>
      </c>
      <c r="AA653" s="1441"/>
      <c r="AB653" s="1441"/>
      <c r="AC653" s="1441"/>
      <c r="AD653" s="1441"/>
      <c r="AE653" s="1441"/>
      <c r="AF653" s="1441"/>
      <c r="AG653" s="1441"/>
      <c r="AH653" s="1441"/>
      <c r="AI653" s="1441"/>
      <c r="AJ653" s="1441"/>
      <c r="AK653" s="1441"/>
      <c r="AZ653" s="34"/>
      <c r="BA653" s="34"/>
      <c r="BB653" s="34"/>
      <c r="BC653" s="34"/>
      <c r="BD653" s="34"/>
      <c r="BE653" s="34"/>
      <c r="BF653" s="34"/>
      <c r="BG653" s="34"/>
      <c r="BH653" s="34"/>
      <c r="BI653" s="34"/>
      <c r="BJ653" s="34"/>
      <c r="BK653" s="34"/>
      <c r="BL653" s="34"/>
      <c r="BM653" s="34"/>
      <c r="BN653" s="1498">
        <f t="shared" si="30"/>
        <v>0</v>
      </c>
      <c r="BO653" s="1499"/>
      <c r="BP653" s="1499"/>
      <c r="BQ653" s="1499"/>
      <c r="BR653" s="1500"/>
      <c r="BS653" s="1497">
        <f t="shared" si="31"/>
        <v>0</v>
      </c>
      <c r="BT653" s="1497"/>
      <c r="BU653" s="1497"/>
      <c r="BV653" s="1497"/>
      <c r="BW653" s="1497"/>
      <c r="BX653" s="1497">
        <f t="shared" si="32"/>
        <v>0</v>
      </c>
      <c r="BY653" s="1497"/>
      <c r="BZ653" s="1497"/>
      <c r="CA653" s="1497"/>
      <c r="CB653" s="1497"/>
      <c r="CC653" s="1497">
        <f t="shared" si="33"/>
        <v>0</v>
      </c>
      <c r="CD653" s="1497"/>
      <c r="CE653" s="1497"/>
      <c r="CF653" s="1497"/>
      <c r="CG653" s="1497"/>
      <c r="CH653" s="1497">
        <f t="shared" si="34"/>
        <v>0</v>
      </c>
      <c r="CI653" s="1497"/>
      <c r="CJ653" s="1497"/>
      <c r="CK653" s="1497"/>
      <c r="CL653" s="1497"/>
      <c r="CM653" s="1497">
        <f t="shared" si="35"/>
        <v>0</v>
      </c>
      <c r="CN653" s="1497"/>
      <c r="CO653" s="1497"/>
      <c r="CP653" s="1497"/>
      <c r="CQ653" s="1497"/>
      <c r="CR653" s="6"/>
      <c r="CS653" s="1498">
        <f t="shared" si="36"/>
        <v>0</v>
      </c>
      <c r="CT653" s="1499"/>
      <c r="CU653" s="1499"/>
      <c r="CV653" s="1499"/>
      <c r="CW653" s="1500"/>
      <c r="CX653" s="1498">
        <f t="shared" si="37"/>
        <v>0</v>
      </c>
      <c r="CY653" s="1499"/>
      <c r="CZ653" s="1499"/>
      <c r="DA653" s="1499"/>
      <c r="DB653" s="1500"/>
      <c r="DC653" s="1498">
        <f t="shared" si="38"/>
        <v>0</v>
      </c>
      <c r="DD653" s="1499"/>
      <c r="DE653" s="1499"/>
      <c r="DF653" s="1499"/>
      <c r="DG653" s="1500"/>
      <c r="DH653" s="1498">
        <f t="shared" si="39"/>
        <v>0</v>
      </c>
      <c r="DI653" s="1499"/>
      <c r="DJ653" s="1499"/>
      <c r="DK653" s="1499"/>
      <c r="DL653" s="1500"/>
      <c r="DM653" s="1498">
        <f t="shared" si="40"/>
        <v>0</v>
      </c>
      <c r="DN653" s="1499"/>
      <c r="DO653" s="1499"/>
      <c r="DP653" s="1499"/>
      <c r="DQ653" s="1500"/>
      <c r="DR653" s="1498">
        <f t="shared" si="41"/>
        <v>0</v>
      </c>
      <c r="DS653" s="1499"/>
      <c r="DT653" s="1499"/>
      <c r="DU653" s="1499"/>
      <c r="DV653" s="1500"/>
      <c r="DX653" s="1492" t="e">
        <f t="shared" si="29"/>
        <v>#VALUE!</v>
      </c>
      <c r="DY653" s="1492"/>
      <c r="DZ653" s="1492"/>
      <c r="EA653" s="1492"/>
      <c r="EB653" s="1492"/>
      <c r="EC653" s="1492" t="e">
        <f t="shared" si="24"/>
        <v>#VALUE!</v>
      </c>
      <c r="ED653" s="1492"/>
      <c r="EE653" s="1492"/>
      <c r="EF653" s="1492"/>
      <c r="EG653" s="1492"/>
      <c r="EH653" s="1492" t="e">
        <f t="shared" si="25"/>
        <v>#VALUE!</v>
      </c>
      <c r="EI653" s="1492"/>
      <c r="EJ653" s="1492"/>
      <c r="EK653" s="1492"/>
      <c r="EL653" s="1492"/>
      <c r="EM653" s="1492" t="e">
        <f t="shared" si="26"/>
        <v>#VALUE!</v>
      </c>
      <c r="EN653" s="1492"/>
      <c r="EO653" s="1492"/>
      <c r="EP653" s="1492"/>
      <c r="EQ653" s="1492"/>
      <c r="ER653" s="1492" t="e">
        <f t="shared" si="27"/>
        <v>#VALUE!</v>
      </c>
      <c r="ES653" s="1492"/>
      <c r="ET653" s="1492"/>
      <c r="EU653" s="1492"/>
      <c r="EV653" s="1492"/>
      <c r="EW653" s="1492" t="e">
        <f t="shared" si="28"/>
        <v>#VALUE!</v>
      </c>
      <c r="EX653" s="1492"/>
      <c r="EY653" s="1492"/>
      <c r="EZ653" s="1492"/>
      <c r="FA653" s="1492"/>
    </row>
    <row r="654" spans="1:157" ht="12.95" customHeight="1">
      <c r="A654" s="22"/>
      <c r="B654" t="s">
        <v>17</v>
      </c>
      <c r="G654" s="1441" t="s">
        <v>2657</v>
      </c>
      <c r="H654" s="1441"/>
      <c r="I654" s="1441"/>
      <c r="J654" s="1441"/>
      <c r="K654" s="1441"/>
      <c r="L654" s="1441"/>
      <c r="M654" s="1441"/>
      <c r="N654" s="1441"/>
      <c r="O654" s="1441"/>
      <c r="P654" s="1441"/>
      <c r="Q654" s="1441"/>
      <c r="R654" s="1441"/>
      <c r="T654" s="22"/>
      <c r="U654" t="s">
        <v>17</v>
      </c>
      <c r="Z654" s="1441" t="s">
        <v>2657</v>
      </c>
      <c r="AA654" s="1441"/>
      <c r="AB654" s="1441"/>
      <c r="AC654" s="1441"/>
      <c r="AD654" s="1441"/>
      <c r="AE654" s="1441"/>
      <c r="AF654" s="1441"/>
      <c r="AG654" s="1441"/>
      <c r="AH654" s="1441"/>
      <c r="AI654" s="1441"/>
      <c r="AJ654" s="1441"/>
      <c r="AK654" s="1441"/>
      <c r="AZ654" s="34"/>
      <c r="BA654" s="34"/>
      <c r="BB654" s="34"/>
      <c r="BC654" s="34"/>
      <c r="BD654" s="34"/>
      <c r="BE654" s="34"/>
      <c r="BF654" s="34"/>
      <c r="BG654" s="34"/>
      <c r="BH654" s="34"/>
      <c r="BI654" s="34"/>
      <c r="BJ654" s="34"/>
      <c r="BK654" s="34"/>
      <c r="BL654" s="34"/>
      <c r="BM654" s="34"/>
      <c r="BN654" s="1498">
        <f t="shared" si="30"/>
        <v>0</v>
      </c>
      <c r="BO654" s="1499"/>
      <c r="BP654" s="1499"/>
      <c r="BQ654" s="1499"/>
      <c r="BR654" s="1500"/>
      <c r="BS654" s="1497">
        <f t="shared" si="31"/>
        <v>0</v>
      </c>
      <c r="BT654" s="1497"/>
      <c r="BU654" s="1497"/>
      <c r="BV654" s="1497"/>
      <c r="BW654" s="1497"/>
      <c r="BX654" s="1497">
        <f t="shared" si="32"/>
        <v>0</v>
      </c>
      <c r="BY654" s="1497"/>
      <c r="BZ654" s="1497"/>
      <c r="CA654" s="1497"/>
      <c r="CB654" s="1497"/>
      <c r="CC654" s="1497">
        <f t="shared" si="33"/>
        <v>0</v>
      </c>
      <c r="CD654" s="1497"/>
      <c r="CE654" s="1497"/>
      <c r="CF654" s="1497"/>
      <c r="CG654" s="1497"/>
      <c r="CH654" s="1497">
        <f t="shared" si="34"/>
        <v>0</v>
      </c>
      <c r="CI654" s="1497"/>
      <c r="CJ654" s="1497"/>
      <c r="CK654" s="1497"/>
      <c r="CL654" s="1497"/>
      <c r="CM654" s="1497">
        <f t="shared" si="35"/>
        <v>0</v>
      </c>
      <c r="CN654" s="1497"/>
      <c r="CO654" s="1497"/>
      <c r="CP654" s="1497"/>
      <c r="CQ654" s="1497"/>
      <c r="CR654" s="6"/>
      <c r="CS654" s="1498">
        <f t="shared" si="36"/>
        <v>0</v>
      </c>
      <c r="CT654" s="1499"/>
      <c r="CU654" s="1499"/>
      <c r="CV654" s="1499"/>
      <c r="CW654" s="1500"/>
      <c r="CX654" s="1498">
        <f t="shared" si="37"/>
        <v>0</v>
      </c>
      <c r="CY654" s="1499"/>
      <c r="CZ654" s="1499"/>
      <c r="DA654" s="1499"/>
      <c r="DB654" s="1500"/>
      <c r="DC654" s="1498">
        <f t="shared" si="38"/>
        <v>0</v>
      </c>
      <c r="DD654" s="1499"/>
      <c r="DE654" s="1499"/>
      <c r="DF654" s="1499"/>
      <c r="DG654" s="1500"/>
      <c r="DH654" s="1498">
        <f t="shared" si="39"/>
        <v>0</v>
      </c>
      <c r="DI654" s="1499"/>
      <c r="DJ654" s="1499"/>
      <c r="DK654" s="1499"/>
      <c r="DL654" s="1500"/>
      <c r="DM654" s="1498">
        <f t="shared" si="40"/>
        <v>0</v>
      </c>
      <c r="DN654" s="1499"/>
      <c r="DO654" s="1499"/>
      <c r="DP654" s="1499"/>
      <c r="DQ654" s="1500"/>
      <c r="DR654" s="1498">
        <f t="shared" si="41"/>
        <v>0</v>
      </c>
      <c r="DS654" s="1499"/>
      <c r="DT654" s="1499"/>
      <c r="DU654" s="1499"/>
      <c r="DV654" s="1500"/>
      <c r="DX654" s="1492" t="e">
        <f t="shared" si="29"/>
        <v>#VALUE!</v>
      </c>
      <c r="DY654" s="1492"/>
      <c r="DZ654" s="1492"/>
      <c r="EA654" s="1492"/>
      <c r="EB654" s="1492"/>
      <c r="EC654" s="1492" t="e">
        <f t="shared" si="24"/>
        <v>#VALUE!</v>
      </c>
      <c r="ED654" s="1492"/>
      <c r="EE654" s="1492"/>
      <c r="EF654" s="1492"/>
      <c r="EG654" s="1492"/>
      <c r="EH654" s="1492" t="e">
        <f t="shared" si="25"/>
        <v>#VALUE!</v>
      </c>
      <c r="EI654" s="1492"/>
      <c r="EJ654" s="1492"/>
      <c r="EK654" s="1492"/>
      <c r="EL654" s="1492"/>
      <c r="EM654" s="1492" t="e">
        <f t="shared" si="26"/>
        <v>#VALUE!</v>
      </c>
      <c r="EN654" s="1492"/>
      <c r="EO654" s="1492"/>
      <c r="EP654" s="1492"/>
      <c r="EQ654" s="1492"/>
      <c r="ER654" s="1492" t="e">
        <f t="shared" si="27"/>
        <v>#VALUE!</v>
      </c>
      <c r="ES654" s="1492"/>
      <c r="ET654" s="1492"/>
      <c r="EU654" s="1492"/>
      <c r="EV654" s="1492"/>
      <c r="EW654" s="1492" t="e">
        <f t="shared" si="28"/>
        <v>#VALUE!</v>
      </c>
      <c r="EX654" s="1492"/>
      <c r="EY654" s="1492"/>
      <c r="EZ654" s="1492"/>
      <c r="FA654" s="1492"/>
    </row>
    <row r="655" spans="1:157" ht="12.95" customHeight="1">
      <c r="A655" s="22"/>
      <c r="B655" t="s">
        <v>317</v>
      </c>
      <c r="G655" s="1394" t="s">
        <v>2658</v>
      </c>
      <c r="H655" s="1395"/>
      <c r="I655" s="1395"/>
      <c r="J655" s="1395"/>
      <c r="K655" s="1395"/>
      <c r="L655" s="1395"/>
      <c r="O655" s="33" t="s">
        <v>207</v>
      </c>
      <c r="P655" s="1472"/>
      <c r="Q655" s="1472"/>
      <c r="R655" s="1472"/>
      <c r="T655" s="22"/>
      <c r="U655" t="s">
        <v>317</v>
      </c>
      <c r="Z655" s="1394" t="s">
        <v>2658</v>
      </c>
      <c r="AA655" s="1395"/>
      <c r="AB655" s="1395"/>
      <c r="AC655" s="1395"/>
      <c r="AD655" s="1395"/>
      <c r="AE655" s="1395"/>
      <c r="AH655" s="33" t="s">
        <v>207</v>
      </c>
      <c r="AI655" s="1472"/>
      <c r="AJ655" s="1472"/>
      <c r="AK655" s="1472"/>
      <c r="AZ655" s="34"/>
      <c r="BA655" s="34"/>
      <c r="BB655" s="34"/>
      <c r="BC655" s="34"/>
      <c r="BD655" s="34"/>
      <c r="BE655" s="34"/>
      <c r="BF655" s="34"/>
      <c r="BG655" s="34"/>
      <c r="BH655" s="34"/>
      <c r="BI655" s="34"/>
      <c r="BJ655" s="34"/>
      <c r="BK655" s="34"/>
      <c r="BL655" s="34"/>
      <c r="BM655" s="34"/>
      <c r="BN655" s="1508">
        <f>SUM(BN645:BR654)</f>
        <v>0</v>
      </c>
      <c r="BO655" s="1509"/>
      <c r="BP655" s="1509"/>
      <c r="BQ655" s="1509"/>
      <c r="BR655" s="1510"/>
      <c r="BS655" s="1502">
        <f>SUM(BS645:BW654)</f>
        <v>0</v>
      </c>
      <c r="BT655" s="1503"/>
      <c r="BU655" s="1503"/>
      <c r="BV655" s="1503"/>
      <c r="BW655" s="1504"/>
      <c r="BX655" s="1502">
        <f>SUM(BX645:CB654)</f>
        <v>0</v>
      </c>
      <c r="BY655" s="1503"/>
      <c r="BZ655" s="1503"/>
      <c r="CA655" s="1503"/>
      <c r="CB655" s="1504"/>
      <c r="CC655" s="1502">
        <f>SUM(CC645:CG654)</f>
        <v>0</v>
      </c>
      <c r="CD655" s="1503"/>
      <c r="CE655" s="1503"/>
      <c r="CF655" s="1503"/>
      <c r="CG655" s="1504"/>
      <c r="CH655" s="1502">
        <f>SUM(CH645:CL654)</f>
        <v>0</v>
      </c>
      <c r="CI655" s="1503"/>
      <c r="CJ655" s="1503"/>
      <c r="CK655" s="1503"/>
      <c r="CL655" s="1504"/>
      <c r="CM655" s="1502">
        <f>SUM(CM645:CQ654)</f>
        <v>0</v>
      </c>
      <c r="CN655" s="1503"/>
      <c r="CO655" s="1503"/>
      <c r="CP655" s="1503"/>
      <c r="CQ655" s="1504"/>
      <c r="CR655" s="1047"/>
      <c r="CS655" s="1505">
        <f>SUM(CS645:CW654)</f>
        <v>0</v>
      </c>
      <c r="CT655" s="1505"/>
      <c r="CU655" s="1505"/>
      <c r="CV655" s="1505"/>
      <c r="CW655" s="1505"/>
      <c r="CX655" s="1505">
        <f>SUM(CX645:DB654)</f>
        <v>0</v>
      </c>
      <c r="CY655" s="1505"/>
      <c r="CZ655" s="1505"/>
      <c r="DA655" s="1505"/>
      <c r="DB655" s="1505"/>
      <c r="DC655" s="1505">
        <f>SUM(DC645:DG654)</f>
        <v>0</v>
      </c>
      <c r="DD655" s="1505"/>
      <c r="DE655" s="1505"/>
      <c r="DF655" s="1505"/>
      <c r="DG655" s="1505"/>
      <c r="DH655" s="1505">
        <f>SUM(DH645:DL654)</f>
        <v>0</v>
      </c>
      <c r="DI655" s="1505"/>
      <c r="DJ655" s="1505"/>
      <c r="DK655" s="1505"/>
      <c r="DL655" s="1505"/>
      <c r="DM655" s="1505">
        <f>SUM(DM645:DQ654)</f>
        <v>0</v>
      </c>
      <c r="DN655" s="1505"/>
      <c r="DO655" s="1505"/>
      <c r="DP655" s="1505"/>
      <c r="DQ655" s="1505"/>
      <c r="DR655" s="1505">
        <f>SUM(DR645:DV654)</f>
        <v>0</v>
      </c>
      <c r="DS655" s="1505"/>
      <c r="DT655" s="1505"/>
      <c r="DU655" s="1505"/>
      <c r="DV655" s="1505"/>
      <c r="DX655" s="1492" t="e">
        <f t="shared" si="29"/>
        <v>#VALUE!</v>
      </c>
      <c r="DY655" s="1492"/>
      <c r="DZ655" s="1492"/>
      <c r="EA655" s="1492"/>
      <c r="EB655" s="1492"/>
      <c r="EC655" s="1492" t="e">
        <f t="shared" si="24"/>
        <v>#VALUE!</v>
      </c>
      <c r="ED655" s="1492"/>
      <c r="EE655" s="1492"/>
      <c r="EF655" s="1492"/>
      <c r="EG655" s="1492"/>
      <c r="EH655" s="1492" t="e">
        <f t="shared" si="25"/>
        <v>#VALUE!</v>
      </c>
      <c r="EI655" s="1492"/>
      <c r="EJ655" s="1492"/>
      <c r="EK655" s="1492"/>
      <c r="EL655" s="1492"/>
      <c r="EM655" s="1492" t="e">
        <f t="shared" si="26"/>
        <v>#VALUE!</v>
      </c>
      <c r="EN655" s="1492"/>
      <c r="EO655" s="1492"/>
      <c r="EP655" s="1492"/>
      <c r="EQ655" s="1492"/>
      <c r="ER655" s="1492" t="e">
        <f t="shared" si="27"/>
        <v>#VALUE!</v>
      </c>
      <c r="ES655" s="1492"/>
      <c r="ET655" s="1492"/>
      <c r="EU655" s="1492"/>
      <c r="EV655" s="1492"/>
      <c r="EW655" s="1492" t="e">
        <f t="shared" si="28"/>
        <v>#VALUE!</v>
      </c>
      <c r="EX655" s="1492"/>
      <c r="EY655" s="1492"/>
      <c r="EZ655" s="1492"/>
      <c r="FA655" s="1492"/>
    </row>
    <row r="656" spans="1:157" ht="12.95" customHeight="1">
      <c r="A656" s="22"/>
      <c r="B656" t="s">
        <v>18</v>
      </c>
      <c r="H656" s="1384" t="str">
        <f>M629</f>
        <v>Equity, General Partner</v>
      </c>
      <c r="I656" s="1384"/>
      <c r="J656" s="1384"/>
      <c r="K656" s="1384"/>
      <c r="L656" s="1384"/>
      <c r="M656" s="1384"/>
      <c r="N656" s="1384"/>
      <c r="O656" s="1384"/>
      <c r="P656" s="1384"/>
      <c r="Q656" s="1384"/>
      <c r="R656" s="1384"/>
      <c r="T656" s="22"/>
      <c r="U656" t="s">
        <v>18</v>
      </c>
      <c r="AA656" s="1384" t="str">
        <f>M630</f>
        <v>Loan, General Partner</v>
      </c>
      <c r="AB656" s="1384"/>
      <c r="AC656" s="1384"/>
      <c r="AD656" s="1384"/>
      <c r="AE656" s="1384"/>
      <c r="AF656" s="1384"/>
      <c r="AG656" s="1384"/>
      <c r="AH656" s="1384"/>
      <c r="AI656" s="1384"/>
      <c r="AJ656" s="1384"/>
      <c r="AK656" s="1384"/>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2" t="e">
        <f t="shared" si="29"/>
        <v>#VALUE!</v>
      </c>
      <c r="DY656" s="1492"/>
      <c r="DZ656" s="1492"/>
      <c r="EA656" s="1492"/>
      <c r="EB656" s="1492"/>
      <c r="EC656" s="1492" t="e">
        <f t="shared" si="24"/>
        <v>#VALUE!</v>
      </c>
      <c r="ED656" s="1492"/>
      <c r="EE656" s="1492"/>
      <c r="EF656" s="1492"/>
      <c r="EG656" s="1492"/>
      <c r="EH656" s="1492" t="e">
        <f t="shared" si="25"/>
        <v>#VALUE!</v>
      </c>
      <c r="EI656" s="1492"/>
      <c r="EJ656" s="1492"/>
      <c r="EK656" s="1492"/>
      <c r="EL656" s="1492"/>
      <c r="EM656" s="1492" t="e">
        <f t="shared" si="26"/>
        <v>#VALUE!</v>
      </c>
      <c r="EN656" s="1492"/>
      <c r="EO656" s="1492"/>
      <c r="EP656" s="1492"/>
      <c r="EQ656" s="1492"/>
      <c r="ER656" s="1492" t="e">
        <f t="shared" si="27"/>
        <v>#VALUE!</v>
      </c>
      <c r="ES656" s="1492"/>
      <c r="ET656" s="1492"/>
      <c r="EU656" s="1492"/>
      <c r="EV656" s="1492"/>
      <c r="EW656" s="1492" t="e">
        <f t="shared" si="28"/>
        <v>#VALUE!</v>
      </c>
      <c r="EX656" s="1492"/>
      <c r="EY656" s="1492"/>
      <c r="EZ656" s="1492"/>
      <c r="FA656" s="1492"/>
    </row>
    <row r="657" spans="1:157" ht="12.95" customHeight="1">
      <c r="A657" s="22"/>
      <c r="B657" t="s">
        <v>20</v>
      </c>
      <c r="N657" s="1383" t="s">
        <v>553</v>
      </c>
      <c r="O657" s="1383"/>
      <c r="T657" s="22"/>
      <c r="U657" t="s">
        <v>20</v>
      </c>
      <c r="AG657" s="1383" t="s">
        <v>553</v>
      </c>
      <c r="AH657" s="1383"/>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92">
        <f>SUM(CS655:DV655)</f>
        <v>0</v>
      </c>
      <c r="DS657" s="1492"/>
      <c r="DT657" s="1492"/>
      <c r="DU657" s="1492"/>
      <c r="DV657" s="1492"/>
      <c r="DX657" s="1492" t="e">
        <f t="shared" si="29"/>
        <v>#VALUE!</v>
      </c>
      <c r="DY657" s="1492"/>
      <c r="DZ657" s="1492"/>
      <c r="EA657" s="1492"/>
      <c r="EB657" s="1492"/>
      <c r="EC657" s="1492" t="e">
        <f t="shared" si="24"/>
        <v>#VALUE!</v>
      </c>
      <c r="ED657" s="1492"/>
      <c r="EE657" s="1492"/>
      <c r="EF657" s="1492"/>
      <c r="EG657" s="1492"/>
      <c r="EH657" s="1492" t="e">
        <f t="shared" si="25"/>
        <v>#VALUE!</v>
      </c>
      <c r="EI657" s="1492"/>
      <c r="EJ657" s="1492"/>
      <c r="EK657" s="1492"/>
      <c r="EL657" s="1492"/>
      <c r="EM657" s="1492" t="e">
        <f t="shared" si="26"/>
        <v>#VALUE!</v>
      </c>
      <c r="EN657" s="1492"/>
      <c r="EO657" s="1492"/>
      <c r="EP657" s="1492"/>
      <c r="EQ657" s="1492"/>
      <c r="ER657" s="1492" t="e">
        <f t="shared" si="27"/>
        <v>#VALUE!</v>
      </c>
      <c r="ES657" s="1492"/>
      <c r="ET657" s="1492"/>
      <c r="EU657" s="1492"/>
      <c r="EV657" s="1492"/>
      <c r="EW657" s="1492" t="e">
        <f t="shared" si="28"/>
        <v>#VALUE!</v>
      </c>
      <c r="EX657" s="1492"/>
      <c r="EY657" s="1492"/>
      <c r="EZ657" s="1492"/>
      <c r="FA657" s="1492"/>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92" t="e">
        <f t="shared" ref="DX658:DX667" si="42">DX620*(BN620/$BN$632)</f>
        <v>#VALUE!</v>
      </c>
      <c r="DY658" s="1492"/>
      <c r="DZ658" s="1492"/>
      <c r="EA658" s="1492"/>
      <c r="EB658" s="1492"/>
      <c r="EC658" s="1492" t="e">
        <f t="shared" ref="EC658:EC667" si="43">EC620*(BS620/$BS$632)</f>
        <v>#VALUE!</v>
      </c>
      <c r="ED658" s="1492"/>
      <c r="EE658" s="1492"/>
      <c r="EF658" s="1492"/>
      <c r="EG658" s="1492"/>
      <c r="EH658" s="1492" t="e">
        <f t="shared" ref="EH658:EH667" si="44">EH620*(BX620/$BX$632)</f>
        <v>#VALUE!</v>
      </c>
      <c r="EI658" s="1492"/>
      <c r="EJ658" s="1492"/>
      <c r="EK658" s="1492"/>
      <c r="EL658" s="1492"/>
      <c r="EM658" s="1492" t="e">
        <f t="shared" ref="EM658:EM667" si="45">EM620*(CC620/$CC$632)</f>
        <v>#VALUE!</v>
      </c>
      <c r="EN658" s="1492"/>
      <c r="EO658" s="1492"/>
      <c r="EP658" s="1492"/>
      <c r="EQ658" s="1492"/>
      <c r="ER658" s="1492" t="e">
        <f t="shared" ref="ER658:ER667" si="46">ER620*(CH620/$CH$632)</f>
        <v>#VALUE!</v>
      </c>
      <c r="ES658" s="1492"/>
      <c r="ET658" s="1492"/>
      <c r="EU658" s="1492"/>
      <c r="EV658" s="1492"/>
      <c r="EW658" s="1492" t="e">
        <f t="shared" ref="EW658:EW667" si="47">EW620*(CM620/$CM$632)</f>
        <v>#VALUE!</v>
      </c>
      <c r="EX658" s="1492"/>
      <c r="EY658" s="1492"/>
      <c r="EZ658" s="1492"/>
      <c r="FA658" s="1492"/>
    </row>
    <row r="659" spans="1:157" ht="12.95" customHeight="1">
      <c r="A659" s="55" t="s">
        <v>772</v>
      </c>
      <c r="B659" t="s">
        <v>471</v>
      </c>
      <c r="G659" s="1471" t="str">
        <f>C631</f>
        <v>Cashflow During Operations</v>
      </c>
      <c r="H659" s="1471"/>
      <c r="I659" s="1471"/>
      <c r="J659" s="1471"/>
      <c r="K659" s="1471"/>
      <c r="L659" s="1471"/>
      <c r="M659" s="1471"/>
      <c r="N659" s="1471"/>
      <c r="O659" s="1471"/>
      <c r="P659" s="1471"/>
      <c r="Q659" s="1471"/>
      <c r="R659" s="1471"/>
      <c r="T659" s="55" t="s">
        <v>592</v>
      </c>
      <c r="U659" t="s">
        <v>471</v>
      </c>
      <c r="Z659" s="1471" t="str">
        <f>C632</f>
        <v>Deferred Developer Fee</v>
      </c>
      <c r="AA659" s="1471"/>
      <c r="AB659" s="1471"/>
      <c r="AC659" s="1471"/>
      <c r="AD659" s="1471"/>
      <c r="AE659" s="1471"/>
      <c r="AF659" s="1471"/>
      <c r="AG659" s="1471"/>
      <c r="AH659" s="1471"/>
      <c r="AI659" s="1471"/>
      <c r="AJ659" s="1471"/>
      <c r="AK659" s="147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2" t="e">
        <f t="shared" si="42"/>
        <v>#VALUE!</v>
      </c>
      <c r="DY659" s="1492"/>
      <c r="DZ659" s="1492"/>
      <c r="EA659" s="1492"/>
      <c r="EB659" s="1492"/>
      <c r="EC659" s="1492" t="e">
        <f t="shared" si="43"/>
        <v>#VALUE!</v>
      </c>
      <c r="ED659" s="1492"/>
      <c r="EE659" s="1492"/>
      <c r="EF659" s="1492"/>
      <c r="EG659" s="1492"/>
      <c r="EH659" s="1492" t="e">
        <f t="shared" si="44"/>
        <v>#VALUE!</v>
      </c>
      <c r="EI659" s="1492"/>
      <c r="EJ659" s="1492"/>
      <c r="EK659" s="1492"/>
      <c r="EL659" s="1492"/>
      <c r="EM659" s="1492" t="e">
        <f t="shared" si="45"/>
        <v>#VALUE!</v>
      </c>
      <c r="EN659" s="1492"/>
      <c r="EO659" s="1492"/>
      <c r="EP659" s="1492"/>
      <c r="EQ659" s="1492"/>
      <c r="ER659" s="1492" t="e">
        <f t="shared" si="46"/>
        <v>#VALUE!</v>
      </c>
      <c r="ES659" s="1492"/>
      <c r="ET659" s="1492"/>
      <c r="EU659" s="1492"/>
      <c r="EV659" s="1492"/>
      <c r="EW659" s="1492" t="e">
        <f t="shared" si="47"/>
        <v>#VALUE!</v>
      </c>
      <c r="EX659" s="1492"/>
      <c r="EY659" s="1492"/>
      <c r="EZ659" s="1492"/>
      <c r="FA659" s="1492"/>
    </row>
    <row r="660" spans="1:157" ht="12.95" customHeight="1">
      <c r="A660" s="22"/>
      <c r="B660" t="s">
        <v>85</v>
      </c>
      <c r="G660" s="1384" t="s">
        <v>2655</v>
      </c>
      <c r="H660" s="1384"/>
      <c r="I660" s="1384"/>
      <c r="J660" s="1384"/>
      <c r="K660" s="1384"/>
      <c r="L660" s="1384"/>
      <c r="M660" s="1384"/>
      <c r="N660" s="1384"/>
      <c r="O660" s="1384"/>
      <c r="P660" s="1384"/>
      <c r="Q660" s="1384"/>
      <c r="R660" s="1384"/>
      <c r="T660" s="22"/>
      <c r="U660" t="s">
        <v>85</v>
      </c>
      <c r="Z660" s="1384" t="s">
        <v>2655</v>
      </c>
      <c r="AA660" s="1384"/>
      <c r="AB660" s="1384"/>
      <c r="AC660" s="1384"/>
      <c r="AD660" s="1384"/>
      <c r="AE660" s="1384"/>
      <c r="AF660" s="1384"/>
      <c r="AG660" s="1384"/>
      <c r="AH660" s="1384"/>
      <c r="AI660" s="1384"/>
      <c r="AJ660" s="1384"/>
      <c r="AK660" s="1384"/>
      <c r="AZ660" s="34"/>
      <c r="BA660" s="34"/>
      <c r="BB660" s="34"/>
      <c r="BC660" s="34"/>
      <c r="BD660" s="34"/>
      <c r="BE660" s="34"/>
      <c r="BF660" s="34"/>
      <c r="BG660" s="34"/>
      <c r="BH660" s="34"/>
      <c r="BI660" s="34"/>
      <c r="BJ660" s="34"/>
      <c r="BK660" s="34"/>
      <c r="BL660" s="34"/>
      <c r="BM660" s="34"/>
      <c r="BN660" s="1502">
        <f>BN632+BN641+BN655</f>
        <v>0</v>
      </c>
      <c r="BO660" s="1503"/>
      <c r="BP660" s="1503"/>
      <c r="BQ660" s="1503"/>
      <c r="BR660" s="1504"/>
      <c r="BS660" s="1502">
        <f>BS632+BS641+BS655</f>
        <v>148</v>
      </c>
      <c r="BT660" s="1503"/>
      <c r="BU660" s="1503"/>
      <c r="BV660" s="1503"/>
      <c r="BW660" s="1504"/>
      <c r="BX660" s="1502">
        <f>BX632+BX641+BX655</f>
        <v>49</v>
      </c>
      <c r="BY660" s="1503"/>
      <c r="BZ660" s="1503"/>
      <c r="CA660" s="1503"/>
      <c r="CB660" s="1504"/>
      <c r="CC660" s="1502">
        <f>CC632+CC641+CC655</f>
        <v>0</v>
      </c>
      <c r="CD660" s="1503"/>
      <c r="CE660" s="1503"/>
      <c r="CF660" s="1503"/>
      <c r="CG660" s="1504"/>
      <c r="CH660" s="1502">
        <f>CH632+CH641+CH655</f>
        <v>0</v>
      </c>
      <c r="CI660" s="1503"/>
      <c r="CJ660" s="1503"/>
      <c r="CK660" s="1503"/>
      <c r="CL660" s="1504"/>
      <c r="CM660" s="1494">
        <f>CM655+CM641+CM632</f>
        <v>0</v>
      </c>
      <c r="CN660" s="1495"/>
      <c r="CO660" s="1495"/>
      <c r="CP660" s="1495"/>
      <c r="CQ660" s="1496"/>
      <c r="CR660" s="3"/>
      <c r="CS660" s="895">
        <f>CS634+CS658</f>
        <v>244</v>
      </c>
      <c r="CT660" s="57" t="s">
        <v>2053</v>
      </c>
      <c r="CU660" s="3"/>
      <c r="CV660" s="3"/>
      <c r="CW660" s="3"/>
      <c r="CX660" s="3"/>
      <c r="CY660" s="3"/>
      <c r="CZ660" s="3"/>
      <c r="DA660" s="3"/>
      <c r="DB660" s="3"/>
      <c r="DC660" s="3"/>
      <c r="DD660" s="3"/>
      <c r="DE660" s="3"/>
      <c r="DF660" s="3"/>
      <c r="DX660" s="1492" t="e">
        <f t="shared" si="42"/>
        <v>#VALUE!</v>
      </c>
      <c r="DY660" s="1492"/>
      <c r="DZ660" s="1492"/>
      <c r="EA660" s="1492"/>
      <c r="EB660" s="1492"/>
      <c r="EC660" s="1492" t="e">
        <f t="shared" si="43"/>
        <v>#VALUE!</v>
      </c>
      <c r="ED660" s="1492"/>
      <c r="EE660" s="1492"/>
      <c r="EF660" s="1492"/>
      <c r="EG660" s="1492"/>
      <c r="EH660" s="1492" t="e">
        <f t="shared" si="44"/>
        <v>#VALUE!</v>
      </c>
      <c r="EI660" s="1492"/>
      <c r="EJ660" s="1492"/>
      <c r="EK660" s="1492"/>
      <c r="EL660" s="1492"/>
      <c r="EM660" s="1492" t="e">
        <f t="shared" si="45"/>
        <v>#VALUE!</v>
      </c>
      <c r="EN660" s="1492"/>
      <c r="EO660" s="1492"/>
      <c r="EP660" s="1492"/>
      <c r="EQ660" s="1492"/>
      <c r="ER660" s="1492" t="e">
        <f t="shared" si="46"/>
        <v>#VALUE!</v>
      </c>
      <c r="ES660" s="1492"/>
      <c r="ET660" s="1492"/>
      <c r="EU660" s="1492"/>
      <c r="EV660" s="1492"/>
      <c r="EW660" s="1492" t="e">
        <f t="shared" si="47"/>
        <v>#VALUE!</v>
      </c>
      <c r="EX660" s="1492"/>
      <c r="EY660" s="1492"/>
      <c r="EZ660" s="1492"/>
      <c r="FA660" s="1492"/>
    </row>
    <row r="661" spans="1:157" ht="12.95" customHeight="1">
      <c r="A661" s="22"/>
      <c r="B661" t="s">
        <v>588</v>
      </c>
      <c r="G661" s="1384" t="s">
        <v>739</v>
      </c>
      <c r="H661" s="1384"/>
      <c r="I661" s="1384"/>
      <c r="J661" s="1384"/>
      <c r="K661" s="1384"/>
      <c r="L661" s="1384"/>
      <c r="M661" s="1384"/>
      <c r="N661" s="1384"/>
      <c r="O661" s="1384"/>
      <c r="P661" s="1384"/>
      <c r="Q661" s="1384"/>
      <c r="R661" s="1384"/>
      <c r="T661" s="22"/>
      <c r="U661" t="s">
        <v>588</v>
      </c>
      <c r="Z661" s="1441" t="s">
        <v>739</v>
      </c>
      <c r="AA661" s="1441"/>
      <c r="AB661" s="1441"/>
      <c r="AC661" s="1441"/>
      <c r="AD661" s="1441"/>
      <c r="AE661" s="1441"/>
      <c r="AF661" s="1441"/>
      <c r="AG661" s="1441"/>
      <c r="AH661" s="1441"/>
      <c r="AI661" s="1441"/>
      <c r="AJ661" s="1441"/>
      <c r="AK661" s="144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2" t="e">
        <f t="shared" si="42"/>
        <v>#VALUE!</v>
      </c>
      <c r="DY661" s="1492"/>
      <c r="DZ661" s="1492"/>
      <c r="EA661" s="1492"/>
      <c r="EB661" s="1492"/>
      <c r="EC661" s="1492" t="e">
        <f t="shared" si="43"/>
        <v>#VALUE!</v>
      </c>
      <c r="ED661" s="1492"/>
      <c r="EE661" s="1492"/>
      <c r="EF661" s="1492"/>
      <c r="EG661" s="1492"/>
      <c r="EH661" s="1492" t="e">
        <f t="shared" si="44"/>
        <v>#VALUE!</v>
      </c>
      <c r="EI661" s="1492"/>
      <c r="EJ661" s="1492"/>
      <c r="EK661" s="1492"/>
      <c r="EL661" s="1492"/>
      <c r="EM661" s="1492" t="e">
        <f t="shared" si="45"/>
        <v>#VALUE!</v>
      </c>
      <c r="EN661" s="1492"/>
      <c r="EO661" s="1492"/>
      <c r="EP661" s="1492"/>
      <c r="EQ661" s="1492"/>
      <c r="ER661" s="1492" t="e">
        <f t="shared" si="46"/>
        <v>#VALUE!</v>
      </c>
      <c r="ES661" s="1492"/>
      <c r="ET661" s="1492"/>
      <c r="EU661" s="1492"/>
      <c r="EV661" s="1492"/>
      <c r="EW661" s="1492" t="e">
        <f t="shared" si="47"/>
        <v>#VALUE!</v>
      </c>
      <c r="EX661" s="1492"/>
      <c r="EY661" s="1492"/>
      <c r="EZ661" s="1492"/>
      <c r="FA661" s="1492"/>
    </row>
    <row r="662" spans="1:157" ht="12.95" customHeight="1">
      <c r="A662" s="22"/>
      <c r="B662" t="s">
        <v>17</v>
      </c>
      <c r="G662" s="1384" t="s">
        <v>2657</v>
      </c>
      <c r="H662" s="1384"/>
      <c r="I662" s="1384"/>
      <c r="J662" s="1384"/>
      <c r="K662" s="1384"/>
      <c r="L662" s="1384"/>
      <c r="M662" s="1384"/>
      <c r="N662" s="1384"/>
      <c r="O662" s="1384"/>
      <c r="P662" s="1384"/>
      <c r="Q662" s="1384"/>
      <c r="R662" s="1384"/>
      <c r="T662" s="22"/>
      <c r="U662" t="s">
        <v>17</v>
      </c>
      <c r="Z662" s="1441" t="s">
        <v>2657</v>
      </c>
      <c r="AA662" s="1441"/>
      <c r="AB662" s="1441"/>
      <c r="AC662" s="1441"/>
      <c r="AD662" s="1441"/>
      <c r="AE662" s="1441"/>
      <c r="AF662" s="1441"/>
      <c r="AG662" s="1441"/>
      <c r="AH662" s="1441"/>
      <c r="AI662" s="1441"/>
      <c r="AJ662" s="1441"/>
      <c r="AK662" s="144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2" t="e">
        <f t="shared" si="42"/>
        <v>#VALUE!</v>
      </c>
      <c r="DY662" s="1492"/>
      <c r="DZ662" s="1492"/>
      <c r="EA662" s="1492"/>
      <c r="EB662" s="1492"/>
      <c r="EC662" s="1492" t="e">
        <f t="shared" si="43"/>
        <v>#VALUE!</v>
      </c>
      <c r="ED662" s="1492"/>
      <c r="EE662" s="1492"/>
      <c r="EF662" s="1492"/>
      <c r="EG662" s="1492"/>
      <c r="EH662" s="1492" t="e">
        <f t="shared" si="44"/>
        <v>#VALUE!</v>
      </c>
      <c r="EI662" s="1492"/>
      <c r="EJ662" s="1492"/>
      <c r="EK662" s="1492"/>
      <c r="EL662" s="1492"/>
      <c r="EM662" s="1492" t="e">
        <f t="shared" si="45"/>
        <v>#VALUE!</v>
      </c>
      <c r="EN662" s="1492"/>
      <c r="EO662" s="1492"/>
      <c r="EP662" s="1492"/>
      <c r="EQ662" s="1492"/>
      <c r="ER662" s="1492" t="e">
        <f t="shared" si="46"/>
        <v>#VALUE!</v>
      </c>
      <c r="ES662" s="1492"/>
      <c r="ET662" s="1492"/>
      <c r="EU662" s="1492"/>
      <c r="EV662" s="1492"/>
      <c r="EW662" s="1492" t="e">
        <f t="shared" si="47"/>
        <v>#VALUE!</v>
      </c>
      <c r="EX662" s="1492"/>
      <c r="EY662" s="1492"/>
      <c r="EZ662" s="1492"/>
      <c r="FA662" s="1492"/>
    </row>
    <row r="663" spans="1:157" ht="12.95" customHeight="1">
      <c r="A663" s="22"/>
      <c r="B663" t="s">
        <v>317</v>
      </c>
      <c r="G663" s="1394" t="s">
        <v>2658</v>
      </c>
      <c r="H663" s="1395"/>
      <c r="I663" s="1395"/>
      <c r="J663" s="1395"/>
      <c r="K663" s="1395"/>
      <c r="L663" s="1395"/>
      <c r="O663" s="33" t="s">
        <v>207</v>
      </c>
      <c r="P663" s="1472"/>
      <c r="Q663" s="1472"/>
      <c r="R663" s="1472"/>
      <c r="T663" s="22"/>
      <c r="U663" t="s">
        <v>317</v>
      </c>
      <c r="Z663" s="1394" t="s">
        <v>2658</v>
      </c>
      <c r="AA663" s="1395"/>
      <c r="AB663" s="1395"/>
      <c r="AC663" s="1395"/>
      <c r="AD663" s="1395"/>
      <c r="AE663" s="1395"/>
      <c r="AH663" s="33" t="s">
        <v>207</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2" t="e">
        <f t="shared" si="42"/>
        <v>#VALUE!</v>
      </c>
      <c r="DY663" s="1492"/>
      <c r="DZ663" s="1492"/>
      <c r="EA663" s="1492"/>
      <c r="EB663" s="1492"/>
      <c r="EC663" s="1492" t="e">
        <f t="shared" si="43"/>
        <v>#VALUE!</v>
      </c>
      <c r="ED663" s="1492"/>
      <c r="EE663" s="1492"/>
      <c r="EF663" s="1492"/>
      <c r="EG663" s="1492"/>
      <c r="EH663" s="1492" t="e">
        <f t="shared" si="44"/>
        <v>#VALUE!</v>
      </c>
      <c r="EI663" s="1492"/>
      <c r="EJ663" s="1492"/>
      <c r="EK663" s="1492"/>
      <c r="EL663" s="1492"/>
      <c r="EM663" s="1492" t="e">
        <f t="shared" si="45"/>
        <v>#VALUE!</v>
      </c>
      <c r="EN663" s="1492"/>
      <c r="EO663" s="1492"/>
      <c r="EP663" s="1492"/>
      <c r="EQ663" s="1492"/>
      <c r="ER663" s="1492" t="e">
        <f t="shared" si="46"/>
        <v>#VALUE!</v>
      </c>
      <c r="ES663" s="1492"/>
      <c r="ET663" s="1492"/>
      <c r="EU663" s="1492"/>
      <c r="EV663" s="1492"/>
      <c r="EW663" s="1492" t="e">
        <f t="shared" si="47"/>
        <v>#VALUE!</v>
      </c>
      <c r="EX663" s="1492"/>
      <c r="EY663" s="1492"/>
      <c r="EZ663" s="1492"/>
      <c r="FA663" s="1492"/>
    </row>
    <row r="664" spans="1:157" ht="12.95" customHeight="1">
      <c r="A664" s="22"/>
      <c r="B664" t="s">
        <v>18</v>
      </c>
      <c r="H664" s="1384" t="str">
        <f>M631</f>
        <v>Net Operating Income</v>
      </c>
      <c r="I664" s="1384"/>
      <c r="J664" s="1384"/>
      <c r="K664" s="1384"/>
      <c r="L664" s="1384"/>
      <c r="M664" s="1384"/>
      <c r="N664" s="1384"/>
      <c r="O664" s="1384"/>
      <c r="P664" s="1384"/>
      <c r="Q664" s="1384"/>
      <c r="R664" s="1384"/>
      <c r="T664" s="22"/>
      <c r="U664" t="s">
        <v>18</v>
      </c>
      <c r="AA664" s="1384" t="str">
        <f>M632</f>
        <v>Developer Fee, Deferral</v>
      </c>
      <c r="AB664" s="1384"/>
      <c r="AC664" s="1384"/>
      <c r="AD664" s="1384"/>
      <c r="AE664" s="1384"/>
      <c r="AF664" s="1384"/>
      <c r="AG664" s="1384"/>
      <c r="AH664" s="1384"/>
      <c r="AI664" s="1384"/>
      <c r="AJ664" s="1384"/>
      <c r="AK664" s="138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2" t="e">
        <f t="shared" si="42"/>
        <v>#VALUE!</v>
      </c>
      <c r="DY664" s="1492"/>
      <c r="DZ664" s="1492"/>
      <c r="EA664" s="1492"/>
      <c r="EB664" s="1492"/>
      <c r="EC664" s="1492" t="e">
        <f t="shared" si="43"/>
        <v>#VALUE!</v>
      </c>
      <c r="ED664" s="1492"/>
      <c r="EE664" s="1492"/>
      <c r="EF664" s="1492"/>
      <c r="EG664" s="1492"/>
      <c r="EH664" s="1492" t="e">
        <f t="shared" si="44"/>
        <v>#VALUE!</v>
      </c>
      <c r="EI664" s="1492"/>
      <c r="EJ664" s="1492"/>
      <c r="EK664" s="1492"/>
      <c r="EL664" s="1492"/>
      <c r="EM664" s="1492" t="e">
        <f t="shared" si="45"/>
        <v>#VALUE!</v>
      </c>
      <c r="EN664" s="1492"/>
      <c r="EO664" s="1492"/>
      <c r="EP664" s="1492"/>
      <c r="EQ664" s="1492"/>
      <c r="ER664" s="1492" t="e">
        <f t="shared" si="46"/>
        <v>#VALUE!</v>
      </c>
      <c r="ES664" s="1492"/>
      <c r="ET664" s="1492"/>
      <c r="EU664" s="1492"/>
      <c r="EV664" s="1492"/>
      <c r="EW664" s="1492" t="e">
        <f t="shared" si="47"/>
        <v>#VALUE!</v>
      </c>
      <c r="EX664" s="1492"/>
      <c r="EY664" s="1492"/>
      <c r="EZ664" s="1492"/>
      <c r="FA664" s="1492"/>
    </row>
    <row r="665" spans="1:157" ht="12.95" customHeight="1">
      <c r="A665" s="22"/>
      <c r="B665" t="s">
        <v>20</v>
      </c>
      <c r="N665" s="1383" t="s">
        <v>553</v>
      </c>
      <c r="O665" s="1383"/>
      <c r="T665" s="22"/>
      <c r="U665" t="s">
        <v>20</v>
      </c>
      <c r="AG665" s="1383" t="s">
        <v>553</v>
      </c>
      <c r="AH665" s="138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2" t="e">
        <f t="shared" si="42"/>
        <v>#VALUE!</v>
      </c>
      <c r="DY665" s="1492"/>
      <c r="DZ665" s="1492"/>
      <c r="EA665" s="1492"/>
      <c r="EB665" s="1492"/>
      <c r="EC665" s="1492" t="e">
        <f t="shared" si="43"/>
        <v>#VALUE!</v>
      </c>
      <c r="ED665" s="1492"/>
      <c r="EE665" s="1492"/>
      <c r="EF665" s="1492"/>
      <c r="EG665" s="1492"/>
      <c r="EH665" s="1492" t="e">
        <f t="shared" si="44"/>
        <v>#VALUE!</v>
      </c>
      <c r="EI665" s="1492"/>
      <c r="EJ665" s="1492"/>
      <c r="EK665" s="1492"/>
      <c r="EL665" s="1492"/>
      <c r="EM665" s="1492" t="e">
        <f t="shared" si="45"/>
        <v>#VALUE!</v>
      </c>
      <c r="EN665" s="1492"/>
      <c r="EO665" s="1492"/>
      <c r="EP665" s="1492"/>
      <c r="EQ665" s="1492"/>
      <c r="ER665" s="1492" t="e">
        <f t="shared" si="46"/>
        <v>#VALUE!</v>
      </c>
      <c r="ES665" s="1492"/>
      <c r="ET665" s="1492"/>
      <c r="EU665" s="1492"/>
      <c r="EV665" s="1492"/>
      <c r="EW665" s="1492" t="e">
        <f t="shared" si="47"/>
        <v>#VALUE!</v>
      </c>
      <c r="EX665" s="1492"/>
      <c r="EY665" s="1492"/>
      <c r="EZ665" s="1492"/>
      <c r="FA665" s="1492"/>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2" t="e">
        <f t="shared" si="42"/>
        <v>#VALUE!</v>
      </c>
      <c r="DY666" s="1492"/>
      <c r="DZ666" s="1492"/>
      <c r="EA666" s="1492"/>
      <c r="EB666" s="1492"/>
      <c r="EC666" s="1492" t="e">
        <f t="shared" si="43"/>
        <v>#VALUE!</v>
      </c>
      <c r="ED666" s="1492"/>
      <c r="EE666" s="1492"/>
      <c r="EF666" s="1492"/>
      <c r="EG666" s="1492"/>
      <c r="EH666" s="1492" t="e">
        <f t="shared" si="44"/>
        <v>#VALUE!</v>
      </c>
      <c r="EI666" s="1492"/>
      <c r="EJ666" s="1492"/>
      <c r="EK666" s="1492"/>
      <c r="EL666" s="1492"/>
      <c r="EM666" s="1492" t="e">
        <f t="shared" si="45"/>
        <v>#VALUE!</v>
      </c>
      <c r="EN666" s="1492"/>
      <c r="EO666" s="1492"/>
      <c r="EP666" s="1492"/>
      <c r="EQ666" s="1492"/>
      <c r="ER666" s="1492" t="e">
        <f t="shared" si="46"/>
        <v>#VALUE!</v>
      </c>
      <c r="ES666" s="1492"/>
      <c r="ET666" s="1492"/>
      <c r="EU666" s="1492"/>
      <c r="EV666" s="1492"/>
      <c r="EW666" s="1492" t="e">
        <f t="shared" si="47"/>
        <v>#VALUE!</v>
      </c>
      <c r="EX666" s="1492"/>
      <c r="EY666" s="1492"/>
      <c r="EZ666" s="1492"/>
      <c r="FA666" s="1492"/>
    </row>
    <row r="667" spans="1:157" ht="12.95" customHeight="1">
      <c r="A667" s="55" t="s">
        <v>463</v>
      </c>
      <c r="B667" t="s">
        <v>471</v>
      </c>
      <c r="G667" s="1471">
        <f>C633</f>
        <v>0</v>
      </c>
      <c r="H667" s="1471"/>
      <c r="I667" s="1471"/>
      <c r="J667" s="1471"/>
      <c r="K667" s="1471"/>
      <c r="L667" s="1471"/>
      <c r="M667" s="1471"/>
      <c r="N667" s="1471"/>
      <c r="O667" s="1471"/>
      <c r="P667" s="1471"/>
      <c r="Q667" s="1471"/>
      <c r="R667" s="1471"/>
      <c r="T667" s="55" t="s">
        <v>464</v>
      </c>
      <c r="U667" t="s">
        <v>471</v>
      </c>
      <c r="Z667" s="1471">
        <f>C634</f>
        <v>0</v>
      </c>
      <c r="AA667" s="1471"/>
      <c r="AB667" s="1471"/>
      <c r="AC667" s="1471"/>
      <c r="AD667" s="1471"/>
      <c r="AE667" s="1471"/>
      <c r="AF667" s="1471"/>
      <c r="AG667" s="1471"/>
      <c r="AH667" s="1471"/>
      <c r="AI667" s="1471"/>
      <c r="AJ667" s="1471"/>
      <c r="AK667" s="1471"/>
      <c r="AZ667" s="3"/>
      <c r="BA667" s="118">
        <f t="shared" ref="BA667:BA699" si="48">IF($G718=0,"N/A",VLOOKUP($T$189,TC_Rent,(MATCH($B718,bedrooms,FALSE))))</f>
        <v>1922</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2" t="e">
        <f t="shared" si="42"/>
        <v>#VALUE!</v>
      </c>
      <c r="DY667" s="1492"/>
      <c r="DZ667" s="1492"/>
      <c r="EA667" s="1492"/>
      <c r="EB667" s="1492"/>
      <c r="EC667" s="1492" t="e">
        <f t="shared" si="43"/>
        <v>#VALUE!</v>
      </c>
      <c r="ED667" s="1492"/>
      <c r="EE667" s="1492"/>
      <c r="EF667" s="1492"/>
      <c r="EG667" s="1492"/>
      <c r="EH667" s="1492" t="e">
        <f t="shared" si="44"/>
        <v>#VALUE!</v>
      </c>
      <c r="EI667" s="1492"/>
      <c r="EJ667" s="1492"/>
      <c r="EK667" s="1492"/>
      <c r="EL667" s="1492"/>
      <c r="EM667" s="1492" t="e">
        <f t="shared" si="45"/>
        <v>#VALUE!</v>
      </c>
      <c r="EN667" s="1492"/>
      <c r="EO667" s="1492"/>
      <c r="EP667" s="1492"/>
      <c r="EQ667" s="1492"/>
      <c r="ER667" s="1492" t="e">
        <f t="shared" si="46"/>
        <v>#VALUE!</v>
      </c>
      <c r="ES667" s="1492"/>
      <c r="ET667" s="1492"/>
      <c r="EU667" s="1492"/>
      <c r="EV667" s="1492"/>
      <c r="EW667" s="1492" t="e">
        <f t="shared" si="47"/>
        <v>#VALUE!</v>
      </c>
      <c r="EX667" s="1492"/>
      <c r="EY667" s="1492"/>
      <c r="EZ667" s="1492"/>
      <c r="FA667" s="1492"/>
    </row>
    <row r="668" spans="1:157" ht="12.95" customHeight="1">
      <c r="A668" s="22"/>
      <c r="B668" t="s">
        <v>85</v>
      </c>
      <c r="G668" s="1384"/>
      <c r="H668" s="1384"/>
      <c r="I668" s="1384"/>
      <c r="J668" s="1384"/>
      <c r="K668" s="1384"/>
      <c r="L668" s="1384"/>
      <c r="M668" s="1384"/>
      <c r="N668" s="1384"/>
      <c r="O668" s="1384"/>
      <c r="P668" s="1384"/>
      <c r="Q668" s="1384"/>
      <c r="R668" s="1384"/>
      <c r="T668" s="22"/>
      <c r="U668" t="s">
        <v>85</v>
      </c>
      <c r="Z668" s="1384"/>
      <c r="AA668" s="1384"/>
      <c r="AB668" s="1384"/>
      <c r="AC668" s="1384"/>
      <c r="AD668" s="1384"/>
      <c r="AE668" s="1384"/>
      <c r="AF668" s="1384"/>
      <c r="AG668" s="1384"/>
      <c r="AH668" s="1384"/>
      <c r="AI668" s="1384"/>
      <c r="AJ668" s="1384"/>
      <c r="AK668" s="1384"/>
      <c r="AZ668" s="3"/>
      <c r="BA668" s="118">
        <f t="shared" si="48"/>
        <v>1922</v>
      </c>
      <c r="BB668" s="3"/>
      <c r="BC668" s="3"/>
      <c r="BD668" s="3"/>
      <c r="BE668" s="3"/>
      <c r="BF668" s="218"/>
      <c r="BG668" s="315">
        <f t="shared" ref="BG668:BG700" si="49">G718</f>
        <v>15</v>
      </c>
      <c r="BH668" s="319">
        <f t="shared" ref="BH668:BH702" si="50">IF($BG$703=0,0,BG668/$BG$703)</f>
        <v>7.6530612244897961E-2</v>
      </c>
      <c r="BI668" s="320">
        <f t="shared" ref="BI668:BI691" si="51">IF(BH668=0,"",BH668*AC718)</f>
        <v>2.2959183673469389E-2</v>
      </c>
      <c r="BJ668" s="3"/>
      <c r="BK668" s="3"/>
      <c r="BL668" s="3"/>
      <c r="BM668" s="3"/>
      <c r="BN668" s="3"/>
      <c r="BO668" s="3"/>
      <c r="BT668" s="315">
        <f t="shared" ref="BT668:BT700" si="52">G718</f>
        <v>15</v>
      </c>
      <c r="BU668" s="319">
        <f t="shared" ref="BU668:BU702" si="53">IF($BT$703=0,0,BT668/$BT$703)</f>
        <v>7.6530612244897961E-2</v>
      </c>
      <c r="BV668" s="320">
        <f t="shared" ref="BV668:BV700" si="54">IF(BU668=0,"",BU668*AH718)</f>
        <v>2.2935292743528211E-2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2" t="e">
        <f>DX630*(BN630/$BN$632)</f>
        <v>#VALUE!</v>
      </c>
      <c r="DY668" s="1492"/>
      <c r="DZ668" s="1492"/>
      <c r="EA668" s="1492"/>
      <c r="EB668" s="1492"/>
      <c r="EC668" s="1492" t="e">
        <f>EC630*(BS630/$BS$632)</f>
        <v>#VALUE!</v>
      </c>
      <c r="ED668" s="1492"/>
      <c r="EE668" s="1492"/>
      <c r="EF668" s="1492"/>
      <c r="EG668" s="1492"/>
      <c r="EH668" s="1492" t="e">
        <f>EH630*(BX630/$BX$632)</f>
        <v>#VALUE!</v>
      </c>
      <c r="EI668" s="1492"/>
      <c r="EJ668" s="1492"/>
      <c r="EK668" s="1492"/>
      <c r="EL668" s="1492"/>
      <c r="EM668" s="1492" t="e">
        <f>EM630*(CC630/$CC$632)</f>
        <v>#VALUE!</v>
      </c>
      <c r="EN668" s="1492"/>
      <c r="EO668" s="1492"/>
      <c r="EP668" s="1492"/>
      <c r="EQ668" s="1492"/>
      <c r="ER668" s="1492" t="e">
        <f>ER630*(CH630/$CH$632)</f>
        <v>#VALUE!</v>
      </c>
      <c r="ES668" s="1492"/>
      <c r="ET668" s="1492"/>
      <c r="EU668" s="1492"/>
      <c r="EV668" s="1492"/>
      <c r="EW668" s="1492" t="e">
        <f>EW630*(CM630/$CM$632)</f>
        <v>#VALUE!</v>
      </c>
      <c r="EX668" s="1492"/>
      <c r="EY668" s="1492"/>
      <c r="EZ668" s="1492"/>
      <c r="FA668" s="1492"/>
    </row>
    <row r="669" spans="1:157" ht="12.95" customHeight="1">
      <c r="A669" s="22"/>
      <c r="B669" t="s">
        <v>588</v>
      </c>
      <c r="G669" s="1384"/>
      <c r="H669" s="1384"/>
      <c r="I669" s="1384"/>
      <c r="J669" s="1384"/>
      <c r="K669" s="1384"/>
      <c r="L669" s="1384"/>
      <c r="M669" s="1384"/>
      <c r="N669" s="1384"/>
      <c r="O669" s="1384"/>
      <c r="P669" s="1384"/>
      <c r="Q669" s="1384"/>
      <c r="R669" s="1384"/>
      <c r="T669" s="22"/>
      <c r="U669" t="s">
        <v>588</v>
      </c>
      <c r="Z669" s="1441"/>
      <c r="AA669" s="1441"/>
      <c r="AB669" s="1441"/>
      <c r="AC669" s="1441"/>
      <c r="AD669" s="1441"/>
      <c r="AE669" s="1441"/>
      <c r="AF669" s="1441"/>
      <c r="AG669" s="1441"/>
      <c r="AH669" s="1441"/>
      <c r="AI669" s="1441"/>
      <c r="AJ669" s="1441"/>
      <c r="AK669" s="1441"/>
      <c r="AZ669" s="3"/>
      <c r="BA669" s="118">
        <f t="shared" si="48"/>
        <v>1922</v>
      </c>
      <c r="BB669" s="3"/>
      <c r="BC669" s="3"/>
      <c r="BD669" s="3"/>
      <c r="BE669" s="3"/>
      <c r="BF669" s="218"/>
      <c r="BG669" s="316">
        <f t="shared" si="49"/>
        <v>15</v>
      </c>
      <c r="BH669" s="319">
        <f t="shared" si="50"/>
        <v>7.6530612244897961E-2</v>
      </c>
      <c r="BI669" s="320">
        <f t="shared" si="51"/>
        <v>3.826530612244898E-2</v>
      </c>
      <c r="BJ669" s="3"/>
      <c r="BK669" s="3"/>
      <c r="BL669" s="3"/>
      <c r="BM669" s="3"/>
      <c r="BN669" s="3"/>
      <c r="BO669" s="3"/>
      <c r="BT669" s="316">
        <f t="shared" si="52"/>
        <v>15</v>
      </c>
      <c r="BU669" s="319">
        <f t="shared" si="53"/>
        <v>7.6530612244897961E-2</v>
      </c>
      <c r="BV669" s="320">
        <f t="shared" si="54"/>
        <v>3.8225487905880352E-2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2" t="e">
        <f>DX631*(BN631/$BN$632)</f>
        <v>#VALUE!</v>
      </c>
      <c r="DY669" s="1492"/>
      <c r="DZ669" s="1492"/>
      <c r="EA669" s="1492"/>
      <c r="EB669" s="1492"/>
      <c r="EC669" s="1492" t="e">
        <f>EC631*(BS631/$BS$632)</f>
        <v>#VALUE!</v>
      </c>
      <c r="ED669" s="1492"/>
      <c r="EE669" s="1492"/>
      <c r="EF669" s="1492"/>
      <c r="EG669" s="1492"/>
      <c r="EH669" s="1492" t="e">
        <f>EH631*(BX631/$BX$632)</f>
        <v>#VALUE!</v>
      </c>
      <c r="EI669" s="1492"/>
      <c r="EJ669" s="1492"/>
      <c r="EK669" s="1492"/>
      <c r="EL669" s="1492"/>
      <c r="EM669" s="1492" t="e">
        <f>EM631*(CC631/$CC$632)</f>
        <v>#VALUE!</v>
      </c>
      <c r="EN669" s="1492"/>
      <c r="EO669" s="1492"/>
      <c r="EP669" s="1492"/>
      <c r="EQ669" s="1492"/>
      <c r="ER669" s="1492" t="e">
        <f>ER631*(CH631/$CH$632)</f>
        <v>#VALUE!</v>
      </c>
      <c r="ES669" s="1492"/>
      <c r="ET669" s="1492"/>
      <c r="EU669" s="1492"/>
      <c r="EV669" s="1492"/>
      <c r="EW669" s="1492" t="e">
        <f>EW631*(CM631/$CM$632)</f>
        <v>#VALUE!</v>
      </c>
      <c r="EX669" s="1492"/>
      <c r="EY669" s="1492"/>
      <c r="EZ669" s="1492"/>
      <c r="FA669" s="1492"/>
    </row>
    <row r="670" spans="1:157" ht="12.95" customHeight="1">
      <c r="A670" s="22"/>
      <c r="B670" t="s">
        <v>17</v>
      </c>
      <c r="G670" s="1384"/>
      <c r="H670" s="1384"/>
      <c r="I670" s="1384"/>
      <c r="J670" s="1384"/>
      <c r="K670" s="1384"/>
      <c r="L670" s="1384"/>
      <c r="M670" s="1384"/>
      <c r="N670" s="1384"/>
      <c r="O670" s="1384"/>
      <c r="P670" s="1384"/>
      <c r="Q670" s="1384"/>
      <c r="R670" s="1384"/>
      <c r="T670" s="22"/>
      <c r="U670" t="s">
        <v>17</v>
      </c>
      <c r="Z670" s="1441"/>
      <c r="AA670" s="1441"/>
      <c r="AB670" s="1441"/>
      <c r="AC670" s="1441"/>
      <c r="AD670" s="1441"/>
      <c r="AE670" s="1441"/>
      <c r="AF670" s="1441"/>
      <c r="AG670" s="1441"/>
      <c r="AH670" s="1441"/>
      <c r="AI670" s="1441"/>
      <c r="AJ670" s="1441"/>
      <c r="AK670" s="1441"/>
      <c r="AZ670" s="3"/>
      <c r="BA670" s="118">
        <f t="shared" si="48"/>
        <v>2304</v>
      </c>
      <c r="BB670" s="3"/>
      <c r="BC670" s="3"/>
      <c r="BD670" s="3"/>
      <c r="BE670" s="3"/>
      <c r="BF670" s="218"/>
      <c r="BG670" s="316">
        <f t="shared" si="49"/>
        <v>118</v>
      </c>
      <c r="BH670" s="319">
        <f t="shared" si="50"/>
        <v>0.60204081632653061</v>
      </c>
      <c r="BI670" s="320">
        <f t="shared" si="51"/>
        <v>0.36122448979591837</v>
      </c>
      <c r="BJ670" s="3"/>
      <c r="BK670" s="3"/>
      <c r="BL670" s="3"/>
      <c r="BM670" s="3"/>
      <c r="BN670" s="3"/>
      <c r="BO670" s="3"/>
      <c r="BT670" s="316">
        <f t="shared" si="52"/>
        <v>118</v>
      </c>
      <c r="BU670" s="319">
        <f t="shared" si="53"/>
        <v>0.60204081632653061</v>
      </c>
      <c r="BV670" s="320">
        <f t="shared" si="54"/>
        <v>0.36116184246851707</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2">
        <f>SUMIF(DX635:EB669,"&gt;0")</f>
        <v>0</v>
      </c>
      <c r="DY670" s="1492"/>
      <c r="DZ670" s="1492"/>
      <c r="EA670" s="1492"/>
      <c r="EB670" s="1492"/>
      <c r="EC670" s="1492">
        <f>SUMIF(EC635:EG669,"&gt;0")</f>
        <v>1074.9594594594594</v>
      </c>
      <c r="ED670" s="1492"/>
      <c r="EE670" s="1492"/>
      <c r="EF670" s="1492"/>
      <c r="EG670" s="1492"/>
      <c r="EH670" s="1492">
        <f>SUMIF(EH635:EL669,"&gt;0")</f>
        <v>1286.8541666666665</v>
      </c>
      <c r="EI670" s="1492"/>
      <c r="EJ670" s="1492"/>
      <c r="EK670" s="1492"/>
      <c r="EL670" s="1492"/>
      <c r="EM670" s="1492">
        <f>SUMIF(EM635:EQ669,"&gt;0")</f>
        <v>0</v>
      </c>
      <c r="EN670" s="1492"/>
      <c r="EO670" s="1492"/>
      <c r="EP670" s="1492"/>
      <c r="EQ670" s="1492"/>
      <c r="ER670" s="1492">
        <f>SUMIF(ER635:EV669,"&gt;0")</f>
        <v>0</v>
      </c>
      <c r="ES670" s="1492"/>
      <c r="ET670" s="1492"/>
      <c r="EU670" s="1492"/>
      <c r="EV670" s="1492"/>
      <c r="EW670" s="1492">
        <f>SUMIF(EW635:FA669,"&gt;0")</f>
        <v>0</v>
      </c>
      <c r="EX670" s="1492"/>
      <c r="EY670" s="1492"/>
      <c r="EZ670" s="1492"/>
      <c r="FA670" s="1492"/>
    </row>
    <row r="671" spans="1:157" ht="12.95" customHeight="1">
      <c r="A671" s="22"/>
      <c r="B671" t="s">
        <v>317</v>
      </c>
      <c r="G671" s="1395"/>
      <c r="H671" s="1395"/>
      <c r="I671" s="1395"/>
      <c r="J671" s="1395"/>
      <c r="K671" s="1395"/>
      <c r="L671" s="1395"/>
      <c r="O671" s="33" t="s">
        <v>207</v>
      </c>
      <c r="P671" s="1472"/>
      <c r="Q671" s="1472"/>
      <c r="R671" s="1472"/>
      <c r="T671" s="22"/>
      <c r="U671" t="s">
        <v>317</v>
      </c>
      <c r="Z671" s="1395"/>
      <c r="AA671" s="1395"/>
      <c r="AB671" s="1395"/>
      <c r="AC671" s="1395"/>
      <c r="AD671" s="1395"/>
      <c r="AE671" s="1395"/>
      <c r="AH671" s="33" t="s">
        <v>207</v>
      </c>
      <c r="AI671" s="1472"/>
      <c r="AJ671" s="1472"/>
      <c r="AK671" s="1472"/>
      <c r="AZ671" s="3"/>
      <c r="BA671" s="118">
        <f t="shared" si="48"/>
        <v>2304</v>
      </c>
      <c r="BB671" s="3"/>
      <c r="BC671" s="3"/>
      <c r="BD671" s="3"/>
      <c r="BE671" s="3"/>
      <c r="BF671" s="218"/>
      <c r="BG671" s="316">
        <f t="shared" si="49"/>
        <v>4</v>
      </c>
      <c r="BH671" s="319">
        <f t="shared" si="50"/>
        <v>2.0408163265306121E-2</v>
      </c>
      <c r="BI671" s="320">
        <f t="shared" si="51"/>
        <v>6.1224489795918364E-3</v>
      </c>
      <c r="BJ671" s="3"/>
      <c r="BK671" s="3"/>
      <c r="BL671" s="3"/>
      <c r="BM671" s="3"/>
      <c r="BN671" s="3"/>
      <c r="BO671" s="3"/>
      <c r="BT671" s="316">
        <f t="shared" si="52"/>
        <v>4</v>
      </c>
      <c r="BU671" s="319">
        <f t="shared" si="53"/>
        <v>2.0408163265306121E-2</v>
      </c>
      <c r="BV671" s="320">
        <f t="shared" si="54"/>
        <v>6.1206774376417221E-3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4"/>
      <c r="I672" s="1384"/>
      <c r="J672" s="1384"/>
      <c r="K672" s="1384"/>
      <c r="L672" s="1384"/>
      <c r="M672" s="1384"/>
      <c r="N672" s="1384"/>
      <c r="O672" s="1384"/>
      <c r="P672" s="1384"/>
      <c r="Q672" s="1384"/>
      <c r="R672" s="1384"/>
      <c r="T672" s="22"/>
      <c r="U672" t="s">
        <v>18</v>
      </c>
      <c r="AA672" s="1384"/>
      <c r="AB672" s="1384"/>
      <c r="AC672" s="1384"/>
      <c r="AD672" s="1384"/>
      <c r="AE672" s="1384"/>
      <c r="AF672" s="1384"/>
      <c r="AG672" s="1384"/>
      <c r="AH672" s="1384"/>
      <c r="AI672" s="1384"/>
      <c r="AJ672" s="1384"/>
      <c r="AK672" s="1384"/>
      <c r="AZ672" s="3"/>
      <c r="BA672" s="118">
        <f t="shared" si="48"/>
        <v>2304</v>
      </c>
      <c r="BB672" s="3"/>
      <c r="BC672" s="3"/>
      <c r="BD672" s="3"/>
      <c r="BE672" s="3"/>
      <c r="BF672" s="218"/>
      <c r="BG672" s="316">
        <f t="shared" si="49"/>
        <v>4</v>
      </c>
      <c r="BH672" s="319">
        <f t="shared" si="50"/>
        <v>2.0408163265306121E-2</v>
      </c>
      <c r="BI672" s="320">
        <f t="shared" si="51"/>
        <v>1.020408163265306E-2</v>
      </c>
      <c r="BJ672" s="3"/>
      <c r="BK672" s="3"/>
      <c r="BL672" s="3"/>
      <c r="BM672" s="3"/>
      <c r="BN672" s="3"/>
      <c r="BO672" s="3"/>
      <c r="BT672" s="316">
        <f t="shared" si="52"/>
        <v>4</v>
      </c>
      <c r="BU672" s="319">
        <f t="shared" si="53"/>
        <v>2.0408163265306121E-2</v>
      </c>
      <c r="BV672" s="320">
        <f t="shared" si="54"/>
        <v>1.020408163265306E-2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3" t="s">
        <v>677</v>
      </c>
      <c r="O673" s="1383"/>
      <c r="T673" s="22"/>
      <c r="U673" t="s">
        <v>20</v>
      </c>
      <c r="AG673" s="1383" t="s">
        <v>677</v>
      </c>
      <c r="AH673" s="1383"/>
      <c r="AZ673" s="3"/>
      <c r="BA673" s="118">
        <f t="shared" si="48"/>
        <v>2304</v>
      </c>
      <c r="BB673" s="3"/>
      <c r="BC673" s="3"/>
      <c r="BD673" s="3"/>
      <c r="BE673" s="3"/>
      <c r="BF673" s="218"/>
      <c r="BG673" s="316">
        <f t="shared" si="49"/>
        <v>32</v>
      </c>
      <c r="BH673" s="319">
        <f t="shared" si="50"/>
        <v>0.16326530612244897</v>
      </c>
      <c r="BI673" s="320">
        <f t="shared" si="51"/>
        <v>9.7959183673469383E-2</v>
      </c>
      <c r="BJ673" s="3"/>
      <c r="BK673" s="3"/>
      <c r="BL673" s="3"/>
      <c r="BM673" s="3"/>
      <c r="BN673" s="3"/>
      <c r="BO673" s="3"/>
      <c r="BT673" s="316">
        <f t="shared" si="52"/>
        <v>32</v>
      </c>
      <c r="BU673" s="319">
        <f t="shared" si="53"/>
        <v>0.16326530612244897</v>
      </c>
      <c r="BV673" s="320">
        <f t="shared" si="54"/>
        <v>9.80017006802721E-2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2304</v>
      </c>
      <c r="BB674" s="3"/>
      <c r="BC674" s="3"/>
      <c r="BD674" s="3"/>
      <c r="BE674" s="3"/>
      <c r="BF674" s="218"/>
      <c r="BG674" s="316">
        <f t="shared" si="49"/>
        <v>1</v>
      </c>
      <c r="BH674" s="319">
        <f t="shared" si="50"/>
        <v>5.1020408163265302E-3</v>
      </c>
      <c r="BI674" s="320">
        <f t="shared" si="51"/>
        <v>1.5306122448979591E-3</v>
      </c>
      <c r="BJ674" s="3"/>
      <c r="BK674" s="3"/>
      <c r="BL674" s="3"/>
      <c r="BM674" s="3"/>
      <c r="BN674" s="3"/>
      <c r="BO674" s="3"/>
      <c r="BT674" s="316">
        <f t="shared" si="52"/>
        <v>1</v>
      </c>
      <c r="BU674" s="319">
        <f t="shared" si="53"/>
        <v>5.1020408163265302E-3</v>
      </c>
      <c r="BV674" s="320">
        <f t="shared" si="54"/>
        <v>1.5301693594104305E-3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71">
        <f>C635</f>
        <v>0</v>
      </c>
      <c r="H675" s="1471"/>
      <c r="I675" s="1471"/>
      <c r="J675" s="1471"/>
      <c r="K675" s="1471"/>
      <c r="L675" s="1471"/>
      <c r="M675" s="1471"/>
      <c r="N675" s="1471"/>
      <c r="O675" s="1471"/>
      <c r="P675" s="1471"/>
      <c r="Q675" s="1471"/>
      <c r="R675" s="1471"/>
      <c r="T675" s="55" t="s">
        <v>654</v>
      </c>
      <c r="U675" t="s">
        <v>471</v>
      </c>
      <c r="Z675" s="1471">
        <f>C636</f>
        <v>0</v>
      </c>
      <c r="AA675" s="1471"/>
      <c r="AB675" s="1471"/>
      <c r="AC675" s="1471"/>
      <c r="AD675" s="1471"/>
      <c r="AE675" s="1471"/>
      <c r="AF675" s="1471"/>
      <c r="AG675" s="1471"/>
      <c r="AH675" s="1471"/>
      <c r="AI675" s="1471"/>
      <c r="AJ675" s="1471"/>
      <c r="AK675" s="1471"/>
      <c r="AZ675" s="3"/>
      <c r="BA675" s="118">
        <f t="shared" si="48"/>
        <v>2304</v>
      </c>
      <c r="BB675" s="3"/>
      <c r="BC675" s="3"/>
      <c r="BD675" s="3"/>
      <c r="BE675" s="3"/>
      <c r="BF675" s="218"/>
      <c r="BG675" s="316">
        <f t="shared" si="49"/>
        <v>1</v>
      </c>
      <c r="BH675" s="319">
        <f t="shared" si="50"/>
        <v>5.1020408163265302E-3</v>
      </c>
      <c r="BI675" s="320">
        <f t="shared" si="51"/>
        <v>2.5510204081632651E-3</v>
      </c>
      <c r="BJ675" s="3"/>
      <c r="BK675" s="3"/>
      <c r="BL675" s="3"/>
      <c r="BM675" s="3"/>
      <c r="BN675" s="3"/>
      <c r="BO675" s="3"/>
      <c r="BT675" s="316">
        <f t="shared" si="52"/>
        <v>1</v>
      </c>
      <c r="BU675" s="319">
        <f t="shared" si="53"/>
        <v>5.1020408163265302E-3</v>
      </c>
      <c r="BV675" s="320">
        <f t="shared" si="54"/>
        <v>2.5510204081632651E-3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4"/>
      <c r="H676" s="1384"/>
      <c r="I676" s="1384"/>
      <c r="J676" s="1384"/>
      <c r="K676" s="1384"/>
      <c r="L676" s="1384"/>
      <c r="M676" s="1384"/>
      <c r="N676" s="1384"/>
      <c r="O676" s="1384"/>
      <c r="P676" s="1384"/>
      <c r="Q676" s="1384"/>
      <c r="R676" s="1384"/>
      <c r="T676" s="22"/>
      <c r="U676" t="s">
        <v>85</v>
      </c>
      <c r="Z676" s="1384"/>
      <c r="AA676" s="1384"/>
      <c r="AB676" s="1384"/>
      <c r="AC676" s="1384"/>
      <c r="AD676" s="1384"/>
      <c r="AE676" s="1384"/>
      <c r="AF676" s="1384"/>
      <c r="AG676" s="1384"/>
      <c r="AH676" s="1384"/>
      <c r="AI676" s="1384"/>
      <c r="AJ676" s="1384"/>
      <c r="AK676" s="1384"/>
      <c r="AZ676" s="3"/>
      <c r="BA676" s="118" t="str">
        <f t="shared" si="48"/>
        <v>N/A</v>
      </c>
      <c r="BB676" s="3"/>
      <c r="BC676" s="3"/>
      <c r="BD676" s="3"/>
      <c r="BE676" s="3"/>
      <c r="BF676" s="218"/>
      <c r="BG676" s="316">
        <f t="shared" si="49"/>
        <v>6</v>
      </c>
      <c r="BH676" s="319">
        <f t="shared" si="50"/>
        <v>3.0612244897959183E-2</v>
      </c>
      <c r="BI676" s="320">
        <f t="shared" si="51"/>
        <v>1.8367346938775508E-2</v>
      </c>
      <c r="BJ676" s="3"/>
      <c r="BK676" s="3"/>
      <c r="BL676" s="3"/>
      <c r="BM676" s="3"/>
      <c r="BN676" s="3"/>
      <c r="BO676" s="3"/>
      <c r="BT676" s="316">
        <f t="shared" si="52"/>
        <v>6</v>
      </c>
      <c r="BU676" s="319">
        <f t="shared" si="53"/>
        <v>3.0612244897959183E-2</v>
      </c>
      <c r="BV676" s="320">
        <f t="shared" si="54"/>
        <v>1.837531887755102E-2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84"/>
      <c r="H677" s="1384"/>
      <c r="I677" s="1384"/>
      <c r="J677" s="1384"/>
      <c r="K677" s="1384"/>
      <c r="L677" s="1384"/>
      <c r="M677" s="1384"/>
      <c r="N677" s="1384"/>
      <c r="O677" s="1384"/>
      <c r="P677" s="1384"/>
      <c r="Q677" s="1384"/>
      <c r="R677" s="1384"/>
      <c r="T677" s="22"/>
      <c r="U677" t="s">
        <v>588</v>
      </c>
      <c r="Z677" s="1441"/>
      <c r="AA677" s="1441"/>
      <c r="AB677" s="1441"/>
      <c r="AC677" s="1441"/>
      <c r="AD677" s="1441"/>
      <c r="AE677" s="1441"/>
      <c r="AF677" s="1441"/>
      <c r="AG677" s="1441"/>
      <c r="AH677" s="1441"/>
      <c r="AI677" s="1441"/>
      <c r="AJ677" s="1441"/>
      <c r="AK677" s="1441"/>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4"/>
      <c r="H678" s="1384"/>
      <c r="I678" s="1384"/>
      <c r="J678" s="1384"/>
      <c r="K678" s="1384"/>
      <c r="L678" s="1384"/>
      <c r="M678" s="1384"/>
      <c r="N678" s="1384"/>
      <c r="O678" s="1384"/>
      <c r="P678" s="1384"/>
      <c r="Q678" s="1384"/>
      <c r="R678" s="1384"/>
      <c r="T678" s="22"/>
      <c r="U678" t="s">
        <v>17</v>
      </c>
      <c r="Z678" s="1441"/>
      <c r="AA678" s="1441"/>
      <c r="AB678" s="1441"/>
      <c r="AC678" s="1441"/>
      <c r="AD678" s="1441"/>
      <c r="AE678" s="1441"/>
      <c r="AF678" s="1441"/>
      <c r="AG678" s="1441"/>
      <c r="AH678" s="1441"/>
      <c r="AI678" s="1441"/>
      <c r="AJ678" s="1441"/>
      <c r="AK678" s="1441"/>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95"/>
      <c r="H679" s="1395"/>
      <c r="I679" s="1395"/>
      <c r="J679" s="1395"/>
      <c r="K679" s="1395"/>
      <c r="L679" s="1395"/>
      <c r="O679" s="33" t="s">
        <v>207</v>
      </c>
      <c r="P679" s="1472"/>
      <c r="Q679" s="1472"/>
      <c r="R679" s="1472"/>
      <c r="T679" s="22"/>
      <c r="U679" t="s">
        <v>317</v>
      </c>
      <c r="Z679" s="1395"/>
      <c r="AA679" s="1395"/>
      <c r="AB679" s="1395"/>
      <c r="AC679" s="1395"/>
      <c r="AD679" s="1395"/>
      <c r="AE679" s="1395"/>
      <c r="AH679" s="33" t="s">
        <v>207</v>
      </c>
      <c r="AI679" s="1472"/>
      <c r="AJ679" s="1472"/>
      <c r="AK679" s="147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4"/>
      <c r="I680" s="1384"/>
      <c r="J680" s="1384"/>
      <c r="K680" s="1384"/>
      <c r="L680" s="1384"/>
      <c r="M680" s="1384"/>
      <c r="N680" s="1384"/>
      <c r="O680" s="1384"/>
      <c r="P680" s="1384"/>
      <c r="Q680" s="1384"/>
      <c r="R680" s="1384"/>
      <c r="T680" s="22"/>
      <c r="U680" t="s">
        <v>18</v>
      </c>
      <c r="AA680" s="1384"/>
      <c r="AB680" s="1384"/>
      <c r="AC680" s="1384"/>
      <c r="AD680" s="1384"/>
      <c r="AE680" s="1384"/>
      <c r="AF680" s="1384"/>
      <c r="AG680" s="1384"/>
      <c r="AH680" s="1384"/>
      <c r="AI680" s="1384"/>
      <c r="AJ680" s="1384"/>
      <c r="AK680" s="1384"/>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3" t="s">
        <v>677</v>
      </c>
      <c r="O681" s="1383"/>
      <c r="T681" s="22"/>
      <c r="U681" t="s">
        <v>20</v>
      </c>
      <c r="AG681" s="1383" t="s">
        <v>677</v>
      </c>
      <c r="AH681" s="1383"/>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471</v>
      </c>
      <c r="G683" s="1471">
        <f>C637</f>
        <v>0</v>
      </c>
      <c r="H683" s="1471"/>
      <c r="I683" s="1471"/>
      <c r="J683" s="1471"/>
      <c r="K683" s="1471"/>
      <c r="L683" s="1471"/>
      <c r="M683" s="1471"/>
      <c r="N683" s="1471"/>
      <c r="O683" s="1471"/>
      <c r="P683" s="1471"/>
      <c r="Q683" s="1471"/>
      <c r="R683" s="1471"/>
      <c r="T683" s="55" t="s">
        <v>364</v>
      </c>
      <c r="U683" t="s">
        <v>471</v>
      </c>
      <c r="Z683" s="1471">
        <f>C638</f>
        <v>0</v>
      </c>
      <c r="AA683" s="1471"/>
      <c r="AB683" s="1471"/>
      <c r="AC683" s="1471"/>
      <c r="AD683" s="1471"/>
      <c r="AE683" s="1471"/>
      <c r="AF683" s="1471"/>
      <c r="AG683" s="1471"/>
      <c r="AH683" s="1471"/>
      <c r="AI683" s="1471"/>
      <c r="AJ683" s="1471"/>
      <c r="AK683" s="1471"/>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4"/>
      <c r="H684" s="1384"/>
      <c r="I684" s="1384"/>
      <c r="J684" s="1384"/>
      <c r="K684" s="1384"/>
      <c r="L684" s="1384"/>
      <c r="M684" s="1384"/>
      <c r="N684" s="1384"/>
      <c r="O684" s="1384"/>
      <c r="P684" s="1384"/>
      <c r="Q684" s="1384"/>
      <c r="R684" s="1384"/>
      <c r="T684" s="22"/>
      <c r="U684" t="s">
        <v>85</v>
      </c>
      <c r="Z684" s="1384"/>
      <c r="AA684" s="1384"/>
      <c r="AB684" s="1384"/>
      <c r="AC684" s="1384"/>
      <c r="AD684" s="1384"/>
      <c r="AE684" s="1384"/>
      <c r="AF684" s="1384"/>
      <c r="AG684" s="1384"/>
      <c r="AH684" s="1384"/>
      <c r="AI684" s="1384"/>
      <c r="AJ684" s="1384"/>
      <c r="AK684" s="1384"/>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84"/>
      <c r="H685" s="1384"/>
      <c r="I685" s="1384"/>
      <c r="J685" s="1384"/>
      <c r="K685" s="1384"/>
      <c r="L685" s="1384"/>
      <c r="M685" s="1384"/>
      <c r="N685" s="1384"/>
      <c r="O685" s="1384"/>
      <c r="P685" s="1384"/>
      <c r="Q685" s="1384"/>
      <c r="R685" s="1384"/>
      <c r="U685" t="s">
        <v>588</v>
      </c>
      <c r="Z685" s="1441"/>
      <c r="AA685" s="1441"/>
      <c r="AB685" s="1441"/>
      <c r="AC685" s="1441"/>
      <c r="AD685" s="1441"/>
      <c r="AE685" s="1441"/>
      <c r="AF685" s="1441"/>
      <c r="AG685" s="1441"/>
      <c r="AH685" s="1441"/>
      <c r="AI685" s="1441"/>
      <c r="AJ685" s="1441"/>
      <c r="AK685" s="144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4"/>
      <c r="H686" s="1384"/>
      <c r="I686" s="1384"/>
      <c r="J686" s="1384"/>
      <c r="K686" s="1384"/>
      <c r="L686" s="1384"/>
      <c r="M686" s="1384"/>
      <c r="N686" s="1384"/>
      <c r="O686" s="1384"/>
      <c r="P686" s="1384"/>
      <c r="Q686" s="1384"/>
      <c r="R686" s="1384"/>
      <c r="U686" t="s">
        <v>17</v>
      </c>
      <c r="Z686" s="1441"/>
      <c r="AA686" s="1441"/>
      <c r="AB686" s="1441"/>
      <c r="AC686" s="1441"/>
      <c r="AD686" s="1441"/>
      <c r="AE686" s="1441"/>
      <c r="AF686" s="1441"/>
      <c r="AG686" s="1441"/>
      <c r="AH686" s="1441"/>
      <c r="AI686" s="1441"/>
      <c r="AJ686" s="1441"/>
      <c r="AK686" s="144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95"/>
      <c r="H687" s="1395"/>
      <c r="I687" s="1395"/>
      <c r="J687" s="1395"/>
      <c r="K687" s="1395"/>
      <c r="L687" s="1395"/>
      <c r="O687" s="33" t="s">
        <v>207</v>
      </c>
      <c r="P687" s="1472"/>
      <c r="Q687" s="1472"/>
      <c r="R687" s="1472"/>
      <c r="U687" t="s">
        <v>317</v>
      </c>
      <c r="Z687" s="1395"/>
      <c r="AA687" s="1395"/>
      <c r="AB687" s="1395"/>
      <c r="AC687" s="1395"/>
      <c r="AD687" s="1395"/>
      <c r="AE687" s="1395"/>
      <c r="AH687" s="33" t="s">
        <v>207</v>
      </c>
      <c r="AI687" s="1472"/>
      <c r="AJ687" s="1472"/>
      <c r="AK687" s="147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4"/>
      <c r="I688" s="1384"/>
      <c r="J688" s="1384"/>
      <c r="K688" s="1384"/>
      <c r="L688" s="1384"/>
      <c r="M688" s="1384"/>
      <c r="N688" s="1384"/>
      <c r="O688" s="1384"/>
      <c r="P688" s="1384"/>
      <c r="Q688" s="1384"/>
      <c r="R688" s="1384"/>
      <c r="U688" t="s">
        <v>18</v>
      </c>
      <c r="AA688" s="1384"/>
      <c r="AB688" s="1384"/>
      <c r="AC688" s="1384"/>
      <c r="AD688" s="1384"/>
      <c r="AE688" s="1384"/>
      <c r="AF688" s="1384"/>
      <c r="AG688" s="1384"/>
      <c r="AH688" s="1384"/>
      <c r="AI688" s="1384"/>
      <c r="AJ688" s="1384"/>
      <c r="AK688" s="1384"/>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3" t="s">
        <v>677</v>
      </c>
      <c r="O689" s="1383"/>
      <c r="U689" t="s">
        <v>20</v>
      </c>
      <c r="AG689" s="1383" t="s">
        <v>677</v>
      </c>
      <c r="AH689" s="1383"/>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3" t="s">
        <v>553</v>
      </c>
      <c r="AF693" s="1383"/>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3" t="s">
        <v>553</v>
      </c>
      <c r="AF694" s="1383"/>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01">
        <v>45531</v>
      </c>
      <c r="AF695" s="1501"/>
      <c r="AG695" s="1501"/>
      <c r="AH695" s="1501"/>
      <c r="AI695" s="1501"/>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771"/>
      <c r="AF696" s="1771"/>
      <c r="AG696" s="1771"/>
      <c r="AH696" s="1771"/>
      <c r="AI696" s="1771"/>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01"/>
      <c r="AF698" s="1501"/>
      <c r="AG698" s="1501"/>
      <c r="AH698" s="1501"/>
      <c r="AI698" s="1501"/>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69"/>
      <c r="AF699" s="1769"/>
      <c r="AG699" s="1769"/>
      <c r="AH699" s="1769"/>
      <c r="AI699" s="1769"/>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71" t="str">
        <f>H335</f>
        <v>CSCDA</v>
      </c>
      <c r="X700" s="1471"/>
      <c r="Y700" s="1471"/>
      <c r="Z700" s="1471"/>
      <c r="AA700" s="1471"/>
      <c r="AB700" s="1471"/>
      <c r="AC700" s="1471"/>
      <c r="AD700" s="1471"/>
      <c r="AE700" s="1471"/>
      <c r="AF700" s="1471"/>
      <c r="AG700" s="1471"/>
      <c r="AH700" s="1471"/>
      <c r="AI700" s="1471"/>
      <c r="AJ700" s="1471"/>
      <c r="AK700" s="147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3" t="s">
        <v>677</v>
      </c>
      <c r="AF702" s="1383"/>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84"/>
      <c r="X703" s="1384"/>
      <c r="Y703" s="1384"/>
      <c r="Z703" s="1384"/>
      <c r="AA703" s="1384"/>
      <c r="AB703" s="1384"/>
      <c r="AC703" s="1384"/>
      <c r="AD703" s="1384"/>
      <c r="AE703" s="1384"/>
      <c r="AF703" s="1384"/>
      <c r="AG703" s="1384"/>
      <c r="AH703" s="1384"/>
      <c r="AI703" s="1384"/>
      <c r="AJ703" s="1384"/>
      <c r="AK703" s="1384"/>
      <c r="AZ703" s="34"/>
      <c r="BA703" s="34"/>
      <c r="BB703" s="34"/>
      <c r="BC703" s="34"/>
      <c r="BD703" s="34"/>
      <c r="BE703" s="3"/>
      <c r="BF703" s="312" t="s">
        <v>914</v>
      </c>
      <c r="BG703" s="321">
        <f>SUM(BG668:BG702)</f>
        <v>196</v>
      </c>
      <c r="BH703" s="322">
        <f>SUM(BH668:BH702)</f>
        <v>0.99999999999999989</v>
      </c>
      <c r="BI703" s="322">
        <f>SUM(BI668:BI702)</f>
        <v>0.55918367346938769</v>
      </c>
      <c r="BN703" s="3"/>
      <c r="BO703" s="3"/>
      <c r="BT703" s="893">
        <f>SUM(BT668:BT702)</f>
        <v>196</v>
      </c>
      <c r="BU703" s="322">
        <f>SUM(BU668:BU702)</f>
        <v>0.99999999999999989</v>
      </c>
      <c r="BV703" s="322">
        <f>SUM(BV668:BV702)</f>
        <v>0.55910559151361727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4"/>
      <c r="K704" s="1384"/>
      <c r="L704" s="1384"/>
      <c r="M704" s="1384"/>
      <c r="N704" s="1384"/>
      <c r="O704" s="1384"/>
      <c r="P704" s="1384"/>
      <c r="Q704" s="1384"/>
      <c r="R704" s="1384"/>
      <c r="S704" s="1384"/>
      <c r="T704" s="1384"/>
      <c r="U704" s="1384"/>
      <c r="V704" s="1384"/>
      <c r="W704" s="1384"/>
      <c r="X704" s="1384"/>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5"/>
      <c r="K705" s="1395"/>
      <c r="L705" s="1395"/>
      <c r="M705" s="1395"/>
      <c r="N705" s="1395"/>
      <c r="O705" s="1395"/>
      <c r="P705" s="4" t="s">
        <v>207</v>
      </c>
      <c r="Q705" s="4"/>
      <c r="R705" s="1472"/>
      <c r="S705" s="1472"/>
      <c r="T705" s="147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84" t="s">
        <v>308</v>
      </c>
      <c r="X706" s="1384"/>
      <c r="Y706" s="1384"/>
      <c r="Z706" s="1384"/>
      <c r="AA706" s="1384"/>
      <c r="AB706" s="1384"/>
      <c r="AC706" s="1384"/>
      <c r="AD706" s="1384"/>
      <c r="AE706" s="1384"/>
      <c r="AF706" s="1384"/>
      <c r="AG706" s="1384"/>
      <c r="AH706" s="1384"/>
      <c r="AI706" s="1384"/>
      <c r="AJ706" s="1384"/>
      <c r="AK706" s="1384"/>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4" t="s">
        <v>335</v>
      </c>
      <c r="F707" s="1384"/>
      <c r="G707" s="1384"/>
      <c r="H707" s="1384"/>
      <c r="I707" s="1384"/>
      <c r="J707" s="1384"/>
      <c r="K707" s="1384"/>
      <c r="L707" s="1384"/>
      <c r="M707" s="1384"/>
      <c r="N707" s="1384"/>
      <c r="O707" s="1384"/>
      <c r="P707" s="1384"/>
      <c r="Q707" s="1384"/>
      <c r="R707" s="1384"/>
      <c r="S707" s="1384"/>
      <c r="T707" s="1384"/>
      <c r="U707" s="1384"/>
      <c r="V707" s="1384"/>
      <c r="W707" s="1384"/>
      <c r="X707" s="1384"/>
      <c r="Y707" s="1384"/>
      <c r="Z707" s="1384"/>
      <c r="AA707" s="1384"/>
      <c r="AB707" s="1384"/>
      <c r="AC707" s="1384"/>
      <c r="AD707" s="1384"/>
      <c r="AE707" s="1384"/>
      <c r="AF707" s="1384"/>
      <c r="AG707" s="1384"/>
      <c r="AH707" s="1384"/>
      <c r="AI707" s="1384"/>
      <c r="AJ707" s="1384"/>
      <c r="AK707" s="1384"/>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8" t="s">
        <v>95</v>
      </c>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c r="AI709" s="1268"/>
      <c r="AJ709" s="1268"/>
      <c r="AK709" s="1268"/>
      <c r="AL709" s="1268"/>
      <c r="AM709" s="1268"/>
      <c r="AN709" s="1268"/>
      <c r="AO709" s="1268"/>
      <c r="AP709" s="1268"/>
      <c r="AQ709" s="1268"/>
      <c r="AR709" s="1268"/>
      <c r="AS709" s="1268"/>
      <c r="AT709" s="1268"/>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c r="AI710" s="1268"/>
      <c r="AJ710" s="1268"/>
      <c r="AK710" s="1268"/>
      <c r="AL710" s="1268"/>
      <c r="AM710" s="1268"/>
      <c r="AN710" s="1268"/>
      <c r="AO710" s="1268"/>
      <c r="AP710" s="1268"/>
      <c r="AQ710" s="1268"/>
      <c r="AR710" s="1268"/>
      <c r="AS710" s="1268"/>
      <c r="AT710" s="1268"/>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c r="AI711" s="1268"/>
      <c r="AJ711" s="1268"/>
      <c r="AK711" s="1268"/>
      <c r="AL711" s="1268"/>
      <c r="AM711" s="1268"/>
      <c r="AN711" s="1268"/>
      <c r="AO711" s="1268"/>
      <c r="AP711" s="1268"/>
      <c r="AQ711" s="1268"/>
      <c r="AR711" s="1268"/>
      <c r="AS711" s="1268"/>
      <c r="AT711" s="1268"/>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5" t="s">
        <v>390</v>
      </c>
      <c r="C714" s="1386"/>
      <c r="D714" s="1386"/>
      <c r="E714" s="1386"/>
      <c r="F714" s="1387"/>
      <c r="G714" s="1385" t="s">
        <v>286</v>
      </c>
      <c r="H714" s="1386"/>
      <c r="I714" s="1386"/>
      <c r="J714" s="1387"/>
      <c r="K714" s="1758" t="s">
        <v>1866</v>
      </c>
      <c r="L714" s="1759"/>
      <c r="M714" s="1759"/>
      <c r="N714" s="1760"/>
      <c r="O714" s="1385" t="s">
        <v>455</v>
      </c>
      <c r="P714" s="1386"/>
      <c r="Q714" s="1386"/>
      <c r="R714" s="1386"/>
      <c r="S714" s="1387"/>
      <c r="T714" s="1493" t="s">
        <v>2250</v>
      </c>
      <c r="U714" s="1386"/>
      <c r="V714" s="1386"/>
      <c r="W714" s="1387"/>
      <c r="X714" s="1493" t="s">
        <v>2252</v>
      </c>
      <c r="Y714" s="1386"/>
      <c r="Z714" s="1386"/>
      <c r="AA714" s="1386"/>
      <c r="AB714" s="1387"/>
      <c r="AC714" s="1493" t="s">
        <v>2251</v>
      </c>
      <c r="AD714" s="1386"/>
      <c r="AE714" s="1386"/>
      <c r="AF714" s="1386"/>
      <c r="AG714" s="1387"/>
      <c r="AH714" s="1493" t="s">
        <v>2253</v>
      </c>
      <c r="AI714" s="1386"/>
      <c r="AJ714" s="1387"/>
      <c r="AK714" s="1493" t="s">
        <v>2287</v>
      </c>
      <c r="AL714" s="1386"/>
      <c r="AM714" s="1386"/>
      <c r="AN714" s="1386"/>
      <c r="AO714" s="138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8"/>
      <c r="C715" s="1389"/>
      <c r="D715" s="1389"/>
      <c r="E715" s="1389"/>
      <c r="F715" s="1390"/>
      <c r="G715" s="1388"/>
      <c r="H715" s="1389"/>
      <c r="I715" s="1389"/>
      <c r="J715" s="1390"/>
      <c r="K715" s="1761"/>
      <c r="L715" s="1762"/>
      <c r="M715" s="1762"/>
      <c r="N715" s="1763"/>
      <c r="O715" s="1388"/>
      <c r="P715" s="1389"/>
      <c r="Q715" s="1389"/>
      <c r="R715" s="1389"/>
      <c r="S715" s="1390"/>
      <c r="T715" s="1388"/>
      <c r="U715" s="1389"/>
      <c r="V715" s="1389"/>
      <c r="W715" s="1390"/>
      <c r="X715" s="1388"/>
      <c r="Y715" s="1389"/>
      <c r="Z715" s="1389"/>
      <c r="AA715" s="1389"/>
      <c r="AB715" s="1390"/>
      <c r="AC715" s="1388"/>
      <c r="AD715" s="1389"/>
      <c r="AE715" s="1389"/>
      <c r="AF715" s="1389"/>
      <c r="AG715" s="1390"/>
      <c r="AH715" s="1388"/>
      <c r="AI715" s="1389"/>
      <c r="AJ715" s="1390"/>
      <c r="AK715" s="1388"/>
      <c r="AL715" s="1389"/>
      <c r="AM715" s="1389"/>
      <c r="AN715" s="1389"/>
      <c r="AO715" s="139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8"/>
      <c r="C716" s="1389"/>
      <c r="D716" s="1389"/>
      <c r="E716" s="1389"/>
      <c r="F716" s="1390"/>
      <c r="G716" s="1388"/>
      <c r="H716" s="1389"/>
      <c r="I716" s="1389"/>
      <c r="J716" s="1390"/>
      <c r="K716" s="1761"/>
      <c r="L716" s="1762"/>
      <c r="M716" s="1762"/>
      <c r="N716" s="1763"/>
      <c r="O716" s="1388"/>
      <c r="P716" s="1389"/>
      <c r="Q716" s="1389"/>
      <c r="R716" s="1389"/>
      <c r="S716" s="1390"/>
      <c r="T716" s="1388"/>
      <c r="U716" s="1389"/>
      <c r="V716" s="1389"/>
      <c r="W716" s="1390"/>
      <c r="X716" s="1388"/>
      <c r="Y716" s="1389"/>
      <c r="Z716" s="1389"/>
      <c r="AA716" s="1389"/>
      <c r="AB716" s="1390"/>
      <c r="AC716" s="1388"/>
      <c r="AD716" s="1389"/>
      <c r="AE716" s="1389"/>
      <c r="AF716" s="1389"/>
      <c r="AG716" s="1390"/>
      <c r="AH716" s="1388"/>
      <c r="AI716" s="1389"/>
      <c r="AJ716" s="1390"/>
      <c r="AK716" s="1388"/>
      <c r="AL716" s="1389"/>
      <c r="AM716" s="1389"/>
      <c r="AN716" s="1389"/>
      <c r="AO716" s="139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1"/>
      <c r="C717" s="1392"/>
      <c r="D717" s="1392"/>
      <c r="E717" s="1392"/>
      <c r="F717" s="1393"/>
      <c r="G717" s="1391"/>
      <c r="H717" s="1392"/>
      <c r="I717" s="1392"/>
      <c r="J717" s="1393"/>
      <c r="K717" s="1761"/>
      <c r="L717" s="1762"/>
      <c r="M717" s="1762"/>
      <c r="N717" s="1763"/>
      <c r="O717" s="1391"/>
      <c r="P717" s="1392"/>
      <c r="Q717" s="1392"/>
      <c r="R717" s="1392"/>
      <c r="S717" s="1393"/>
      <c r="T717" s="1391"/>
      <c r="U717" s="1392"/>
      <c r="V717" s="1392"/>
      <c r="W717" s="1393"/>
      <c r="X717" s="1391"/>
      <c r="Y717" s="1392"/>
      <c r="Z717" s="1392"/>
      <c r="AA717" s="1392"/>
      <c r="AB717" s="1393"/>
      <c r="AC717" s="1391"/>
      <c r="AD717" s="1392"/>
      <c r="AE717" s="1392"/>
      <c r="AF717" s="1392"/>
      <c r="AG717" s="1393"/>
      <c r="AH717" s="1391"/>
      <c r="AI717" s="1392"/>
      <c r="AJ717" s="1393"/>
      <c r="AK717" s="1391"/>
      <c r="AL717" s="1392"/>
      <c r="AM717" s="1392"/>
      <c r="AN717" s="1392"/>
      <c r="AO717" s="139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6" t="s">
        <v>326</v>
      </c>
      <c r="C718" s="1367"/>
      <c r="D718" s="1367"/>
      <c r="E718" s="1367"/>
      <c r="F718" s="1368"/>
      <c r="G718" s="1357">
        <v>15</v>
      </c>
      <c r="H718" s="1358"/>
      <c r="I718" s="1358"/>
      <c r="J718" s="1359"/>
      <c r="K718" s="1363">
        <v>620</v>
      </c>
      <c r="L718" s="1364"/>
      <c r="M718" s="1364"/>
      <c r="N718" s="1365"/>
      <c r="O718" s="1360">
        <v>576</v>
      </c>
      <c r="P718" s="1361"/>
      <c r="Q718" s="1361"/>
      <c r="R718" s="1361"/>
      <c r="S718" s="1362"/>
      <c r="T718" s="1360">
        <v>0</v>
      </c>
      <c r="U718" s="1361"/>
      <c r="V718" s="1361"/>
      <c r="W718" s="1362"/>
      <c r="X718" s="1371">
        <f t="shared" ref="X718:X741" si="59">O718+T718</f>
        <v>576</v>
      </c>
      <c r="Y718" s="1372"/>
      <c r="Z718" s="1372"/>
      <c r="AA718" s="1372"/>
      <c r="AB718" s="1373"/>
      <c r="AC718" s="1375">
        <v>0.3</v>
      </c>
      <c r="AD718" s="1376"/>
      <c r="AE718" s="1376"/>
      <c r="AF718" s="1376"/>
      <c r="AG718" s="1377"/>
      <c r="AH718" s="1399">
        <f t="shared" ref="AH718:AH751" si="60">IF($AC718&gt;0,($X718/$BA667), "")</f>
        <v>0.29968782518210196</v>
      </c>
      <c r="AI718" s="1400"/>
      <c r="AJ718" s="1401"/>
      <c r="AK718" s="1366" t="s">
        <v>599</v>
      </c>
      <c r="AL718" s="1367"/>
      <c r="AM718" s="1367"/>
      <c r="AN718" s="1367"/>
      <c r="AO718" s="136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6" t="s">
        <v>326</v>
      </c>
      <c r="C719" s="1367"/>
      <c r="D719" s="1367"/>
      <c r="E719" s="1367"/>
      <c r="F719" s="1368"/>
      <c r="G719" s="1357">
        <v>15</v>
      </c>
      <c r="H719" s="1358"/>
      <c r="I719" s="1358"/>
      <c r="J719" s="1359"/>
      <c r="K719" s="1363">
        <v>620</v>
      </c>
      <c r="L719" s="1364"/>
      <c r="M719" s="1364"/>
      <c r="N719" s="1365"/>
      <c r="O719" s="1360">
        <v>960</v>
      </c>
      <c r="P719" s="1361"/>
      <c r="Q719" s="1361"/>
      <c r="R719" s="1361"/>
      <c r="S719" s="1362"/>
      <c r="T719" s="1360">
        <v>0</v>
      </c>
      <c r="U719" s="1361"/>
      <c r="V719" s="1361"/>
      <c r="W719" s="1362"/>
      <c r="X719" s="1371">
        <f t="shared" si="59"/>
        <v>960</v>
      </c>
      <c r="Y719" s="1372"/>
      <c r="Z719" s="1372"/>
      <c r="AA719" s="1372"/>
      <c r="AB719" s="1373"/>
      <c r="AC719" s="1375">
        <v>0.5</v>
      </c>
      <c r="AD719" s="1376"/>
      <c r="AE719" s="1376"/>
      <c r="AF719" s="1376"/>
      <c r="AG719" s="1377"/>
      <c r="AH719" s="1399">
        <f t="shared" si="60"/>
        <v>0.49947970863683661</v>
      </c>
      <c r="AI719" s="1400"/>
      <c r="AJ719" s="1401"/>
      <c r="AK719" s="1366" t="s">
        <v>599</v>
      </c>
      <c r="AL719" s="1367"/>
      <c r="AM719" s="1367"/>
      <c r="AN719" s="1367"/>
      <c r="AO719" s="136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6" t="s">
        <v>326</v>
      </c>
      <c r="C720" s="1367"/>
      <c r="D720" s="1367"/>
      <c r="E720" s="1367"/>
      <c r="F720" s="1368"/>
      <c r="G720" s="1357">
        <v>118</v>
      </c>
      <c r="H720" s="1358"/>
      <c r="I720" s="1358"/>
      <c r="J720" s="1359"/>
      <c r="K720" s="1363">
        <v>620</v>
      </c>
      <c r="L720" s="1364"/>
      <c r="M720" s="1364"/>
      <c r="N720" s="1365"/>
      <c r="O720" s="1360">
        <v>1153</v>
      </c>
      <c r="P720" s="1361"/>
      <c r="Q720" s="1361"/>
      <c r="R720" s="1361"/>
      <c r="S720" s="1362"/>
      <c r="T720" s="1360">
        <v>0</v>
      </c>
      <c r="U720" s="1361"/>
      <c r="V720" s="1361"/>
      <c r="W720" s="1362"/>
      <c r="X720" s="1371">
        <f t="shared" si="59"/>
        <v>1153</v>
      </c>
      <c r="Y720" s="1372"/>
      <c r="Z720" s="1372"/>
      <c r="AA720" s="1372"/>
      <c r="AB720" s="1373"/>
      <c r="AC720" s="1375">
        <v>0.6</v>
      </c>
      <c r="AD720" s="1376"/>
      <c r="AE720" s="1376"/>
      <c r="AF720" s="1376"/>
      <c r="AG720" s="1377"/>
      <c r="AH720" s="1399">
        <f t="shared" si="60"/>
        <v>0.59989594172736738</v>
      </c>
      <c r="AI720" s="1400"/>
      <c r="AJ720" s="1401"/>
      <c r="AK720" s="1366" t="s">
        <v>599</v>
      </c>
      <c r="AL720" s="1367"/>
      <c r="AM720" s="1367"/>
      <c r="AN720" s="1367"/>
      <c r="AO720" s="136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6" t="s">
        <v>163</v>
      </c>
      <c r="C721" s="1367"/>
      <c r="D721" s="1367"/>
      <c r="E721" s="1367"/>
      <c r="F721" s="1368"/>
      <c r="G721" s="1357">
        <v>4</v>
      </c>
      <c r="H721" s="1358"/>
      <c r="I721" s="1358"/>
      <c r="J721" s="1359"/>
      <c r="K721" s="1363">
        <v>767</v>
      </c>
      <c r="L721" s="1364"/>
      <c r="M721" s="1364"/>
      <c r="N721" s="1365"/>
      <c r="O721" s="1360">
        <v>691</v>
      </c>
      <c r="P721" s="1361"/>
      <c r="Q721" s="1361"/>
      <c r="R721" s="1361"/>
      <c r="S721" s="1362"/>
      <c r="T721" s="1360">
        <v>0</v>
      </c>
      <c r="U721" s="1361"/>
      <c r="V721" s="1361"/>
      <c r="W721" s="1362"/>
      <c r="X721" s="1371">
        <f t="shared" si="59"/>
        <v>691</v>
      </c>
      <c r="Y721" s="1372"/>
      <c r="Z721" s="1372"/>
      <c r="AA721" s="1372"/>
      <c r="AB721" s="1373"/>
      <c r="AC721" s="1375">
        <v>0.3</v>
      </c>
      <c r="AD721" s="1376"/>
      <c r="AE721" s="1376"/>
      <c r="AF721" s="1376"/>
      <c r="AG721" s="1377"/>
      <c r="AH721" s="1399">
        <f t="shared" si="60"/>
        <v>0.29991319444444442</v>
      </c>
      <c r="AI721" s="1400"/>
      <c r="AJ721" s="1401"/>
      <c r="AK721" s="1366" t="s">
        <v>599</v>
      </c>
      <c r="AL721" s="1367"/>
      <c r="AM721" s="1367"/>
      <c r="AN721" s="1367"/>
      <c r="AO721" s="136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6" t="s">
        <v>163</v>
      </c>
      <c r="C722" s="1367"/>
      <c r="D722" s="1367"/>
      <c r="E722" s="1367"/>
      <c r="F722" s="1368"/>
      <c r="G722" s="1357">
        <v>4</v>
      </c>
      <c r="H722" s="1358"/>
      <c r="I722" s="1358"/>
      <c r="J722" s="1359"/>
      <c r="K722" s="1363">
        <v>767</v>
      </c>
      <c r="L722" s="1364"/>
      <c r="M722" s="1364"/>
      <c r="N722" s="1365"/>
      <c r="O722" s="1360">
        <v>1152</v>
      </c>
      <c r="P722" s="1361"/>
      <c r="Q722" s="1361"/>
      <c r="R722" s="1361"/>
      <c r="S722" s="1362"/>
      <c r="T722" s="1360">
        <v>0</v>
      </c>
      <c r="U722" s="1361"/>
      <c r="V722" s="1361"/>
      <c r="W722" s="1362"/>
      <c r="X722" s="1371">
        <f t="shared" si="59"/>
        <v>1152</v>
      </c>
      <c r="Y722" s="1372"/>
      <c r="Z722" s="1372"/>
      <c r="AA722" s="1372"/>
      <c r="AB722" s="1373"/>
      <c r="AC722" s="1375">
        <v>0.5</v>
      </c>
      <c r="AD722" s="1376"/>
      <c r="AE722" s="1376"/>
      <c r="AF722" s="1376"/>
      <c r="AG722" s="1377"/>
      <c r="AH722" s="1399">
        <f t="shared" si="60"/>
        <v>0.5</v>
      </c>
      <c r="AI722" s="1400"/>
      <c r="AJ722" s="1401"/>
      <c r="AK722" s="1366" t="s">
        <v>599</v>
      </c>
      <c r="AL722" s="1367"/>
      <c r="AM722" s="1367"/>
      <c r="AN722" s="1367"/>
      <c r="AO722" s="136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6" t="s">
        <v>163</v>
      </c>
      <c r="C723" s="1367"/>
      <c r="D723" s="1367"/>
      <c r="E723" s="1367"/>
      <c r="F723" s="1368"/>
      <c r="G723" s="1357">
        <v>32</v>
      </c>
      <c r="H723" s="1358"/>
      <c r="I723" s="1358"/>
      <c r="J723" s="1359"/>
      <c r="K723" s="1363">
        <v>767</v>
      </c>
      <c r="L723" s="1364"/>
      <c r="M723" s="1364"/>
      <c r="N723" s="1365"/>
      <c r="O723" s="1360">
        <v>1383</v>
      </c>
      <c r="P723" s="1361"/>
      <c r="Q723" s="1361"/>
      <c r="R723" s="1361"/>
      <c r="S723" s="1362"/>
      <c r="T723" s="1360">
        <v>0</v>
      </c>
      <c r="U723" s="1361"/>
      <c r="V723" s="1361"/>
      <c r="W723" s="1362"/>
      <c r="X723" s="1371">
        <f t="shared" si="59"/>
        <v>1383</v>
      </c>
      <c r="Y723" s="1372"/>
      <c r="Z723" s="1372"/>
      <c r="AA723" s="1372"/>
      <c r="AB723" s="1373"/>
      <c r="AC723" s="1375">
        <v>0.6</v>
      </c>
      <c r="AD723" s="1376"/>
      <c r="AE723" s="1376"/>
      <c r="AF723" s="1376"/>
      <c r="AG723" s="1377"/>
      <c r="AH723" s="1399">
        <f t="shared" si="60"/>
        <v>0.60026041666666663</v>
      </c>
      <c r="AI723" s="1400"/>
      <c r="AJ723" s="1401"/>
      <c r="AK723" s="1366" t="s">
        <v>599</v>
      </c>
      <c r="AL723" s="1367"/>
      <c r="AM723" s="1367"/>
      <c r="AN723" s="1367"/>
      <c r="AO723" s="136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6" t="s">
        <v>163</v>
      </c>
      <c r="C724" s="1367"/>
      <c r="D724" s="1367"/>
      <c r="E724" s="1367"/>
      <c r="F724" s="1368"/>
      <c r="G724" s="1357">
        <v>1</v>
      </c>
      <c r="H724" s="1358"/>
      <c r="I724" s="1358"/>
      <c r="J724" s="1359"/>
      <c r="K724" s="1363">
        <v>828</v>
      </c>
      <c r="L724" s="1364"/>
      <c r="M724" s="1364"/>
      <c r="N724" s="1365"/>
      <c r="O724" s="1360">
        <v>691</v>
      </c>
      <c r="P724" s="1361"/>
      <c r="Q724" s="1361"/>
      <c r="R724" s="1361"/>
      <c r="S724" s="1362"/>
      <c r="T724" s="1360">
        <v>0</v>
      </c>
      <c r="U724" s="1361"/>
      <c r="V724" s="1361"/>
      <c r="W724" s="1362"/>
      <c r="X724" s="1371">
        <f t="shared" si="59"/>
        <v>691</v>
      </c>
      <c r="Y724" s="1372"/>
      <c r="Z724" s="1372"/>
      <c r="AA724" s="1372"/>
      <c r="AB724" s="1373"/>
      <c r="AC724" s="1375">
        <v>0.3</v>
      </c>
      <c r="AD724" s="1376"/>
      <c r="AE724" s="1376"/>
      <c r="AF724" s="1376"/>
      <c r="AG724" s="1377"/>
      <c r="AH724" s="1399">
        <f t="shared" si="60"/>
        <v>0.29991319444444442</v>
      </c>
      <c r="AI724" s="1400"/>
      <c r="AJ724" s="1401"/>
      <c r="AK724" s="1366" t="s">
        <v>599</v>
      </c>
      <c r="AL724" s="1367"/>
      <c r="AM724" s="1367"/>
      <c r="AN724" s="1367"/>
      <c r="AO724" s="136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6" t="s">
        <v>163</v>
      </c>
      <c r="C725" s="1367"/>
      <c r="D725" s="1367"/>
      <c r="E725" s="1367"/>
      <c r="F725" s="1368"/>
      <c r="G725" s="1357">
        <v>1</v>
      </c>
      <c r="H725" s="1358"/>
      <c r="I725" s="1358"/>
      <c r="J725" s="1359"/>
      <c r="K725" s="1363">
        <v>828</v>
      </c>
      <c r="L725" s="1364"/>
      <c r="M725" s="1364"/>
      <c r="N725" s="1365"/>
      <c r="O725" s="1360">
        <v>1152</v>
      </c>
      <c r="P725" s="1361"/>
      <c r="Q725" s="1361"/>
      <c r="R725" s="1361"/>
      <c r="S725" s="1362"/>
      <c r="T725" s="1360">
        <v>0</v>
      </c>
      <c r="U725" s="1361"/>
      <c r="V725" s="1361"/>
      <c r="W725" s="1362"/>
      <c r="X725" s="1371">
        <f t="shared" si="59"/>
        <v>1152</v>
      </c>
      <c r="Y725" s="1372"/>
      <c r="Z725" s="1372"/>
      <c r="AA725" s="1372"/>
      <c r="AB725" s="1373"/>
      <c r="AC725" s="1375">
        <v>0.5</v>
      </c>
      <c r="AD725" s="1376"/>
      <c r="AE725" s="1376"/>
      <c r="AF725" s="1376"/>
      <c r="AG725" s="1377"/>
      <c r="AH725" s="1399">
        <f t="shared" si="60"/>
        <v>0.5</v>
      </c>
      <c r="AI725" s="1400"/>
      <c r="AJ725" s="1401"/>
      <c r="AK725" s="1366" t="s">
        <v>599</v>
      </c>
      <c r="AL725" s="1367"/>
      <c r="AM725" s="1367"/>
      <c r="AN725" s="1367"/>
      <c r="AO725" s="136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6" t="s">
        <v>163</v>
      </c>
      <c r="C726" s="1367"/>
      <c r="D726" s="1367"/>
      <c r="E726" s="1367"/>
      <c r="F726" s="1368"/>
      <c r="G726" s="1357">
        <v>6</v>
      </c>
      <c r="H726" s="1358"/>
      <c r="I726" s="1358"/>
      <c r="J726" s="1359"/>
      <c r="K726" s="1363">
        <v>828</v>
      </c>
      <c r="L726" s="1364"/>
      <c r="M726" s="1364"/>
      <c r="N726" s="1365"/>
      <c r="O726" s="1360">
        <v>1383</v>
      </c>
      <c r="P726" s="1361"/>
      <c r="Q726" s="1361"/>
      <c r="R726" s="1361"/>
      <c r="S726" s="1362"/>
      <c r="T726" s="1360">
        <v>0</v>
      </c>
      <c r="U726" s="1361"/>
      <c r="V726" s="1361"/>
      <c r="W726" s="1362"/>
      <c r="X726" s="1371">
        <f t="shared" si="59"/>
        <v>1383</v>
      </c>
      <c r="Y726" s="1372"/>
      <c r="Z726" s="1372"/>
      <c r="AA726" s="1372"/>
      <c r="AB726" s="1373"/>
      <c r="AC726" s="1375">
        <v>0.6</v>
      </c>
      <c r="AD726" s="1376"/>
      <c r="AE726" s="1376"/>
      <c r="AF726" s="1376"/>
      <c r="AG726" s="1377"/>
      <c r="AH726" s="1399">
        <f t="shared" si="60"/>
        <v>0.60026041666666663</v>
      </c>
      <c r="AI726" s="1400"/>
      <c r="AJ726" s="1401"/>
      <c r="AK726" s="1366" t="s">
        <v>599</v>
      </c>
      <c r="AL726" s="1367"/>
      <c r="AM726" s="1367"/>
      <c r="AN726" s="1367"/>
      <c r="AO726" s="136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6"/>
      <c r="C727" s="1367"/>
      <c r="D727" s="1367"/>
      <c r="E727" s="1367"/>
      <c r="F727" s="1368"/>
      <c r="G727" s="1357"/>
      <c r="H727" s="1358"/>
      <c r="I727" s="1358"/>
      <c r="J727" s="1359"/>
      <c r="K727" s="1363"/>
      <c r="L727" s="1364"/>
      <c r="M727" s="1364"/>
      <c r="N727" s="1365"/>
      <c r="O727" s="1360"/>
      <c r="P727" s="1361"/>
      <c r="Q727" s="1361"/>
      <c r="R727" s="1361"/>
      <c r="S727" s="1362"/>
      <c r="T727" s="1360"/>
      <c r="U727" s="1361"/>
      <c r="V727" s="1361"/>
      <c r="W727" s="1362"/>
      <c r="X727" s="1371">
        <f t="shared" si="59"/>
        <v>0</v>
      </c>
      <c r="Y727" s="1372"/>
      <c r="Z727" s="1372"/>
      <c r="AA727" s="1372"/>
      <c r="AB727" s="1373"/>
      <c r="AC727" s="1375"/>
      <c r="AD727" s="1376"/>
      <c r="AE727" s="1376"/>
      <c r="AF727" s="1376"/>
      <c r="AG727" s="1377"/>
      <c r="AH727" s="1399" t="str">
        <f t="shared" si="60"/>
        <v/>
      </c>
      <c r="AI727" s="1400"/>
      <c r="AJ727" s="1401"/>
      <c r="AK727" s="1366" t="s">
        <v>599</v>
      </c>
      <c r="AL727" s="1367"/>
      <c r="AM727" s="1367"/>
      <c r="AN727" s="1367"/>
      <c r="AO727" s="136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6"/>
      <c r="C728" s="1367"/>
      <c r="D728" s="1367"/>
      <c r="E728" s="1367"/>
      <c r="F728" s="1368"/>
      <c r="G728" s="1357"/>
      <c r="H728" s="1358"/>
      <c r="I728" s="1358"/>
      <c r="J728" s="1359"/>
      <c r="K728" s="1363"/>
      <c r="L728" s="1364"/>
      <c r="M728" s="1364"/>
      <c r="N728" s="1365"/>
      <c r="O728" s="1360"/>
      <c r="P728" s="1361"/>
      <c r="Q728" s="1361"/>
      <c r="R728" s="1361"/>
      <c r="S728" s="1362"/>
      <c r="T728" s="1360"/>
      <c r="U728" s="1361"/>
      <c r="V728" s="1361"/>
      <c r="W728" s="1362"/>
      <c r="X728" s="1371">
        <f t="shared" si="59"/>
        <v>0</v>
      </c>
      <c r="Y728" s="1372"/>
      <c r="Z728" s="1372"/>
      <c r="AA728" s="1372"/>
      <c r="AB728" s="1373"/>
      <c r="AC728" s="1375"/>
      <c r="AD728" s="1376"/>
      <c r="AE728" s="1376"/>
      <c r="AF728" s="1376"/>
      <c r="AG728" s="1377"/>
      <c r="AH728" s="1399" t="str">
        <f t="shared" si="60"/>
        <v/>
      </c>
      <c r="AI728" s="1400"/>
      <c r="AJ728" s="1401"/>
      <c r="AK728" s="1366" t="s">
        <v>599</v>
      </c>
      <c r="AL728" s="1367"/>
      <c r="AM728" s="1367"/>
      <c r="AN728" s="1367"/>
      <c r="AO728" s="136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6"/>
      <c r="C729" s="1367"/>
      <c r="D729" s="1367"/>
      <c r="E729" s="1367"/>
      <c r="F729" s="1368"/>
      <c r="G729" s="1357"/>
      <c r="H729" s="1358"/>
      <c r="I729" s="1358"/>
      <c r="J729" s="1359"/>
      <c r="K729" s="1363"/>
      <c r="L729" s="1364"/>
      <c r="M729" s="1364"/>
      <c r="N729" s="1365"/>
      <c r="O729" s="1360"/>
      <c r="P729" s="1361"/>
      <c r="Q729" s="1361"/>
      <c r="R729" s="1361"/>
      <c r="S729" s="1362"/>
      <c r="T729" s="1360"/>
      <c r="U729" s="1361"/>
      <c r="V729" s="1361"/>
      <c r="W729" s="1362"/>
      <c r="X729" s="1371">
        <f t="shared" si="59"/>
        <v>0</v>
      </c>
      <c r="Y729" s="1372"/>
      <c r="Z729" s="1372"/>
      <c r="AA729" s="1372"/>
      <c r="AB729" s="1373"/>
      <c r="AC729" s="1375"/>
      <c r="AD729" s="1376"/>
      <c r="AE729" s="1376"/>
      <c r="AF729" s="1376"/>
      <c r="AG729" s="1377"/>
      <c r="AH729" s="1399" t="str">
        <f t="shared" si="60"/>
        <v/>
      </c>
      <c r="AI729" s="1400"/>
      <c r="AJ729" s="1401"/>
      <c r="AK729" s="1366" t="s">
        <v>599</v>
      </c>
      <c r="AL729" s="1367"/>
      <c r="AM729" s="1367"/>
      <c r="AN729" s="1367"/>
      <c r="AO729" s="136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6"/>
      <c r="C730" s="1367"/>
      <c r="D730" s="1367"/>
      <c r="E730" s="1367"/>
      <c r="F730" s="1368"/>
      <c r="G730" s="1357"/>
      <c r="H730" s="1358"/>
      <c r="I730" s="1358"/>
      <c r="J730" s="1359"/>
      <c r="K730" s="1363"/>
      <c r="L730" s="1364"/>
      <c r="M730" s="1364"/>
      <c r="N730" s="1365"/>
      <c r="O730" s="1360"/>
      <c r="P730" s="1361"/>
      <c r="Q730" s="1361"/>
      <c r="R730" s="1361"/>
      <c r="S730" s="1362"/>
      <c r="T730" s="1360"/>
      <c r="U730" s="1361"/>
      <c r="V730" s="1361"/>
      <c r="W730" s="1362"/>
      <c r="X730" s="1371">
        <f t="shared" si="59"/>
        <v>0</v>
      </c>
      <c r="Y730" s="1372"/>
      <c r="Z730" s="1372"/>
      <c r="AA730" s="1372"/>
      <c r="AB730" s="1373"/>
      <c r="AC730" s="1375"/>
      <c r="AD730" s="1376"/>
      <c r="AE730" s="1376"/>
      <c r="AF730" s="1376"/>
      <c r="AG730" s="1377"/>
      <c r="AH730" s="1399" t="str">
        <f t="shared" si="60"/>
        <v/>
      </c>
      <c r="AI730" s="1400"/>
      <c r="AJ730" s="1401"/>
      <c r="AK730" s="1366" t="s">
        <v>599</v>
      </c>
      <c r="AL730" s="1367"/>
      <c r="AM730" s="1367"/>
      <c r="AN730" s="1367"/>
      <c r="AO730" s="136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6"/>
      <c r="C731" s="1367"/>
      <c r="D731" s="1367"/>
      <c r="E731" s="1367"/>
      <c r="F731" s="1368"/>
      <c r="G731" s="1357"/>
      <c r="H731" s="1358"/>
      <c r="I731" s="1358"/>
      <c r="J731" s="1359"/>
      <c r="K731" s="1363"/>
      <c r="L731" s="1364"/>
      <c r="M731" s="1364"/>
      <c r="N731" s="1365"/>
      <c r="O731" s="1360"/>
      <c r="P731" s="1361"/>
      <c r="Q731" s="1361"/>
      <c r="R731" s="1361"/>
      <c r="S731" s="1362"/>
      <c r="T731" s="1360"/>
      <c r="U731" s="1361"/>
      <c r="V731" s="1361"/>
      <c r="W731" s="1362"/>
      <c r="X731" s="1371">
        <f t="shared" si="59"/>
        <v>0</v>
      </c>
      <c r="Y731" s="1372"/>
      <c r="Z731" s="1372"/>
      <c r="AA731" s="1372"/>
      <c r="AB731" s="1373"/>
      <c r="AC731" s="1375"/>
      <c r="AD731" s="1376"/>
      <c r="AE731" s="1376"/>
      <c r="AF731" s="1376"/>
      <c r="AG731" s="1377"/>
      <c r="AH731" s="1399" t="str">
        <f t="shared" si="60"/>
        <v/>
      </c>
      <c r="AI731" s="1400"/>
      <c r="AJ731" s="1401"/>
      <c r="AK731" s="1366" t="s">
        <v>599</v>
      </c>
      <c r="AL731" s="1367"/>
      <c r="AM731" s="1367"/>
      <c r="AN731" s="1367"/>
      <c r="AO731" s="136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6"/>
      <c r="C732" s="1367"/>
      <c r="D732" s="1367"/>
      <c r="E732" s="1367"/>
      <c r="F732" s="1368"/>
      <c r="G732" s="1357"/>
      <c r="H732" s="1358"/>
      <c r="I732" s="1358"/>
      <c r="J732" s="1359"/>
      <c r="K732" s="1363"/>
      <c r="L732" s="1364"/>
      <c r="M732" s="1364"/>
      <c r="N732" s="1365"/>
      <c r="O732" s="1360"/>
      <c r="P732" s="1361"/>
      <c r="Q732" s="1361"/>
      <c r="R732" s="1361"/>
      <c r="S732" s="1362"/>
      <c r="T732" s="1360"/>
      <c r="U732" s="1361"/>
      <c r="V732" s="1361"/>
      <c r="W732" s="1362"/>
      <c r="X732" s="1371">
        <f t="shared" si="59"/>
        <v>0</v>
      </c>
      <c r="Y732" s="1372"/>
      <c r="Z732" s="1372"/>
      <c r="AA732" s="1372"/>
      <c r="AB732" s="1373"/>
      <c r="AC732" s="1375"/>
      <c r="AD732" s="1376"/>
      <c r="AE732" s="1376"/>
      <c r="AF732" s="1376"/>
      <c r="AG732" s="1377"/>
      <c r="AH732" s="1399" t="str">
        <f t="shared" si="60"/>
        <v/>
      </c>
      <c r="AI732" s="1400"/>
      <c r="AJ732" s="1401"/>
      <c r="AK732" s="1366" t="s">
        <v>599</v>
      </c>
      <c r="AL732" s="1367"/>
      <c r="AM732" s="1367"/>
      <c r="AN732" s="1367"/>
      <c r="AO732" s="136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6"/>
      <c r="C733" s="1367"/>
      <c r="D733" s="1367"/>
      <c r="E733" s="1367"/>
      <c r="F733" s="1368"/>
      <c r="G733" s="1357"/>
      <c r="H733" s="1358"/>
      <c r="I733" s="1358"/>
      <c r="J733" s="1359"/>
      <c r="K733" s="1363"/>
      <c r="L733" s="1364"/>
      <c r="M733" s="1364"/>
      <c r="N733" s="1365"/>
      <c r="O733" s="1360"/>
      <c r="P733" s="1361"/>
      <c r="Q733" s="1361"/>
      <c r="R733" s="1361"/>
      <c r="S733" s="1362"/>
      <c r="T733" s="1360"/>
      <c r="U733" s="1361"/>
      <c r="V733" s="1361"/>
      <c r="W733" s="1362"/>
      <c r="X733" s="1371">
        <f t="shared" si="59"/>
        <v>0</v>
      </c>
      <c r="Y733" s="1372"/>
      <c r="Z733" s="1372"/>
      <c r="AA733" s="1372"/>
      <c r="AB733" s="1373"/>
      <c r="AC733" s="1375"/>
      <c r="AD733" s="1376"/>
      <c r="AE733" s="1376"/>
      <c r="AF733" s="1376"/>
      <c r="AG733" s="1377"/>
      <c r="AH733" s="1399" t="str">
        <f t="shared" si="60"/>
        <v/>
      </c>
      <c r="AI733" s="1400"/>
      <c r="AJ733" s="1401"/>
      <c r="AK733" s="1366" t="s">
        <v>599</v>
      </c>
      <c r="AL733" s="1367"/>
      <c r="AM733" s="1367"/>
      <c r="AN733" s="1367"/>
      <c r="AO733" s="136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6"/>
      <c r="C734" s="1367"/>
      <c r="D734" s="1367"/>
      <c r="E734" s="1367"/>
      <c r="F734" s="1368"/>
      <c r="G734" s="1357"/>
      <c r="H734" s="1358"/>
      <c r="I734" s="1358"/>
      <c r="J734" s="1359"/>
      <c r="K734" s="1363"/>
      <c r="L734" s="1364"/>
      <c r="M734" s="1364"/>
      <c r="N734" s="1365"/>
      <c r="O734" s="1360"/>
      <c r="P734" s="1361"/>
      <c r="Q734" s="1361"/>
      <c r="R734" s="1361"/>
      <c r="S734" s="1362"/>
      <c r="T734" s="1360"/>
      <c r="U734" s="1361"/>
      <c r="V734" s="1361"/>
      <c r="W734" s="1362"/>
      <c r="X734" s="1371">
        <f t="shared" si="59"/>
        <v>0</v>
      </c>
      <c r="Y734" s="1372"/>
      <c r="Z734" s="1372"/>
      <c r="AA734" s="1372"/>
      <c r="AB734" s="1373"/>
      <c r="AC734" s="1375"/>
      <c r="AD734" s="1376"/>
      <c r="AE734" s="1376"/>
      <c r="AF734" s="1376"/>
      <c r="AG734" s="1377"/>
      <c r="AH734" s="1399" t="str">
        <f t="shared" si="60"/>
        <v/>
      </c>
      <c r="AI734" s="1400"/>
      <c r="AJ734" s="1401"/>
      <c r="AK734" s="1366" t="s">
        <v>599</v>
      </c>
      <c r="AL734" s="1367"/>
      <c r="AM734" s="1367"/>
      <c r="AN734" s="1367"/>
      <c r="AO734" s="136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6"/>
      <c r="C735" s="1367"/>
      <c r="D735" s="1367"/>
      <c r="E735" s="1367"/>
      <c r="F735" s="1368"/>
      <c r="G735" s="1357"/>
      <c r="H735" s="1358"/>
      <c r="I735" s="1358"/>
      <c r="J735" s="1359"/>
      <c r="K735" s="1363"/>
      <c r="L735" s="1364"/>
      <c r="M735" s="1364"/>
      <c r="N735" s="1365"/>
      <c r="O735" s="1360"/>
      <c r="P735" s="1361"/>
      <c r="Q735" s="1361"/>
      <c r="R735" s="1361"/>
      <c r="S735" s="1362"/>
      <c r="T735" s="1360"/>
      <c r="U735" s="1361"/>
      <c r="V735" s="1361"/>
      <c r="W735" s="1362"/>
      <c r="X735" s="1371">
        <f t="shared" si="59"/>
        <v>0</v>
      </c>
      <c r="Y735" s="1372"/>
      <c r="Z735" s="1372"/>
      <c r="AA735" s="1372"/>
      <c r="AB735" s="1373"/>
      <c r="AC735" s="1375"/>
      <c r="AD735" s="1376"/>
      <c r="AE735" s="1376"/>
      <c r="AF735" s="1376"/>
      <c r="AG735" s="1377"/>
      <c r="AH735" s="1399" t="str">
        <f t="shared" si="60"/>
        <v/>
      </c>
      <c r="AI735" s="1400"/>
      <c r="AJ735" s="1401"/>
      <c r="AK735" s="1366" t="s">
        <v>599</v>
      </c>
      <c r="AL735" s="1367"/>
      <c r="AM735" s="1367"/>
      <c r="AN735" s="1367"/>
      <c r="AO735" s="136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6"/>
      <c r="C736" s="1367"/>
      <c r="D736" s="1367"/>
      <c r="E736" s="1367"/>
      <c r="F736" s="1368"/>
      <c r="G736" s="1357"/>
      <c r="H736" s="1358"/>
      <c r="I736" s="1358"/>
      <c r="J736" s="1359"/>
      <c r="K736" s="1363"/>
      <c r="L736" s="1364"/>
      <c r="M736" s="1364"/>
      <c r="N736" s="1365"/>
      <c r="O736" s="1360"/>
      <c r="P736" s="1361"/>
      <c r="Q736" s="1361"/>
      <c r="R736" s="1361"/>
      <c r="S736" s="1362"/>
      <c r="T736" s="1360"/>
      <c r="U736" s="1361"/>
      <c r="V736" s="1361"/>
      <c r="W736" s="1362"/>
      <c r="X736" s="1371">
        <f t="shared" si="59"/>
        <v>0</v>
      </c>
      <c r="Y736" s="1372"/>
      <c r="Z736" s="1372"/>
      <c r="AA736" s="1372"/>
      <c r="AB736" s="1373"/>
      <c r="AC736" s="1375"/>
      <c r="AD736" s="1376"/>
      <c r="AE736" s="1376"/>
      <c r="AF736" s="1376"/>
      <c r="AG736" s="1377"/>
      <c r="AH736" s="1399" t="str">
        <f t="shared" si="60"/>
        <v/>
      </c>
      <c r="AI736" s="1400"/>
      <c r="AJ736" s="1401"/>
      <c r="AK736" s="1366" t="s">
        <v>599</v>
      </c>
      <c r="AL736" s="1367"/>
      <c r="AM736" s="1367"/>
      <c r="AN736" s="1367"/>
      <c r="AO736" s="136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6"/>
      <c r="C737" s="1367"/>
      <c r="D737" s="1367"/>
      <c r="E737" s="1367"/>
      <c r="F737" s="1368"/>
      <c r="G737" s="1357"/>
      <c r="H737" s="1358"/>
      <c r="I737" s="1358"/>
      <c r="J737" s="1359"/>
      <c r="K737" s="1363"/>
      <c r="L737" s="1364"/>
      <c r="M737" s="1364"/>
      <c r="N737" s="1365"/>
      <c r="O737" s="1360"/>
      <c r="P737" s="1361"/>
      <c r="Q737" s="1361"/>
      <c r="R737" s="1361"/>
      <c r="S737" s="1362"/>
      <c r="T737" s="1360"/>
      <c r="U737" s="1361"/>
      <c r="V737" s="1361"/>
      <c r="W737" s="1362"/>
      <c r="X737" s="1371">
        <f t="shared" si="59"/>
        <v>0</v>
      </c>
      <c r="Y737" s="1372"/>
      <c r="Z737" s="1372"/>
      <c r="AA737" s="1372"/>
      <c r="AB737" s="1373"/>
      <c r="AC737" s="1375"/>
      <c r="AD737" s="1376"/>
      <c r="AE737" s="1376"/>
      <c r="AF737" s="1376"/>
      <c r="AG737" s="1377"/>
      <c r="AH737" s="1399" t="str">
        <f t="shared" si="60"/>
        <v/>
      </c>
      <c r="AI737" s="1400"/>
      <c r="AJ737" s="1401"/>
      <c r="AK737" s="1366" t="s">
        <v>599</v>
      </c>
      <c r="AL737" s="1367"/>
      <c r="AM737" s="1367"/>
      <c r="AN737" s="1367"/>
      <c r="AO737" s="136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6"/>
      <c r="C738" s="1367"/>
      <c r="D738" s="1367"/>
      <c r="E738" s="1367"/>
      <c r="F738" s="1368"/>
      <c r="G738" s="1357"/>
      <c r="H738" s="1358"/>
      <c r="I738" s="1358"/>
      <c r="J738" s="1359"/>
      <c r="K738" s="1363"/>
      <c r="L738" s="1364"/>
      <c r="M738" s="1364"/>
      <c r="N738" s="1365"/>
      <c r="O738" s="1360"/>
      <c r="P738" s="1361"/>
      <c r="Q738" s="1361"/>
      <c r="R738" s="1361"/>
      <c r="S738" s="1362"/>
      <c r="T738" s="1360"/>
      <c r="U738" s="1361"/>
      <c r="V738" s="1361"/>
      <c r="W738" s="1362"/>
      <c r="X738" s="1371">
        <f t="shared" si="59"/>
        <v>0</v>
      </c>
      <c r="Y738" s="1372"/>
      <c r="Z738" s="1372"/>
      <c r="AA738" s="1372"/>
      <c r="AB738" s="1373"/>
      <c r="AC738" s="1375"/>
      <c r="AD738" s="1376"/>
      <c r="AE738" s="1376"/>
      <c r="AF738" s="1376"/>
      <c r="AG738" s="1377"/>
      <c r="AH738" s="1399" t="str">
        <f t="shared" si="60"/>
        <v/>
      </c>
      <c r="AI738" s="1400"/>
      <c r="AJ738" s="1401"/>
      <c r="AK738" s="1366" t="s">
        <v>599</v>
      </c>
      <c r="AL738" s="1367"/>
      <c r="AM738" s="1367"/>
      <c r="AN738" s="1367"/>
      <c r="AO738" s="136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6"/>
      <c r="C739" s="1367"/>
      <c r="D739" s="1367"/>
      <c r="E739" s="1367"/>
      <c r="F739" s="1368"/>
      <c r="G739" s="1357"/>
      <c r="H739" s="1358"/>
      <c r="I739" s="1358"/>
      <c r="J739" s="1359"/>
      <c r="K739" s="1363"/>
      <c r="L739" s="1364"/>
      <c r="M739" s="1364"/>
      <c r="N739" s="1365"/>
      <c r="O739" s="1360"/>
      <c r="P739" s="1361"/>
      <c r="Q739" s="1361"/>
      <c r="R739" s="1361"/>
      <c r="S739" s="1362"/>
      <c r="T739" s="1360"/>
      <c r="U739" s="1361"/>
      <c r="V739" s="1361"/>
      <c r="W739" s="1362"/>
      <c r="X739" s="1371">
        <f t="shared" si="59"/>
        <v>0</v>
      </c>
      <c r="Y739" s="1372"/>
      <c r="Z739" s="1372"/>
      <c r="AA739" s="1372"/>
      <c r="AB739" s="1373"/>
      <c r="AC739" s="1375"/>
      <c r="AD739" s="1376"/>
      <c r="AE739" s="1376"/>
      <c r="AF739" s="1376"/>
      <c r="AG739" s="1377"/>
      <c r="AH739" s="1399" t="str">
        <f t="shared" si="60"/>
        <v/>
      </c>
      <c r="AI739" s="1400"/>
      <c r="AJ739" s="1401"/>
      <c r="AK739" s="1366" t="s">
        <v>599</v>
      </c>
      <c r="AL739" s="1367"/>
      <c r="AM739" s="1367"/>
      <c r="AN739" s="1367"/>
      <c r="AO739" s="136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6"/>
      <c r="C740" s="1367"/>
      <c r="D740" s="1367"/>
      <c r="E740" s="1367"/>
      <c r="F740" s="1368"/>
      <c r="G740" s="1357"/>
      <c r="H740" s="1358"/>
      <c r="I740" s="1358"/>
      <c r="J740" s="1359"/>
      <c r="K740" s="1363"/>
      <c r="L740" s="1364"/>
      <c r="M740" s="1364"/>
      <c r="N740" s="1365"/>
      <c r="O740" s="1360"/>
      <c r="P740" s="1361"/>
      <c r="Q740" s="1361"/>
      <c r="R740" s="1361"/>
      <c r="S740" s="1362"/>
      <c r="T740" s="1360"/>
      <c r="U740" s="1361"/>
      <c r="V740" s="1361"/>
      <c r="W740" s="1362"/>
      <c r="X740" s="1371">
        <f t="shared" si="59"/>
        <v>0</v>
      </c>
      <c r="Y740" s="1372"/>
      <c r="Z740" s="1372"/>
      <c r="AA740" s="1372"/>
      <c r="AB740" s="1373"/>
      <c r="AC740" s="1375"/>
      <c r="AD740" s="1376"/>
      <c r="AE740" s="1376"/>
      <c r="AF740" s="1376"/>
      <c r="AG740" s="1377"/>
      <c r="AH740" s="1399" t="str">
        <f t="shared" si="60"/>
        <v/>
      </c>
      <c r="AI740" s="1400"/>
      <c r="AJ740" s="1401"/>
      <c r="AK740" s="1366" t="s">
        <v>599</v>
      </c>
      <c r="AL740" s="1367"/>
      <c r="AM740" s="1367"/>
      <c r="AN740" s="1367"/>
      <c r="AO740" s="136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6"/>
      <c r="C741" s="1367"/>
      <c r="D741" s="1367"/>
      <c r="E741" s="1367"/>
      <c r="F741" s="1368"/>
      <c r="G741" s="1357"/>
      <c r="H741" s="1358"/>
      <c r="I741" s="1358"/>
      <c r="J741" s="1359"/>
      <c r="K741" s="1363"/>
      <c r="L741" s="1364"/>
      <c r="M741" s="1364"/>
      <c r="N741" s="1365"/>
      <c r="O741" s="1360"/>
      <c r="P741" s="1361"/>
      <c r="Q741" s="1361"/>
      <c r="R741" s="1361"/>
      <c r="S741" s="1362"/>
      <c r="T741" s="1360"/>
      <c r="U741" s="1361"/>
      <c r="V741" s="1361"/>
      <c r="W741" s="1362"/>
      <c r="X741" s="1371">
        <f t="shared" si="59"/>
        <v>0</v>
      </c>
      <c r="Y741" s="1372"/>
      <c r="Z741" s="1372"/>
      <c r="AA741" s="1372"/>
      <c r="AB741" s="1373"/>
      <c r="AC741" s="1375"/>
      <c r="AD741" s="1376"/>
      <c r="AE741" s="1376"/>
      <c r="AF741" s="1376"/>
      <c r="AG741" s="1377"/>
      <c r="AH741" s="1399" t="str">
        <f t="shared" si="60"/>
        <v/>
      </c>
      <c r="AI741" s="1400"/>
      <c r="AJ741" s="1401"/>
      <c r="AK741" s="1366" t="s">
        <v>599</v>
      </c>
      <c r="AL741" s="1367"/>
      <c r="AM741" s="1367"/>
      <c r="AN741" s="1367"/>
      <c r="AO741" s="136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6"/>
      <c r="C742" s="1367"/>
      <c r="D742" s="1367"/>
      <c r="E742" s="1367"/>
      <c r="F742" s="1368"/>
      <c r="G742" s="1357"/>
      <c r="H742" s="1358"/>
      <c r="I742" s="1358"/>
      <c r="J742" s="1359"/>
      <c r="K742" s="1363"/>
      <c r="L742" s="1364"/>
      <c r="M742" s="1364"/>
      <c r="N742" s="1365"/>
      <c r="O742" s="1360"/>
      <c r="P742" s="1361"/>
      <c r="Q742" s="1361"/>
      <c r="R742" s="1361"/>
      <c r="S742" s="1362"/>
      <c r="T742" s="1360"/>
      <c r="U742" s="1361"/>
      <c r="V742" s="1361"/>
      <c r="W742" s="1362"/>
      <c r="X742" s="1371">
        <f t="shared" ref="X742:X751" si="61">O742+T742</f>
        <v>0</v>
      </c>
      <c r="Y742" s="1372"/>
      <c r="Z742" s="1372"/>
      <c r="AA742" s="1372"/>
      <c r="AB742" s="1373"/>
      <c r="AC742" s="1375"/>
      <c r="AD742" s="1376"/>
      <c r="AE742" s="1376"/>
      <c r="AF742" s="1376"/>
      <c r="AG742" s="1377"/>
      <c r="AH742" s="1399" t="str">
        <f t="shared" si="60"/>
        <v/>
      </c>
      <c r="AI742" s="1400"/>
      <c r="AJ742" s="1401"/>
      <c r="AK742" s="1366" t="s">
        <v>599</v>
      </c>
      <c r="AL742" s="1367"/>
      <c r="AM742" s="1367"/>
      <c r="AN742" s="1367"/>
      <c r="AO742" s="136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6"/>
      <c r="C743" s="1367"/>
      <c r="D743" s="1367"/>
      <c r="E743" s="1367"/>
      <c r="F743" s="1368"/>
      <c r="G743" s="1357"/>
      <c r="H743" s="1358"/>
      <c r="I743" s="1358"/>
      <c r="J743" s="1359"/>
      <c r="K743" s="1363"/>
      <c r="L743" s="1364"/>
      <c r="M743" s="1364"/>
      <c r="N743" s="1365"/>
      <c r="O743" s="1360"/>
      <c r="P743" s="1361"/>
      <c r="Q743" s="1361"/>
      <c r="R743" s="1361"/>
      <c r="S743" s="1362"/>
      <c r="T743" s="1360"/>
      <c r="U743" s="1361"/>
      <c r="V743" s="1361"/>
      <c r="W743" s="1362"/>
      <c r="X743" s="1371">
        <f t="shared" si="61"/>
        <v>0</v>
      </c>
      <c r="Y743" s="1372"/>
      <c r="Z743" s="1372"/>
      <c r="AA743" s="1372"/>
      <c r="AB743" s="1373"/>
      <c r="AC743" s="1375"/>
      <c r="AD743" s="1376"/>
      <c r="AE743" s="1376"/>
      <c r="AF743" s="1376"/>
      <c r="AG743" s="1377"/>
      <c r="AH743" s="1399" t="str">
        <f t="shared" si="60"/>
        <v/>
      </c>
      <c r="AI743" s="1400"/>
      <c r="AJ743" s="1401"/>
      <c r="AK743" s="1366" t="s">
        <v>599</v>
      </c>
      <c r="AL743" s="1367"/>
      <c r="AM743" s="1367"/>
      <c r="AN743" s="1367"/>
      <c r="AO743" s="136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6"/>
      <c r="C744" s="1367"/>
      <c r="D744" s="1367"/>
      <c r="E744" s="1367"/>
      <c r="F744" s="1368"/>
      <c r="G744" s="1357"/>
      <c r="H744" s="1358"/>
      <c r="I744" s="1358"/>
      <c r="J744" s="1359"/>
      <c r="K744" s="1363"/>
      <c r="L744" s="1364"/>
      <c r="M744" s="1364"/>
      <c r="N744" s="1365"/>
      <c r="O744" s="1360"/>
      <c r="P744" s="1361"/>
      <c r="Q744" s="1361"/>
      <c r="R744" s="1361"/>
      <c r="S744" s="1362"/>
      <c r="T744" s="1360"/>
      <c r="U744" s="1361"/>
      <c r="V744" s="1361"/>
      <c r="W744" s="1362"/>
      <c r="X744" s="1371">
        <f t="shared" si="61"/>
        <v>0</v>
      </c>
      <c r="Y744" s="1372"/>
      <c r="Z744" s="1372"/>
      <c r="AA744" s="1372"/>
      <c r="AB744" s="1373"/>
      <c r="AC744" s="1375"/>
      <c r="AD744" s="1376"/>
      <c r="AE744" s="1376"/>
      <c r="AF744" s="1376"/>
      <c r="AG744" s="1377"/>
      <c r="AH744" s="1399" t="str">
        <f t="shared" si="60"/>
        <v/>
      </c>
      <c r="AI744" s="1400"/>
      <c r="AJ744" s="1401"/>
      <c r="AK744" s="1366" t="s">
        <v>599</v>
      </c>
      <c r="AL744" s="1367"/>
      <c r="AM744" s="1367"/>
      <c r="AN744" s="1367"/>
      <c r="AO744" s="136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6"/>
      <c r="C745" s="1367"/>
      <c r="D745" s="1367"/>
      <c r="E745" s="1367"/>
      <c r="F745" s="1368"/>
      <c r="G745" s="1357"/>
      <c r="H745" s="1358"/>
      <c r="I745" s="1358"/>
      <c r="J745" s="1359"/>
      <c r="K745" s="1363"/>
      <c r="L745" s="1364"/>
      <c r="M745" s="1364"/>
      <c r="N745" s="1365"/>
      <c r="O745" s="1360"/>
      <c r="P745" s="1361"/>
      <c r="Q745" s="1361"/>
      <c r="R745" s="1361"/>
      <c r="S745" s="1362"/>
      <c r="T745" s="1360"/>
      <c r="U745" s="1361"/>
      <c r="V745" s="1361"/>
      <c r="W745" s="1362"/>
      <c r="X745" s="1371">
        <f t="shared" si="61"/>
        <v>0</v>
      </c>
      <c r="Y745" s="1372"/>
      <c r="Z745" s="1372"/>
      <c r="AA745" s="1372"/>
      <c r="AB745" s="1373"/>
      <c r="AC745" s="1375"/>
      <c r="AD745" s="1376"/>
      <c r="AE745" s="1376"/>
      <c r="AF745" s="1376"/>
      <c r="AG745" s="1377"/>
      <c r="AH745" s="1399" t="str">
        <f t="shared" si="60"/>
        <v/>
      </c>
      <c r="AI745" s="1400"/>
      <c r="AJ745" s="1401"/>
      <c r="AK745" s="1366" t="s">
        <v>599</v>
      </c>
      <c r="AL745" s="1367"/>
      <c r="AM745" s="1367"/>
      <c r="AN745" s="1367"/>
      <c r="AO745" s="136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6"/>
      <c r="C746" s="1367"/>
      <c r="D746" s="1367"/>
      <c r="E746" s="1367"/>
      <c r="F746" s="1368"/>
      <c r="G746" s="1357"/>
      <c r="H746" s="1358"/>
      <c r="I746" s="1358"/>
      <c r="J746" s="1359"/>
      <c r="K746" s="1363"/>
      <c r="L746" s="1364"/>
      <c r="M746" s="1364"/>
      <c r="N746" s="1365"/>
      <c r="O746" s="1360"/>
      <c r="P746" s="1361"/>
      <c r="Q746" s="1361"/>
      <c r="R746" s="1361"/>
      <c r="S746" s="1362"/>
      <c r="T746" s="1360"/>
      <c r="U746" s="1361"/>
      <c r="V746" s="1361"/>
      <c r="W746" s="1362"/>
      <c r="X746" s="1371">
        <f t="shared" si="61"/>
        <v>0</v>
      </c>
      <c r="Y746" s="1372"/>
      <c r="Z746" s="1372"/>
      <c r="AA746" s="1372"/>
      <c r="AB746" s="1373"/>
      <c r="AC746" s="1375"/>
      <c r="AD746" s="1376"/>
      <c r="AE746" s="1376"/>
      <c r="AF746" s="1376"/>
      <c r="AG746" s="1377"/>
      <c r="AH746" s="1399" t="str">
        <f t="shared" si="60"/>
        <v/>
      </c>
      <c r="AI746" s="1400"/>
      <c r="AJ746" s="1401"/>
      <c r="AK746" s="1366" t="s">
        <v>599</v>
      </c>
      <c r="AL746" s="1367"/>
      <c r="AM746" s="1367"/>
      <c r="AN746" s="1367"/>
      <c r="AO746" s="136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6"/>
      <c r="C747" s="1367"/>
      <c r="D747" s="1367"/>
      <c r="E747" s="1367"/>
      <c r="F747" s="1368"/>
      <c r="G747" s="1357"/>
      <c r="H747" s="1358"/>
      <c r="I747" s="1358"/>
      <c r="J747" s="1359"/>
      <c r="K747" s="1363"/>
      <c r="L747" s="1364"/>
      <c r="M747" s="1364"/>
      <c r="N747" s="1365"/>
      <c r="O747" s="1360"/>
      <c r="P747" s="1361"/>
      <c r="Q747" s="1361"/>
      <c r="R747" s="1361"/>
      <c r="S747" s="1362"/>
      <c r="T747" s="1360"/>
      <c r="U747" s="1361"/>
      <c r="V747" s="1361"/>
      <c r="W747" s="1362"/>
      <c r="X747" s="1371">
        <f t="shared" si="61"/>
        <v>0</v>
      </c>
      <c r="Y747" s="1372"/>
      <c r="Z747" s="1372"/>
      <c r="AA747" s="1372"/>
      <c r="AB747" s="1373"/>
      <c r="AC747" s="1375"/>
      <c r="AD747" s="1376"/>
      <c r="AE747" s="1376"/>
      <c r="AF747" s="1376"/>
      <c r="AG747" s="1377"/>
      <c r="AH747" s="1399" t="str">
        <f t="shared" si="60"/>
        <v/>
      </c>
      <c r="AI747" s="1400"/>
      <c r="AJ747" s="1401"/>
      <c r="AK747" s="1366" t="s">
        <v>599</v>
      </c>
      <c r="AL747" s="1367"/>
      <c r="AM747" s="1367"/>
      <c r="AN747" s="1367"/>
      <c r="AO747" s="136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6"/>
      <c r="C748" s="1367"/>
      <c r="D748" s="1367"/>
      <c r="E748" s="1367"/>
      <c r="F748" s="1368"/>
      <c r="G748" s="1357"/>
      <c r="H748" s="1358"/>
      <c r="I748" s="1358"/>
      <c r="J748" s="1359"/>
      <c r="K748" s="1363"/>
      <c r="L748" s="1364"/>
      <c r="M748" s="1364"/>
      <c r="N748" s="1365"/>
      <c r="O748" s="1360"/>
      <c r="P748" s="1361"/>
      <c r="Q748" s="1361"/>
      <c r="R748" s="1361"/>
      <c r="S748" s="1362"/>
      <c r="T748" s="1360"/>
      <c r="U748" s="1361"/>
      <c r="V748" s="1361"/>
      <c r="W748" s="1362"/>
      <c r="X748" s="1371">
        <f t="shared" si="61"/>
        <v>0</v>
      </c>
      <c r="Y748" s="1372"/>
      <c r="Z748" s="1372"/>
      <c r="AA748" s="1372"/>
      <c r="AB748" s="1373"/>
      <c r="AC748" s="1375"/>
      <c r="AD748" s="1376"/>
      <c r="AE748" s="1376"/>
      <c r="AF748" s="1376"/>
      <c r="AG748" s="1377"/>
      <c r="AH748" s="1399" t="str">
        <f t="shared" si="60"/>
        <v/>
      </c>
      <c r="AI748" s="1400"/>
      <c r="AJ748" s="1401"/>
      <c r="AK748" s="1366" t="s">
        <v>599</v>
      </c>
      <c r="AL748" s="1367"/>
      <c r="AM748" s="1367"/>
      <c r="AN748" s="1367"/>
      <c r="AO748" s="136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6"/>
      <c r="C749" s="1367"/>
      <c r="D749" s="1367"/>
      <c r="E749" s="1367"/>
      <c r="F749" s="1368"/>
      <c r="G749" s="1357"/>
      <c r="H749" s="1358"/>
      <c r="I749" s="1358"/>
      <c r="J749" s="1359"/>
      <c r="K749" s="1363"/>
      <c r="L749" s="1364"/>
      <c r="M749" s="1364"/>
      <c r="N749" s="1365"/>
      <c r="O749" s="1360"/>
      <c r="P749" s="1361"/>
      <c r="Q749" s="1361"/>
      <c r="R749" s="1361"/>
      <c r="S749" s="1362"/>
      <c r="T749" s="1360"/>
      <c r="U749" s="1361"/>
      <c r="V749" s="1361"/>
      <c r="W749" s="1362"/>
      <c r="X749" s="1371">
        <f t="shared" si="61"/>
        <v>0</v>
      </c>
      <c r="Y749" s="1372"/>
      <c r="Z749" s="1372"/>
      <c r="AA749" s="1372"/>
      <c r="AB749" s="1373"/>
      <c r="AC749" s="1375"/>
      <c r="AD749" s="1376"/>
      <c r="AE749" s="1376"/>
      <c r="AF749" s="1376"/>
      <c r="AG749" s="1377"/>
      <c r="AH749" s="1399" t="str">
        <f t="shared" si="60"/>
        <v/>
      </c>
      <c r="AI749" s="1400"/>
      <c r="AJ749" s="1401"/>
      <c r="AK749" s="1366" t="s">
        <v>599</v>
      </c>
      <c r="AL749" s="1367"/>
      <c r="AM749" s="1367"/>
      <c r="AN749" s="1367"/>
      <c r="AO749" s="136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6"/>
      <c r="C750" s="1367"/>
      <c r="D750" s="1367"/>
      <c r="E750" s="1367"/>
      <c r="F750" s="1368"/>
      <c r="G750" s="1357"/>
      <c r="H750" s="1358"/>
      <c r="I750" s="1358"/>
      <c r="J750" s="1359"/>
      <c r="K750" s="1363"/>
      <c r="L750" s="1364"/>
      <c r="M750" s="1364"/>
      <c r="N750" s="1365"/>
      <c r="O750" s="1360"/>
      <c r="P750" s="1361"/>
      <c r="Q750" s="1361"/>
      <c r="R750" s="1361"/>
      <c r="S750" s="1362"/>
      <c r="T750" s="1360"/>
      <c r="U750" s="1361"/>
      <c r="V750" s="1361"/>
      <c r="W750" s="1362"/>
      <c r="X750" s="1371">
        <f t="shared" si="61"/>
        <v>0</v>
      </c>
      <c r="Y750" s="1372"/>
      <c r="Z750" s="1372"/>
      <c r="AA750" s="1372"/>
      <c r="AB750" s="1373"/>
      <c r="AC750" s="1375"/>
      <c r="AD750" s="1376"/>
      <c r="AE750" s="1376"/>
      <c r="AF750" s="1376"/>
      <c r="AG750" s="1377"/>
      <c r="AH750" s="1399" t="str">
        <f t="shared" si="60"/>
        <v/>
      </c>
      <c r="AI750" s="1400"/>
      <c r="AJ750" s="1401"/>
      <c r="AK750" s="1366" t="s">
        <v>599</v>
      </c>
      <c r="AL750" s="1367"/>
      <c r="AM750" s="1367"/>
      <c r="AN750" s="1367"/>
      <c r="AO750" s="136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6"/>
      <c r="C751" s="1367"/>
      <c r="D751" s="1367"/>
      <c r="E751" s="1367"/>
      <c r="F751" s="1368"/>
      <c r="G751" s="1357"/>
      <c r="H751" s="1358"/>
      <c r="I751" s="1358"/>
      <c r="J751" s="1359"/>
      <c r="K751" s="1363"/>
      <c r="L751" s="1364"/>
      <c r="M751" s="1364"/>
      <c r="N751" s="1365"/>
      <c r="O751" s="1360"/>
      <c r="P751" s="1361"/>
      <c r="Q751" s="1361"/>
      <c r="R751" s="1361"/>
      <c r="S751" s="1362"/>
      <c r="T751" s="1360"/>
      <c r="U751" s="1361"/>
      <c r="V751" s="1361"/>
      <c r="W751" s="1362"/>
      <c r="X751" s="1371">
        <f t="shared" si="61"/>
        <v>0</v>
      </c>
      <c r="Y751" s="1372"/>
      <c r="Z751" s="1372"/>
      <c r="AA751" s="1372"/>
      <c r="AB751" s="1373"/>
      <c r="AC751" s="1375"/>
      <c r="AD751" s="1376"/>
      <c r="AE751" s="1376"/>
      <c r="AF751" s="1376"/>
      <c r="AG751" s="1377"/>
      <c r="AH751" s="1399" t="str">
        <f t="shared" si="60"/>
        <v/>
      </c>
      <c r="AI751" s="1400"/>
      <c r="AJ751" s="1401"/>
      <c r="AK751" s="1366" t="s">
        <v>599</v>
      </c>
      <c r="AL751" s="1367"/>
      <c r="AM751" s="1367"/>
      <c r="AN751" s="1367"/>
      <c r="AO751" s="136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6"/>
      <c r="C752" s="1367"/>
      <c r="D752" s="1367"/>
      <c r="E752" s="1367"/>
      <c r="F752" s="1368"/>
      <c r="G752" s="1357"/>
      <c r="H752" s="1358"/>
      <c r="I752" s="1358"/>
      <c r="J752" s="1359"/>
      <c r="K752" s="1363"/>
      <c r="L752" s="1364"/>
      <c r="M752" s="1364"/>
      <c r="N752" s="1365"/>
      <c r="O752" s="1360"/>
      <c r="P752" s="1361"/>
      <c r="Q752" s="1361"/>
      <c r="R752" s="1361"/>
      <c r="S752" s="1362"/>
      <c r="T752" s="1360"/>
      <c r="U752" s="1361"/>
      <c r="V752" s="1361"/>
      <c r="W752" s="1362"/>
      <c r="X752" s="1371">
        <f>O752+T752</f>
        <v>0</v>
      </c>
      <c r="Y752" s="1372"/>
      <c r="Z752" s="1372"/>
      <c r="AA752" s="1372"/>
      <c r="AB752" s="1373"/>
      <c r="AC752" s="1375"/>
      <c r="AD752" s="1376"/>
      <c r="AE752" s="1376"/>
      <c r="AF752" s="1376"/>
      <c r="AG752" s="1377"/>
      <c r="AH752" s="1399" t="str">
        <f>IF($AC752&gt;0,($X752/$BA701), "")</f>
        <v/>
      </c>
      <c r="AI752" s="1400"/>
      <c r="AJ752" s="1401"/>
      <c r="AK752" s="1366" t="s">
        <v>599</v>
      </c>
      <c r="AL752" s="1367"/>
      <c r="AM752" s="1367"/>
      <c r="AN752" s="1367"/>
      <c r="AO752" s="136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65" t="s">
        <v>125</v>
      </c>
      <c r="C753" s="1466"/>
      <c r="D753" s="1466"/>
      <c r="E753" s="1466"/>
      <c r="F753" s="1467"/>
      <c r="G753" s="1646">
        <f>SUM(G718:G752)</f>
        <v>196</v>
      </c>
      <c r="H753" s="1647"/>
      <c r="I753" s="1647"/>
      <c r="J753" s="1648"/>
      <c r="K753" s="937" t="s">
        <v>124</v>
      </c>
      <c r="L753" s="5"/>
      <c r="M753" s="5"/>
      <c r="N753" s="46"/>
      <c r="O753" s="1371">
        <f>SUMPRODUCT(G718:G752,O718:O752)</f>
        <v>220863</v>
      </c>
      <c r="P753" s="1372"/>
      <c r="Q753" s="1372"/>
      <c r="R753" s="1372"/>
      <c r="S753" s="1373"/>
      <c r="T753"/>
      <c r="U753"/>
      <c r="V753"/>
      <c r="W753"/>
      <c r="X753" s="939" t="s">
        <v>915</v>
      </c>
      <c r="Y753" s="938"/>
      <c r="Z753" s="938"/>
      <c r="AA753" s="938"/>
      <c r="AB753" s="940"/>
      <c r="AC753" s="1651">
        <f>BI703</f>
        <v>0.55918367346938769</v>
      </c>
      <c r="AD753" s="1652"/>
      <c r="AE753" s="1652"/>
      <c r="AF753" s="1652"/>
      <c r="AG753" s="1653"/>
      <c r="AH753" s="1651">
        <f>IFERROR(BV703,"")</f>
        <v>0.55910559151361727</v>
      </c>
      <c r="AI753" s="1652"/>
      <c r="AJ753" s="165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4" t="s">
        <v>2181</v>
      </c>
      <c r="C754" s="1374"/>
      <c r="D754" s="1374"/>
      <c r="E754" s="1374"/>
      <c r="F754" s="1374"/>
      <c r="G754" s="1374"/>
      <c r="H754" s="1374"/>
      <c r="I754" s="1374"/>
      <c r="J754" s="1374"/>
      <c r="K754" s="1374"/>
      <c r="L754" s="1374"/>
      <c r="M754" s="1374"/>
      <c r="N754" s="1374"/>
      <c r="O754" s="1374"/>
      <c r="P754" s="1374"/>
      <c r="Q754" s="1374"/>
      <c r="R754" s="1374"/>
      <c r="S754" s="1374"/>
      <c r="T754" s="1374"/>
      <c r="U754" s="1374"/>
      <c r="V754" s="1374"/>
      <c r="W754" s="1374"/>
      <c r="X754" s="1374"/>
      <c r="Y754" s="1374"/>
      <c r="Z754" s="1374"/>
      <c r="AA754" s="1374"/>
      <c r="AB754" s="1374"/>
      <c r="AC754" s="1374"/>
      <c r="AD754" s="1374"/>
      <c r="AE754" s="1374"/>
      <c r="AF754" s="1374"/>
      <c r="AG754" s="1374"/>
      <c r="AH754" s="137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4"/>
      <c r="C755" s="1374"/>
      <c r="D755" s="1374"/>
      <c r="E755" s="1374"/>
      <c r="F755" s="1374"/>
      <c r="G755" s="1374"/>
      <c r="H755" s="1374"/>
      <c r="I755" s="1374"/>
      <c r="J755" s="1374"/>
      <c r="K755" s="1374"/>
      <c r="L755" s="1374"/>
      <c r="M755" s="1374"/>
      <c r="N755" s="1374"/>
      <c r="O755" s="1374"/>
      <c r="P755" s="1374"/>
      <c r="Q755" s="1374"/>
      <c r="R755" s="1374"/>
      <c r="S755" s="1374"/>
      <c r="T755" s="1374"/>
      <c r="U755" s="1374"/>
      <c r="V755" s="1374"/>
      <c r="W755" s="1374"/>
      <c r="X755" s="1374"/>
      <c r="Y755" s="1374"/>
      <c r="Z755" s="1374"/>
      <c r="AA755" s="1374"/>
      <c r="AB755" s="1374"/>
      <c r="AC755" s="1374"/>
      <c r="AD755" s="1374"/>
      <c r="AE755" s="1374"/>
      <c r="AF755" s="1374"/>
      <c r="AG755" s="1374"/>
      <c r="AH755" s="137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506">
        <f>CS634</f>
        <v>244</v>
      </c>
      <c r="P756" s="1506"/>
      <c r="Q756" s="1506"/>
      <c r="R756" s="1506"/>
      <c r="S756" s="1004"/>
      <c r="T756" s="1004"/>
      <c r="U756" s="118" t="s">
        <v>2180</v>
      </c>
      <c r="V756" s="1067"/>
      <c r="W756" s="1067"/>
      <c r="X756" s="1067"/>
      <c r="Y756" s="1068"/>
      <c r="Z756" s="1068"/>
      <c r="AA756" s="1068"/>
      <c r="AB756" s="1068"/>
      <c r="AC756" s="1067"/>
      <c r="AD756" s="1067"/>
      <c r="AE756" s="1067"/>
      <c r="AF756" s="1067"/>
      <c r="AG756" s="1657"/>
      <c r="AH756" s="1657"/>
      <c r="AI756" s="1657"/>
      <c r="AJ756" s="165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4" t="str">
        <f>IF(G753&lt;&gt;AG440,"! Total Low-Income Units in the Unit Mix Table above does not match the number of Total Low-Income Units on row #"&amp;TEXT(ROW(D440),"#"),"")</f>
        <v/>
      </c>
      <c r="D757" s="1414"/>
      <c r="E757" s="1414"/>
      <c r="F757" s="1414"/>
      <c r="G757" s="1414"/>
      <c r="H757" s="1414"/>
      <c r="I757" s="1414"/>
      <c r="J757" s="1414"/>
      <c r="K757" s="1414"/>
      <c r="L757" s="1414"/>
      <c r="M757" s="1414"/>
      <c r="N757" s="1414"/>
      <c r="O757" s="1414"/>
      <c r="P757" s="1414"/>
      <c r="Q757" s="1414"/>
      <c r="R757" s="1414"/>
      <c r="S757" s="1414"/>
      <c r="T757" s="1414"/>
      <c r="U757" s="1414"/>
      <c r="V757" s="1414"/>
      <c r="W757" s="1414"/>
      <c r="X757" s="1414"/>
      <c r="Y757" s="1414"/>
      <c r="Z757" s="1414"/>
      <c r="AA757" s="1414"/>
      <c r="AB757" s="1414"/>
      <c r="AC757" s="1414"/>
      <c r="AD757" s="1414"/>
      <c r="AE757" s="1414"/>
      <c r="AF757" s="1414"/>
      <c r="AG757" s="1414"/>
      <c r="AH757" s="1414"/>
      <c r="AI757" s="1414"/>
      <c r="AJ757" s="1414"/>
      <c r="AK757" s="1414"/>
      <c r="AL757" s="1414"/>
      <c r="AM757" s="141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4"/>
      <c r="D758" s="1414"/>
      <c r="E758" s="1414"/>
      <c r="F758" s="1414"/>
      <c r="G758" s="1414"/>
      <c r="H758" s="1414"/>
      <c r="I758" s="1414"/>
      <c r="J758" s="1414"/>
      <c r="K758" s="1414"/>
      <c r="L758" s="1414"/>
      <c r="M758" s="1414"/>
      <c r="N758" s="1414"/>
      <c r="O758" s="1414"/>
      <c r="P758" s="1414"/>
      <c r="Q758" s="1414"/>
      <c r="R758" s="1414"/>
      <c r="S758" s="1414"/>
      <c r="T758" s="1414"/>
      <c r="U758" s="1414"/>
      <c r="V758" s="1414"/>
      <c r="W758" s="1414"/>
      <c r="X758" s="1414"/>
      <c r="Y758" s="1414"/>
      <c r="Z758" s="1414"/>
      <c r="AA758" s="1414"/>
      <c r="AB758" s="1414"/>
      <c r="AC758" s="1414"/>
      <c r="AD758" s="1414"/>
      <c r="AE758" s="1414"/>
      <c r="AF758" s="1414"/>
      <c r="AG758" s="1414"/>
      <c r="AH758" s="1414"/>
      <c r="AI758" s="1414"/>
      <c r="AJ758" s="1414"/>
      <c r="AK758" s="1414"/>
      <c r="AL758" s="1414"/>
      <c r="AM758" s="141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9" t="s">
        <v>599</v>
      </c>
      <c r="AE759" s="1649"/>
      <c r="AF759" s="164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4" t="s">
        <v>2404</v>
      </c>
      <c r="D763" s="1274"/>
      <c r="E763" s="1274"/>
      <c r="F763" s="1274"/>
      <c r="G763" s="1274"/>
      <c r="H763" s="1274"/>
      <c r="I763" s="1274"/>
      <c r="J763" s="1274"/>
      <c r="K763" s="1274"/>
      <c r="L763" s="1274"/>
      <c r="M763" s="1274"/>
      <c r="N763" s="1274"/>
      <c r="O763" s="1274"/>
      <c r="P763" s="1274"/>
      <c r="Q763" s="1274"/>
      <c r="R763" s="1274"/>
      <c r="S763" s="1274"/>
      <c r="T763" s="1274"/>
      <c r="U763" s="1274"/>
      <c r="V763" s="1274"/>
      <c r="W763" s="1274"/>
      <c r="X763" s="1274"/>
      <c r="Y763" s="1274"/>
      <c r="Z763" s="1274"/>
      <c r="AA763" s="1274"/>
      <c r="AB763" s="1274"/>
      <c r="AC763" s="1274"/>
      <c r="AD763" s="1274"/>
      <c r="AE763" s="1274"/>
      <c r="AF763" s="1274"/>
      <c r="AG763" s="1274"/>
      <c r="AH763" s="1274"/>
      <c r="AI763" s="1274"/>
      <c r="AJ763" s="1274"/>
      <c r="AK763" s="1274"/>
      <c r="AL763" s="1274"/>
      <c r="AM763" s="1274"/>
      <c r="AN763" s="1274"/>
      <c r="AO763" s="1274"/>
      <c r="AP763" s="1274"/>
      <c r="AQ763" s="1274"/>
      <c r="AR763" s="1274"/>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4"/>
      <c r="D764" s="1274"/>
      <c r="E764" s="1274"/>
      <c r="F764" s="1274"/>
      <c r="G764" s="1274"/>
      <c r="H764" s="1274"/>
      <c r="I764" s="1274"/>
      <c r="J764" s="1274"/>
      <c r="K764" s="1274"/>
      <c r="L764" s="1274"/>
      <c r="M764" s="1274"/>
      <c r="N764" s="1274"/>
      <c r="O764" s="1274"/>
      <c r="P764" s="1274"/>
      <c r="Q764" s="1274"/>
      <c r="R764" s="1274"/>
      <c r="S764" s="1274"/>
      <c r="T764" s="1274"/>
      <c r="U764" s="1274"/>
      <c r="V764" s="1274"/>
      <c r="W764" s="1274"/>
      <c r="X764" s="1274"/>
      <c r="Y764" s="1274"/>
      <c r="Z764" s="1274"/>
      <c r="AA764" s="1274"/>
      <c r="AB764" s="1274"/>
      <c r="AC764" s="1274"/>
      <c r="AD764" s="1274"/>
      <c r="AE764" s="1274"/>
      <c r="AF764" s="1274"/>
      <c r="AG764" s="1274"/>
      <c r="AH764" s="1274"/>
      <c r="AI764" s="1274"/>
      <c r="AJ764" s="1274"/>
      <c r="AK764" s="1274"/>
      <c r="AL764" s="1274"/>
      <c r="AM764" s="1274"/>
      <c r="AN764" s="1274"/>
      <c r="AO764" s="1274"/>
      <c r="AP764" s="1274"/>
      <c r="AQ764" s="1274"/>
      <c r="AR764" s="1274"/>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4"/>
      <c r="D765" s="1274"/>
      <c r="E765" s="1274"/>
      <c r="F765" s="1274"/>
      <c r="G765" s="1274"/>
      <c r="H765" s="1274"/>
      <c r="I765" s="1274"/>
      <c r="J765" s="1274"/>
      <c r="K765" s="1274"/>
      <c r="L765" s="1274"/>
      <c r="M765" s="1274"/>
      <c r="N765" s="1274"/>
      <c r="O765" s="1274"/>
      <c r="P765" s="1274"/>
      <c r="Q765" s="1274"/>
      <c r="R765" s="1274"/>
      <c r="S765" s="1274"/>
      <c r="T765" s="1274"/>
      <c r="U765" s="1274"/>
      <c r="V765" s="1274"/>
      <c r="W765" s="1274"/>
      <c r="X765" s="1274"/>
      <c r="Y765" s="1274"/>
      <c r="Z765" s="1274"/>
      <c r="AA765" s="1274"/>
      <c r="AB765" s="1274"/>
      <c r="AC765" s="1274"/>
      <c r="AD765" s="1274"/>
      <c r="AE765" s="1274"/>
      <c r="AF765" s="1274"/>
      <c r="AG765" s="1274"/>
      <c r="AH765" s="1274"/>
      <c r="AI765" s="1274"/>
      <c r="AJ765" s="1274"/>
      <c r="AK765" s="1274"/>
      <c r="AL765" s="1274"/>
      <c r="AM765" s="1274"/>
      <c r="AN765" s="1274"/>
      <c r="AO765" s="1274"/>
      <c r="AP765" s="1274"/>
      <c r="AQ765" s="1274"/>
      <c r="AR765" s="1274"/>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4" t="s">
        <v>2405</v>
      </c>
      <c r="D766" s="1274"/>
      <c r="E766" s="1274"/>
      <c r="F766" s="1274"/>
      <c r="G766" s="1274"/>
      <c r="H766" s="1274"/>
      <c r="I766" s="1274"/>
      <c r="J766" s="1274"/>
      <c r="K766" s="1274"/>
      <c r="L766" s="1274"/>
      <c r="M766" s="1274"/>
      <c r="N766" s="1274"/>
      <c r="O766" s="1274"/>
      <c r="P766" s="1274"/>
      <c r="Q766" s="1274"/>
      <c r="R766" s="1274"/>
      <c r="S766" s="1274"/>
      <c r="T766" s="1274"/>
      <c r="U766" s="1274"/>
      <c r="V766" s="1274"/>
      <c r="W766" s="1274"/>
      <c r="X766" s="1274"/>
      <c r="Y766" s="1274"/>
      <c r="Z766" s="1274"/>
      <c r="AA766" s="1274"/>
      <c r="AB766" s="1274"/>
      <c r="AC766" s="1274"/>
      <c r="AD766" s="1274"/>
      <c r="AE766" s="1274"/>
      <c r="AF766" s="1274"/>
      <c r="AG766" s="1274"/>
      <c r="AH766" s="1274"/>
      <c r="AI766" s="1274"/>
      <c r="AJ766" s="1274"/>
      <c r="AK766" s="1274"/>
      <c r="AL766" s="1274"/>
      <c r="AM766" s="1274"/>
      <c r="AN766" s="1274"/>
      <c r="AO766" s="1274"/>
      <c r="AP766" s="1274"/>
      <c r="AQ766" s="1274"/>
      <c r="AR766" s="1274"/>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4"/>
      <c r="D767" s="1274"/>
      <c r="E767" s="1274"/>
      <c r="F767" s="1274"/>
      <c r="G767" s="1274"/>
      <c r="H767" s="1274"/>
      <c r="I767" s="1274"/>
      <c r="J767" s="1274"/>
      <c r="K767" s="1274"/>
      <c r="L767" s="1274"/>
      <c r="M767" s="1274"/>
      <c r="N767" s="1274"/>
      <c r="O767" s="1274"/>
      <c r="P767" s="1274"/>
      <c r="Q767" s="1274"/>
      <c r="R767" s="1274"/>
      <c r="S767" s="1274"/>
      <c r="T767" s="1274"/>
      <c r="U767" s="1274"/>
      <c r="V767" s="1274"/>
      <c r="W767" s="1274"/>
      <c r="X767" s="1274"/>
      <c r="Y767" s="1274"/>
      <c r="Z767" s="1274"/>
      <c r="AA767" s="1274"/>
      <c r="AB767" s="1274"/>
      <c r="AC767" s="1274"/>
      <c r="AD767" s="1274"/>
      <c r="AE767" s="1274"/>
      <c r="AF767" s="1274"/>
      <c r="AG767" s="1274"/>
      <c r="AH767" s="1274"/>
      <c r="AI767" s="1274"/>
      <c r="AJ767" s="1274"/>
      <c r="AK767" s="1274"/>
      <c r="AL767" s="1274"/>
      <c r="AM767" s="1274"/>
      <c r="AN767" s="1274"/>
      <c r="AO767" s="1274"/>
      <c r="AP767" s="1274"/>
      <c r="AQ767" s="1274"/>
      <c r="AR767" s="1274"/>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4"/>
      <c r="D768" s="1274"/>
      <c r="E768" s="1274"/>
      <c r="F768" s="1274"/>
      <c r="G768" s="1274"/>
      <c r="H768" s="1274"/>
      <c r="I768" s="1274"/>
      <c r="J768" s="1274"/>
      <c r="K768" s="1274"/>
      <c r="L768" s="1274"/>
      <c r="M768" s="1274"/>
      <c r="N768" s="1274"/>
      <c r="O768" s="1274"/>
      <c r="P768" s="1274"/>
      <c r="Q768" s="1274"/>
      <c r="R768" s="1274"/>
      <c r="S768" s="1274"/>
      <c r="T768" s="1274"/>
      <c r="U768" s="1274"/>
      <c r="V768" s="1274"/>
      <c r="W768" s="1274"/>
      <c r="X768" s="1274"/>
      <c r="Y768" s="1274"/>
      <c r="Z768" s="1274"/>
      <c r="AA768" s="1274"/>
      <c r="AB768" s="1274"/>
      <c r="AC768" s="1274"/>
      <c r="AD768" s="1274"/>
      <c r="AE768" s="1274"/>
      <c r="AF768" s="1274"/>
      <c r="AG768" s="1274"/>
      <c r="AH768" s="1274"/>
      <c r="AI768" s="1274"/>
      <c r="AJ768" s="1274"/>
      <c r="AK768" s="1274"/>
      <c r="AL768" s="1274"/>
      <c r="AM768" s="1274"/>
      <c r="AN768" s="1274"/>
      <c r="AO768" s="1274"/>
      <c r="AP768" s="1274"/>
      <c r="AQ768" s="1274"/>
      <c r="AR768" s="1274"/>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5" t="s">
        <v>390</v>
      </c>
      <c r="K769" s="1386"/>
      <c r="L769" s="1386"/>
      <c r="M769" s="1386"/>
      <c r="N769" s="1387"/>
      <c r="O769" s="1370" t="s">
        <v>286</v>
      </c>
      <c r="P769" s="1370"/>
      <c r="Q769" s="1370"/>
      <c r="R769" s="1370"/>
      <c r="S769" s="1370"/>
      <c r="T769" s="1758" t="s">
        <v>1866</v>
      </c>
      <c r="U769" s="1759"/>
      <c r="V769" s="1759"/>
      <c r="W769" s="1760"/>
      <c r="X769" s="1385" t="s">
        <v>455</v>
      </c>
      <c r="Y769" s="1386"/>
      <c r="Z769" s="1386"/>
      <c r="AA769" s="1386"/>
      <c r="AB769" s="1387"/>
      <c r="AC769" s="1385" t="s">
        <v>287</v>
      </c>
      <c r="AD769" s="1386"/>
      <c r="AE769" s="1386"/>
      <c r="AF769" s="1386"/>
      <c r="AG769" s="138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8"/>
      <c r="K770" s="1389"/>
      <c r="L770" s="1389"/>
      <c r="M770" s="1389"/>
      <c r="N770" s="1390"/>
      <c r="O770" s="1370"/>
      <c r="P770" s="1370"/>
      <c r="Q770" s="1370"/>
      <c r="R770" s="1370"/>
      <c r="S770" s="1370"/>
      <c r="T770" s="1761"/>
      <c r="U770" s="1762"/>
      <c r="V770" s="1762"/>
      <c r="W770" s="1763"/>
      <c r="X770" s="1388"/>
      <c r="Y770" s="1389"/>
      <c r="Z770" s="1389"/>
      <c r="AA770" s="1389"/>
      <c r="AB770" s="1390"/>
      <c r="AC770" s="1388"/>
      <c r="AD770" s="1389"/>
      <c r="AE770" s="1389"/>
      <c r="AF770" s="1389"/>
      <c r="AG770" s="139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8"/>
      <c r="K771" s="1389"/>
      <c r="L771" s="1389"/>
      <c r="M771" s="1389"/>
      <c r="N771" s="1390"/>
      <c r="O771" s="1370"/>
      <c r="P771" s="1370"/>
      <c r="Q771" s="1370"/>
      <c r="R771" s="1370"/>
      <c r="S771" s="1370"/>
      <c r="T771" s="1761"/>
      <c r="U771" s="1762"/>
      <c r="V771" s="1762"/>
      <c r="W771" s="1763"/>
      <c r="X771" s="1388"/>
      <c r="Y771" s="1389"/>
      <c r="Z771" s="1389"/>
      <c r="AA771" s="1389"/>
      <c r="AB771" s="1390"/>
      <c r="AC771" s="1388"/>
      <c r="AD771" s="1389"/>
      <c r="AE771" s="1389"/>
      <c r="AF771" s="1389"/>
      <c r="AG771" s="139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1"/>
      <c r="K772" s="1392"/>
      <c r="L772" s="1392"/>
      <c r="M772" s="1392"/>
      <c r="N772" s="1393"/>
      <c r="O772" s="1370"/>
      <c r="P772" s="1370"/>
      <c r="Q772" s="1370"/>
      <c r="R772" s="1370"/>
      <c r="S772" s="1370"/>
      <c r="T772" s="1764"/>
      <c r="U772" s="1765"/>
      <c r="V772" s="1765"/>
      <c r="W772" s="1766"/>
      <c r="X772" s="1391"/>
      <c r="Y772" s="1392"/>
      <c r="Z772" s="1392"/>
      <c r="AA772" s="1392"/>
      <c r="AB772" s="1393"/>
      <c r="AC772" s="1391"/>
      <c r="AD772" s="1392"/>
      <c r="AE772" s="1392"/>
      <c r="AF772" s="1392"/>
      <c r="AG772" s="139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6" t="s">
        <v>163</v>
      </c>
      <c r="K773" s="1367"/>
      <c r="L773" s="1367"/>
      <c r="M773" s="1367"/>
      <c r="N773" s="1368"/>
      <c r="O773" s="1369">
        <v>1</v>
      </c>
      <c r="P773" s="1369"/>
      <c r="Q773" s="1369"/>
      <c r="R773" s="1369"/>
      <c r="S773" s="1369"/>
      <c r="T773" s="1363">
        <v>917</v>
      </c>
      <c r="U773" s="1364"/>
      <c r="V773" s="1364"/>
      <c r="W773" s="1365"/>
      <c r="X773" s="1360">
        <v>0</v>
      </c>
      <c r="Y773" s="1361"/>
      <c r="Z773" s="1361"/>
      <c r="AA773" s="1361"/>
      <c r="AB773" s="1362"/>
      <c r="AC773" s="1371">
        <f>X773*O773</f>
        <v>0</v>
      </c>
      <c r="AD773" s="1372"/>
      <c r="AE773" s="1372"/>
      <c r="AF773" s="1372"/>
      <c r="AG773" s="137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6"/>
      <c r="K774" s="1367"/>
      <c r="L774" s="1367"/>
      <c r="M774" s="1367"/>
      <c r="N774" s="1368"/>
      <c r="O774" s="1369"/>
      <c r="P774" s="1369"/>
      <c r="Q774" s="1369"/>
      <c r="R774" s="1369"/>
      <c r="S774" s="1369"/>
      <c r="T774" s="1363"/>
      <c r="U774" s="1364"/>
      <c r="V774" s="1364"/>
      <c r="W774" s="1365"/>
      <c r="X774" s="1360"/>
      <c r="Y774" s="1361"/>
      <c r="Z774" s="1361"/>
      <c r="AA774" s="1361"/>
      <c r="AB774" s="1362"/>
      <c r="AC774" s="1371">
        <f>X774*O774</f>
        <v>0</v>
      </c>
      <c r="AD774" s="1372"/>
      <c r="AE774" s="1372"/>
      <c r="AF774" s="1372"/>
      <c r="AG774" s="137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6"/>
      <c r="K775" s="1367"/>
      <c r="L775" s="1367"/>
      <c r="M775" s="1367"/>
      <c r="N775" s="1368"/>
      <c r="O775" s="1369"/>
      <c r="P775" s="1369"/>
      <c r="Q775" s="1369"/>
      <c r="R775" s="1369"/>
      <c r="S775" s="1369"/>
      <c r="T775" s="1363"/>
      <c r="U775" s="1364"/>
      <c r="V775" s="1364"/>
      <c r="W775" s="1365"/>
      <c r="X775" s="1360"/>
      <c r="Y775" s="1361"/>
      <c r="Z775" s="1361"/>
      <c r="AA775" s="1361"/>
      <c r="AB775" s="1362"/>
      <c r="AC775" s="1371">
        <f>X775*O775</f>
        <v>0</v>
      </c>
      <c r="AD775" s="1372"/>
      <c r="AE775" s="1372"/>
      <c r="AF775" s="1372"/>
      <c r="AG775" s="137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6"/>
      <c r="K776" s="1367"/>
      <c r="L776" s="1367"/>
      <c r="M776" s="1367"/>
      <c r="N776" s="1368"/>
      <c r="O776" s="1369"/>
      <c r="P776" s="1369"/>
      <c r="Q776" s="1369"/>
      <c r="R776" s="1369"/>
      <c r="S776" s="1369"/>
      <c r="T776" s="1363"/>
      <c r="U776" s="1364"/>
      <c r="V776" s="1364"/>
      <c r="W776" s="1365"/>
      <c r="X776" s="1360"/>
      <c r="Y776" s="1361"/>
      <c r="Z776" s="1361"/>
      <c r="AA776" s="1361"/>
      <c r="AB776" s="1362"/>
      <c r="AC776" s="1371">
        <f>X776*O776</f>
        <v>0</v>
      </c>
      <c r="AD776" s="1372"/>
      <c r="AE776" s="1372"/>
      <c r="AF776" s="1372"/>
      <c r="AG776" s="137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65" t="s">
        <v>125</v>
      </c>
      <c r="K777" s="1466"/>
      <c r="L777" s="1466"/>
      <c r="M777" s="1466"/>
      <c r="N777" s="1467"/>
      <c r="O777" s="1508">
        <f>SUM(O773:S776)</f>
        <v>1</v>
      </c>
      <c r="P777" s="1509"/>
      <c r="Q777" s="1509"/>
      <c r="R777" s="1509"/>
      <c r="S777" s="1510"/>
      <c r="X777" s="1465" t="s">
        <v>124</v>
      </c>
      <c r="Y777" s="1466"/>
      <c r="Z777" s="1466"/>
      <c r="AA777" s="1466"/>
      <c r="AB777" s="1467"/>
      <c r="AC777" s="1371">
        <f>SUM(AC773:AG776)</f>
        <v>0</v>
      </c>
      <c r="AD777" s="1372"/>
      <c r="AE777" s="1372"/>
      <c r="AF777" s="1372"/>
      <c r="AG777" s="137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50" t="s">
        <v>677</v>
      </c>
      <c r="K779" s="1650"/>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5" t="s">
        <v>390</v>
      </c>
      <c r="K783" s="1386"/>
      <c r="L783" s="1386"/>
      <c r="M783" s="1386"/>
      <c r="N783" s="1387"/>
      <c r="O783" s="1370" t="s">
        <v>286</v>
      </c>
      <c r="P783" s="1370"/>
      <c r="Q783" s="1370"/>
      <c r="R783" s="1370"/>
      <c r="S783" s="1370"/>
      <c r="T783" s="1758" t="s">
        <v>1866</v>
      </c>
      <c r="U783" s="1759"/>
      <c r="V783" s="1759"/>
      <c r="W783" s="1760"/>
      <c r="X783" s="1385" t="s">
        <v>455</v>
      </c>
      <c r="Y783" s="1386"/>
      <c r="Z783" s="1386"/>
      <c r="AA783" s="1386"/>
      <c r="AB783" s="1387"/>
      <c r="AC783" s="1385" t="s">
        <v>287</v>
      </c>
      <c r="AD783" s="1386"/>
      <c r="AE783" s="1386"/>
      <c r="AF783" s="1386"/>
      <c r="AG783" s="138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8"/>
      <c r="K784" s="1389"/>
      <c r="L784" s="1389"/>
      <c r="M784" s="1389"/>
      <c r="N784" s="1390"/>
      <c r="O784" s="1370"/>
      <c r="P784" s="1370"/>
      <c r="Q784" s="1370"/>
      <c r="R784" s="1370"/>
      <c r="S784" s="1370"/>
      <c r="T784" s="1761"/>
      <c r="U784" s="1762"/>
      <c r="V784" s="1762"/>
      <c r="W784" s="1763"/>
      <c r="X784" s="1388"/>
      <c r="Y784" s="1389"/>
      <c r="Z784" s="1389"/>
      <c r="AA784" s="1389"/>
      <c r="AB784" s="1390"/>
      <c r="AC784" s="1388"/>
      <c r="AD784" s="1389"/>
      <c r="AE784" s="1389"/>
      <c r="AF784" s="1389"/>
      <c r="AG784" s="139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8"/>
      <c r="K785" s="1389"/>
      <c r="L785" s="1389"/>
      <c r="M785" s="1389"/>
      <c r="N785" s="1390"/>
      <c r="O785" s="1370"/>
      <c r="P785" s="1370"/>
      <c r="Q785" s="1370"/>
      <c r="R785" s="1370"/>
      <c r="S785" s="1370"/>
      <c r="T785" s="1761"/>
      <c r="U785" s="1762"/>
      <c r="V785" s="1762"/>
      <c r="W785" s="1763"/>
      <c r="X785" s="1388"/>
      <c r="Y785" s="1389"/>
      <c r="Z785" s="1389"/>
      <c r="AA785" s="1389"/>
      <c r="AB785" s="1390"/>
      <c r="AC785" s="1388"/>
      <c r="AD785" s="1389"/>
      <c r="AE785" s="1389"/>
      <c r="AF785" s="1389"/>
      <c r="AG785" s="139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1"/>
      <c r="K786" s="1392"/>
      <c r="L786" s="1392"/>
      <c r="M786" s="1392"/>
      <c r="N786" s="1393"/>
      <c r="O786" s="1370"/>
      <c r="P786" s="1370"/>
      <c r="Q786" s="1370"/>
      <c r="R786" s="1370"/>
      <c r="S786" s="1370"/>
      <c r="T786" s="1764"/>
      <c r="U786" s="1765"/>
      <c r="V786" s="1765"/>
      <c r="W786" s="1766"/>
      <c r="X786" s="1391"/>
      <c r="Y786" s="1392"/>
      <c r="Z786" s="1392"/>
      <c r="AA786" s="1392"/>
      <c r="AB786" s="1393"/>
      <c r="AC786" s="1391"/>
      <c r="AD786" s="1392"/>
      <c r="AE786" s="1392"/>
      <c r="AF786" s="1392"/>
      <c r="AG786" s="139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6"/>
      <c r="K787" s="1367"/>
      <c r="L787" s="1367"/>
      <c r="M787" s="1367"/>
      <c r="N787" s="1368"/>
      <c r="O787" s="1369"/>
      <c r="P787" s="1369"/>
      <c r="Q787" s="1369"/>
      <c r="R787" s="1369"/>
      <c r="S787" s="1369"/>
      <c r="T787" s="1363"/>
      <c r="U787" s="1364"/>
      <c r="V787" s="1364"/>
      <c r="W787" s="1365"/>
      <c r="X787" s="1360"/>
      <c r="Y787" s="1361"/>
      <c r="Z787" s="1361"/>
      <c r="AA787" s="1361"/>
      <c r="AB787" s="1362"/>
      <c r="AC787" s="1371">
        <f t="shared" ref="AC787:AC796" si="62">X787*O787</f>
        <v>0</v>
      </c>
      <c r="AD787" s="1372"/>
      <c r="AE787" s="1372"/>
      <c r="AF787" s="1372"/>
      <c r="AG787" s="137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6"/>
      <c r="K788" s="1367"/>
      <c r="L788" s="1367"/>
      <c r="M788" s="1367"/>
      <c r="N788" s="1368"/>
      <c r="O788" s="1369"/>
      <c r="P788" s="1369"/>
      <c r="Q788" s="1369"/>
      <c r="R788" s="1369"/>
      <c r="S788" s="1369"/>
      <c r="T788" s="1363"/>
      <c r="U788" s="1364"/>
      <c r="V788" s="1364"/>
      <c r="W788" s="1365"/>
      <c r="X788" s="1360"/>
      <c r="Y788" s="1361"/>
      <c r="Z788" s="1361"/>
      <c r="AA788" s="1361"/>
      <c r="AB788" s="1362"/>
      <c r="AC788" s="1371">
        <f t="shared" si="62"/>
        <v>0</v>
      </c>
      <c r="AD788" s="1372"/>
      <c r="AE788" s="1372"/>
      <c r="AF788" s="1372"/>
      <c r="AG788" s="137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6"/>
      <c r="K789" s="1367"/>
      <c r="L789" s="1367"/>
      <c r="M789" s="1367"/>
      <c r="N789" s="1368"/>
      <c r="O789" s="1369"/>
      <c r="P789" s="1369"/>
      <c r="Q789" s="1369"/>
      <c r="R789" s="1369"/>
      <c r="S789" s="1369"/>
      <c r="T789" s="1363"/>
      <c r="U789" s="1364"/>
      <c r="V789" s="1364"/>
      <c r="W789" s="1365"/>
      <c r="X789" s="1360"/>
      <c r="Y789" s="1361"/>
      <c r="Z789" s="1361"/>
      <c r="AA789" s="1361"/>
      <c r="AB789" s="1362"/>
      <c r="AC789" s="1371">
        <f t="shared" si="62"/>
        <v>0</v>
      </c>
      <c r="AD789" s="1372"/>
      <c r="AE789" s="1372"/>
      <c r="AF789" s="1372"/>
      <c r="AG789" s="137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6"/>
      <c r="K790" s="1367"/>
      <c r="L790" s="1367"/>
      <c r="M790" s="1367"/>
      <c r="N790" s="1368"/>
      <c r="O790" s="1369"/>
      <c r="P790" s="1369"/>
      <c r="Q790" s="1369"/>
      <c r="R790" s="1369"/>
      <c r="S790" s="1369"/>
      <c r="T790" s="1363"/>
      <c r="U790" s="1364"/>
      <c r="V790" s="1364"/>
      <c r="W790" s="1365"/>
      <c r="X790" s="1360"/>
      <c r="Y790" s="1361"/>
      <c r="Z790" s="1361"/>
      <c r="AA790" s="1361"/>
      <c r="AB790" s="1362"/>
      <c r="AC790" s="1371">
        <f t="shared" si="62"/>
        <v>0</v>
      </c>
      <c r="AD790" s="1372"/>
      <c r="AE790" s="1372"/>
      <c r="AF790" s="1372"/>
      <c r="AG790" s="137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6"/>
      <c r="K791" s="1367"/>
      <c r="L791" s="1367"/>
      <c r="M791" s="1367"/>
      <c r="N791" s="1368"/>
      <c r="O791" s="1369"/>
      <c r="P791" s="1369"/>
      <c r="Q791" s="1369"/>
      <c r="R791" s="1369"/>
      <c r="S791" s="1369"/>
      <c r="T791" s="1363"/>
      <c r="U791" s="1364"/>
      <c r="V791" s="1364"/>
      <c r="W791" s="1365"/>
      <c r="X791" s="1360"/>
      <c r="Y791" s="1361"/>
      <c r="Z791" s="1361"/>
      <c r="AA791" s="1361"/>
      <c r="AB791" s="1362"/>
      <c r="AC791" s="1371">
        <f t="shared" si="62"/>
        <v>0</v>
      </c>
      <c r="AD791" s="1372"/>
      <c r="AE791" s="1372"/>
      <c r="AF791" s="1372"/>
      <c r="AG791" s="137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6"/>
      <c r="K792" s="1367"/>
      <c r="L792" s="1367"/>
      <c r="M792" s="1367"/>
      <c r="N792" s="1368"/>
      <c r="O792" s="1369"/>
      <c r="P792" s="1369"/>
      <c r="Q792" s="1369"/>
      <c r="R792" s="1369"/>
      <c r="S792" s="1369"/>
      <c r="T792" s="1363"/>
      <c r="U792" s="1364"/>
      <c r="V792" s="1364"/>
      <c r="W792" s="1365"/>
      <c r="X792" s="1360"/>
      <c r="Y792" s="1361"/>
      <c r="Z792" s="1361"/>
      <c r="AA792" s="1361"/>
      <c r="AB792" s="1362"/>
      <c r="AC792" s="1371">
        <f t="shared" si="62"/>
        <v>0</v>
      </c>
      <c r="AD792" s="1372"/>
      <c r="AE792" s="1372"/>
      <c r="AF792" s="1372"/>
      <c r="AG792" s="137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6"/>
      <c r="K793" s="1367"/>
      <c r="L793" s="1367"/>
      <c r="M793" s="1367"/>
      <c r="N793" s="1368"/>
      <c r="O793" s="1369"/>
      <c r="P793" s="1369"/>
      <c r="Q793" s="1369"/>
      <c r="R793" s="1369"/>
      <c r="S793" s="1369"/>
      <c r="T793" s="1363"/>
      <c r="U793" s="1364"/>
      <c r="V793" s="1364"/>
      <c r="W793" s="1365"/>
      <c r="X793" s="1360"/>
      <c r="Y793" s="1361"/>
      <c r="Z793" s="1361"/>
      <c r="AA793" s="1361"/>
      <c r="AB793" s="1362"/>
      <c r="AC793" s="1371">
        <f t="shared" si="62"/>
        <v>0</v>
      </c>
      <c r="AD793" s="1372"/>
      <c r="AE793" s="1372"/>
      <c r="AF793" s="1372"/>
      <c r="AG793" s="137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6"/>
      <c r="K794" s="1367"/>
      <c r="L794" s="1367"/>
      <c r="M794" s="1367"/>
      <c r="N794" s="1368"/>
      <c r="O794" s="1369"/>
      <c r="P794" s="1369"/>
      <c r="Q794" s="1369"/>
      <c r="R794" s="1369"/>
      <c r="S794" s="1369"/>
      <c r="T794" s="1363"/>
      <c r="U794" s="1364"/>
      <c r="V794" s="1364"/>
      <c r="W794" s="1365"/>
      <c r="X794" s="1360"/>
      <c r="Y794" s="1361"/>
      <c r="Z794" s="1361"/>
      <c r="AA794" s="1361"/>
      <c r="AB794" s="1362"/>
      <c r="AC794" s="1371">
        <f t="shared" si="62"/>
        <v>0</v>
      </c>
      <c r="AD794" s="1372"/>
      <c r="AE794" s="1372"/>
      <c r="AF794" s="1372"/>
      <c r="AG794" s="137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6"/>
      <c r="K795" s="1367"/>
      <c r="L795" s="1367"/>
      <c r="M795" s="1367"/>
      <c r="N795" s="1368"/>
      <c r="O795" s="1369"/>
      <c r="P795" s="1369"/>
      <c r="Q795" s="1369"/>
      <c r="R795" s="1369"/>
      <c r="S795" s="1369"/>
      <c r="T795" s="1363"/>
      <c r="U795" s="1364"/>
      <c r="V795" s="1364"/>
      <c r="W795" s="1365"/>
      <c r="X795" s="1360"/>
      <c r="Y795" s="1361"/>
      <c r="Z795" s="1361"/>
      <c r="AA795" s="1361"/>
      <c r="AB795" s="1362"/>
      <c r="AC795" s="1371">
        <f t="shared" si="62"/>
        <v>0</v>
      </c>
      <c r="AD795" s="1372"/>
      <c r="AE795" s="1372"/>
      <c r="AF795" s="1372"/>
      <c r="AG795" s="137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6"/>
      <c r="K796" s="1367"/>
      <c r="L796" s="1367"/>
      <c r="M796" s="1367"/>
      <c r="N796" s="1368"/>
      <c r="O796" s="1369"/>
      <c r="P796" s="1369"/>
      <c r="Q796" s="1369"/>
      <c r="R796" s="1369"/>
      <c r="S796" s="1369"/>
      <c r="T796" s="1363"/>
      <c r="U796" s="1364"/>
      <c r="V796" s="1364"/>
      <c r="W796" s="1365"/>
      <c r="X796" s="1360"/>
      <c r="Y796" s="1361"/>
      <c r="Z796" s="1361"/>
      <c r="AA796" s="1361"/>
      <c r="AB796" s="1362"/>
      <c r="AC796" s="1371">
        <f t="shared" si="62"/>
        <v>0</v>
      </c>
      <c r="AD796" s="1372"/>
      <c r="AE796" s="1372"/>
      <c r="AF796" s="1372"/>
      <c r="AG796" s="1373"/>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677" t="s">
        <v>477</v>
      </c>
      <c r="BO796" s="1678"/>
      <c r="BP796" s="3"/>
      <c r="BQ796" s="3"/>
      <c r="BR796" s="3"/>
      <c r="BS796" s="14" t="s">
        <v>642</v>
      </c>
      <c r="BT796" s="14"/>
      <c r="BU796" s="14"/>
      <c r="BV796" s="14"/>
      <c r="BW796" s="14"/>
      <c r="BX796" s="14"/>
      <c r="BY796" s="14"/>
      <c r="BZ796" s="14"/>
      <c r="CA796" s="14"/>
      <c r="CB796" s="1674" t="str">
        <f>T189</f>
        <v>Riverside</v>
      </c>
      <c r="CC796" s="1675"/>
      <c r="CD796" s="1675"/>
      <c r="CE796" s="1675"/>
      <c r="CF796" s="1675"/>
      <c r="CG796" s="1675"/>
      <c r="CH796" s="167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65" t="s">
        <v>125</v>
      </c>
      <c r="K797" s="1466"/>
      <c r="L797" s="1466"/>
      <c r="M797" s="1466"/>
      <c r="N797" s="1467"/>
      <c r="O797" s="1505">
        <f>SUM(O787:S796)</f>
        <v>0</v>
      </c>
      <c r="P797" s="1505"/>
      <c r="Q797" s="1505"/>
      <c r="R797" s="1505"/>
      <c r="S797" s="1505"/>
      <c r="T797"/>
      <c r="U797"/>
      <c r="V797"/>
      <c r="W797"/>
      <c r="X797" s="937" t="s">
        <v>124</v>
      </c>
      <c r="Y797" s="11"/>
      <c r="Z797" s="11"/>
      <c r="AA797" s="11"/>
      <c r="AB797" s="944"/>
      <c r="AC797" s="1371">
        <f>SUM(AC787:AG796)</f>
        <v>0</v>
      </c>
      <c r="AD797" s="1372"/>
      <c r="AE797" s="1372"/>
      <c r="AF797" s="1372"/>
      <c r="AG797" s="137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22" t="str">
        <f>IF(O797&lt;&gt;AG438,"! Total market rate units in the Unit Mix Table above does not match the number of  market rate units on row #"&amp;TEXT(ROW(D438),"#"),"")</f>
        <v/>
      </c>
      <c r="D798" s="1422"/>
      <c r="E798" s="1422"/>
      <c r="F798" s="1422"/>
      <c r="G798" s="1422"/>
      <c r="H798" s="1422"/>
      <c r="I798" s="1422"/>
      <c r="J798" s="1422"/>
      <c r="K798" s="1422"/>
      <c r="L798" s="1422"/>
      <c r="M798" s="1422"/>
      <c r="N798" s="1422"/>
      <c r="O798" s="1422"/>
      <c r="P798" s="1422"/>
      <c r="Q798" s="1422"/>
      <c r="R798" s="1422"/>
      <c r="S798" s="1422"/>
      <c r="T798" s="1422"/>
      <c r="U798" s="1422"/>
      <c r="V798" s="1422"/>
      <c r="W798" s="1422"/>
      <c r="X798" s="1422"/>
      <c r="Y798" s="1422"/>
      <c r="Z798" s="1422"/>
      <c r="AA798" s="1422"/>
      <c r="AB798" s="1422"/>
      <c r="AC798" s="1422"/>
      <c r="AD798" s="1422"/>
      <c r="AE798" s="1422"/>
      <c r="AF798" s="1422"/>
      <c r="AG798" s="1422"/>
      <c r="AH798" s="1422"/>
      <c r="AI798" s="1422"/>
      <c r="AJ798" s="1422"/>
      <c r="AK798" s="1422"/>
      <c r="AL798" s="1422"/>
      <c r="AM798" s="1422"/>
      <c r="AN798" s="142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22"/>
      <c r="D799" s="1422"/>
      <c r="E799" s="1422"/>
      <c r="F799" s="1422"/>
      <c r="G799" s="1422"/>
      <c r="H799" s="1422"/>
      <c r="I799" s="1422"/>
      <c r="J799" s="1422"/>
      <c r="K799" s="1422"/>
      <c r="L799" s="1422"/>
      <c r="M799" s="1422"/>
      <c r="N799" s="1422"/>
      <c r="O799" s="1422"/>
      <c r="P799" s="1422"/>
      <c r="Q799" s="1422"/>
      <c r="R799" s="1422"/>
      <c r="S799" s="1422"/>
      <c r="T799" s="1422"/>
      <c r="U799" s="1422"/>
      <c r="V799" s="1422"/>
      <c r="W799" s="1422"/>
      <c r="X799" s="1422"/>
      <c r="Y799" s="1422"/>
      <c r="Z799" s="1422"/>
      <c r="AA799" s="1422"/>
      <c r="AB799" s="1422"/>
      <c r="AC799" s="1422"/>
      <c r="AD799" s="1422"/>
      <c r="AE799" s="1422"/>
      <c r="AF799" s="1422"/>
      <c r="AG799" s="1422"/>
      <c r="AH799" s="1422"/>
      <c r="AI799" s="1422"/>
      <c r="AJ799" s="1422"/>
      <c r="AK799" s="1422"/>
      <c r="AL799" s="1422"/>
      <c r="AM799" s="1422"/>
      <c r="AN799" s="142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3">
        <f>O753+AC777+AC797</f>
        <v>220863</v>
      </c>
      <c r="Z800" s="1743"/>
      <c r="AA800" s="1743"/>
      <c r="AB800" s="1743"/>
      <c r="AC800" s="1743"/>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3">
        <f>(O753+AC777+AC797)*12</f>
        <v>2650356</v>
      </c>
      <c r="Z801" s="1743"/>
      <c r="AA801" s="1743"/>
      <c r="AB801" s="1743"/>
      <c r="AC801" s="174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326</v>
      </c>
      <c r="BR805" s="72" t="s">
        <v>163</v>
      </c>
      <c r="BS805" s="72" t="s">
        <v>164</v>
      </c>
      <c r="BT805" s="72" t="s">
        <v>468</v>
      </c>
      <c r="BU805" s="14"/>
      <c r="BV805" s="14"/>
      <c r="BW805" s="71" t="s">
        <v>641</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9"/>
      <c r="AA806" s="1380"/>
      <c r="AB806" s="1380"/>
      <c r="AC806" s="1380"/>
      <c r="AD806" s="1380"/>
      <c r="AE806" s="138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8"/>
      <c r="AA807" s="1380"/>
      <c r="AB807" s="1380"/>
      <c r="AC807" s="1380"/>
      <c r="AD807" s="1380"/>
      <c r="AE807" s="138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7"/>
      <c r="AA808" s="1582"/>
      <c r="AB808" s="1582"/>
      <c r="AC808" s="1582"/>
      <c r="AD808" s="1582"/>
      <c r="AE808" s="158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4">
        <f>'Subsidy Contract Calculation'!J40</f>
        <v>0</v>
      </c>
      <c r="AA809" s="1655"/>
      <c r="AB809" s="1655"/>
      <c r="AC809" s="1655"/>
      <c r="AD809" s="1655"/>
      <c r="AE809" s="165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1">
        <v>12000</v>
      </c>
      <c r="AA813" s="1522"/>
      <c r="AB813" s="1522"/>
      <c r="AC813" s="1522"/>
      <c r="AD813" s="1522"/>
      <c r="AE813" s="152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1"/>
      <c r="AA814" s="1522"/>
      <c r="AB814" s="1522"/>
      <c r="AC814" s="1522"/>
      <c r="AD814" s="1522"/>
      <c r="AE814" s="152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1"/>
      <c r="AA815" s="1522"/>
      <c r="AB815" s="1522"/>
      <c r="AC815" s="1522"/>
      <c r="AD815" s="1522"/>
      <c r="AE815" s="152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6" t="s">
        <v>2749</v>
      </c>
      <c r="Q816" s="1397"/>
      <c r="R816" s="1397"/>
      <c r="S816" s="1397"/>
      <c r="T816" s="1397"/>
      <c r="U816" s="1397"/>
      <c r="V816" s="1397"/>
      <c r="W816" s="1397"/>
      <c r="X816" s="1397"/>
      <c r="Y816" s="1398"/>
      <c r="Z816" s="1521">
        <v>6000</v>
      </c>
      <c r="AA816" s="1522"/>
      <c r="AB816" s="1522"/>
      <c r="AC816" s="1522"/>
      <c r="AD816" s="1522"/>
      <c r="AE816" s="152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4">
        <f>SUM(Z813:AE816)</f>
        <v>18000</v>
      </c>
      <c r="AA817" s="1655"/>
      <c r="AB817" s="1655"/>
      <c r="AC817" s="1655"/>
      <c r="AD817" s="1655"/>
      <c r="AE817" s="165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654">
        <f>Z817+Y801+Z809</f>
        <v>2668356</v>
      </c>
      <c r="AA818" s="1655"/>
      <c r="AB818" s="1655"/>
      <c r="AC818" s="1655"/>
      <c r="AD818" s="1655"/>
      <c r="AE818" s="165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23" t="s">
        <v>126</v>
      </c>
      <c r="N823" s="1623"/>
      <c r="O823" s="1623"/>
      <c r="P823" s="1665"/>
      <c r="Q823" s="1378" t="s">
        <v>291</v>
      </c>
      <c r="R823" s="1378"/>
      <c r="S823" s="1378"/>
      <c r="T823" s="1378"/>
      <c r="U823" s="1378" t="s">
        <v>292</v>
      </c>
      <c r="V823" s="1378"/>
      <c r="W823" s="1378"/>
      <c r="X823" s="1378"/>
      <c r="Y823" s="1378" t="s">
        <v>293</v>
      </c>
      <c r="Z823" s="1378"/>
      <c r="AA823" s="1378"/>
      <c r="AB823" s="1378"/>
      <c r="AC823" s="1378" t="s">
        <v>362</v>
      </c>
      <c r="AD823" s="1378"/>
      <c r="AE823" s="1378"/>
      <c r="AF823" s="1378"/>
      <c r="AG823" s="1757" t="s">
        <v>336</v>
      </c>
      <c r="AH823" s="1757"/>
      <c r="AI823" s="1757"/>
      <c r="AJ823" s="175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27"/>
      <c r="N824" s="1627"/>
      <c r="O824" s="1627"/>
      <c r="P824" s="1666"/>
      <c r="Q824" s="1378"/>
      <c r="R824" s="1378"/>
      <c r="S824" s="1378"/>
      <c r="T824" s="1378"/>
      <c r="U824" s="1378"/>
      <c r="V824" s="1378"/>
      <c r="W824" s="1378"/>
      <c r="X824" s="1378"/>
      <c r="Y824" s="1378"/>
      <c r="Z824" s="1378"/>
      <c r="AA824" s="1378"/>
      <c r="AB824" s="1378"/>
      <c r="AC824" s="1378"/>
      <c r="AD824" s="1378"/>
      <c r="AE824" s="1378"/>
      <c r="AF824" s="1378"/>
      <c r="AG824" s="1757"/>
      <c r="AH824" s="1757"/>
      <c r="AI824" s="1757"/>
      <c r="AJ824" s="175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0" t="s">
        <v>40</v>
      </c>
      <c r="D825" s="1471"/>
      <c r="E825" s="1471"/>
      <c r="F825" s="1471"/>
      <c r="G825" s="1471"/>
      <c r="H825" s="1471"/>
      <c r="I825" s="48"/>
      <c r="J825" s="48"/>
      <c r="K825" s="48"/>
      <c r="L825" s="49"/>
      <c r="M825" s="1637"/>
      <c r="N825" s="1637"/>
      <c r="O825" s="1637"/>
      <c r="P825" s="1637"/>
      <c r="Q825" s="1637"/>
      <c r="R825" s="1637"/>
      <c r="S825" s="1637"/>
      <c r="T825" s="1637"/>
      <c r="U825" s="1637"/>
      <c r="V825" s="1637"/>
      <c r="W825" s="1637"/>
      <c r="X825" s="1637"/>
      <c r="Y825" s="1637"/>
      <c r="Z825" s="1637"/>
      <c r="AA825" s="1637"/>
      <c r="AB825" s="1637"/>
      <c r="AC825" s="1480"/>
      <c r="AD825" s="1481"/>
      <c r="AE825" s="1481"/>
      <c r="AF825" s="1482"/>
      <c r="AG825" s="1480"/>
      <c r="AH825" s="1481"/>
      <c r="AI825" s="1481"/>
      <c r="AJ825" s="1482"/>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38" t="s">
        <v>41</v>
      </c>
      <c r="D826" s="1639"/>
      <c r="E826" s="1639"/>
      <c r="F826" s="1639"/>
      <c r="G826" s="1639"/>
      <c r="H826" s="1639"/>
      <c r="I826" s="5"/>
      <c r="J826" s="5"/>
      <c r="K826" s="5"/>
      <c r="L826" s="46"/>
      <c r="M826" s="1637"/>
      <c r="N826" s="1637"/>
      <c r="O826" s="1637"/>
      <c r="P826" s="1637"/>
      <c r="Q826" s="1637"/>
      <c r="R826" s="1637"/>
      <c r="S826" s="1637"/>
      <c r="T826" s="1637"/>
      <c r="U826" s="1637"/>
      <c r="V826" s="1637"/>
      <c r="W826" s="1637"/>
      <c r="X826" s="1637"/>
      <c r="Y826" s="1637"/>
      <c r="Z826" s="1637"/>
      <c r="AA826" s="1637"/>
      <c r="AB826" s="1637"/>
      <c r="AC826" s="1480"/>
      <c r="AD826" s="1481"/>
      <c r="AE826" s="1481"/>
      <c r="AF826" s="1482"/>
      <c r="AG826" s="1480"/>
      <c r="AH826" s="1481"/>
      <c r="AI826" s="1481"/>
      <c r="AJ826" s="1482"/>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38" t="s">
        <v>42</v>
      </c>
      <c r="D827" s="1639"/>
      <c r="E827" s="1639"/>
      <c r="F827" s="1639"/>
      <c r="G827" s="1639"/>
      <c r="H827" s="1639"/>
      <c r="I827" s="60"/>
      <c r="J827" s="60"/>
      <c r="K827" s="60"/>
      <c r="L827" s="61"/>
      <c r="M827" s="1637"/>
      <c r="N827" s="1637"/>
      <c r="O827" s="1637"/>
      <c r="P827" s="1637"/>
      <c r="Q827" s="1637"/>
      <c r="R827" s="1637"/>
      <c r="S827" s="1637"/>
      <c r="T827" s="1637"/>
      <c r="U827" s="1637"/>
      <c r="V827" s="1637"/>
      <c r="W827" s="1637"/>
      <c r="X827" s="1637"/>
      <c r="Y827" s="1637"/>
      <c r="Z827" s="1637"/>
      <c r="AA827" s="1637"/>
      <c r="AB827" s="1637"/>
      <c r="AC827" s="1480"/>
      <c r="AD827" s="1481"/>
      <c r="AE827" s="1481"/>
      <c r="AF827" s="1482"/>
      <c r="AG827" s="1480"/>
      <c r="AH827" s="1481"/>
      <c r="AI827" s="1481"/>
      <c r="AJ827" s="1482"/>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38" t="s">
        <v>771</v>
      </c>
      <c r="D828" s="1639"/>
      <c r="E828" s="1639"/>
      <c r="F828" s="1639"/>
      <c r="G828" s="1639"/>
      <c r="H828" s="1639"/>
      <c r="I828" s="60"/>
      <c r="J828" s="60"/>
      <c r="K828" s="60"/>
      <c r="L828" s="61"/>
      <c r="M828" s="1637"/>
      <c r="N828" s="1637"/>
      <c r="O828" s="1637"/>
      <c r="P828" s="1637"/>
      <c r="Q828" s="1637"/>
      <c r="R828" s="1637"/>
      <c r="S828" s="1637"/>
      <c r="T828" s="1637"/>
      <c r="U828" s="1637"/>
      <c r="V828" s="1637"/>
      <c r="W828" s="1637"/>
      <c r="X828" s="1637"/>
      <c r="Y828" s="1637"/>
      <c r="Z828" s="1637"/>
      <c r="AA828" s="1637"/>
      <c r="AB828" s="1637"/>
      <c r="AC828" s="1480"/>
      <c r="AD828" s="1481"/>
      <c r="AE828" s="1481"/>
      <c r="AF828" s="1482"/>
      <c r="AG828" s="1480"/>
      <c r="AH828" s="1481"/>
      <c r="AI828" s="1481"/>
      <c r="AJ828" s="1482"/>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38" t="s">
        <v>467</v>
      </c>
      <c r="D829" s="1639"/>
      <c r="E829" s="1639"/>
      <c r="F829" s="1639"/>
      <c r="G829" s="1639"/>
      <c r="H829" s="1639"/>
      <c r="I829" s="60"/>
      <c r="J829" s="60"/>
      <c r="K829" s="60"/>
      <c r="L829" s="61"/>
      <c r="M829" s="1637"/>
      <c r="N829" s="1637"/>
      <c r="O829" s="1637"/>
      <c r="P829" s="1637"/>
      <c r="Q829" s="1637"/>
      <c r="R829" s="1637"/>
      <c r="S829" s="1637"/>
      <c r="T829" s="1637"/>
      <c r="U829" s="1637"/>
      <c r="V829" s="1637"/>
      <c r="W829" s="1637"/>
      <c r="X829" s="1637"/>
      <c r="Y829" s="1637"/>
      <c r="Z829" s="1637"/>
      <c r="AA829" s="1637"/>
      <c r="AB829" s="1637"/>
      <c r="AC829" s="1480"/>
      <c r="AD829" s="1481"/>
      <c r="AE829" s="1481"/>
      <c r="AF829" s="1482"/>
      <c r="AG829" s="1480"/>
      <c r="AH829" s="1481"/>
      <c r="AI829" s="1481"/>
      <c r="AJ829" s="1482"/>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5" t="s">
        <v>792</v>
      </c>
      <c r="D830" s="1639"/>
      <c r="E830" s="1639"/>
      <c r="F830" s="1639"/>
      <c r="G830" s="1639"/>
      <c r="H830" s="1639"/>
      <c r="I830" s="60"/>
      <c r="J830" s="60"/>
      <c r="K830" s="60"/>
      <c r="L830" s="61"/>
      <c r="M830" s="1637"/>
      <c r="N830" s="1637"/>
      <c r="O830" s="1637"/>
      <c r="P830" s="1637"/>
      <c r="Q830" s="1637"/>
      <c r="R830" s="1637"/>
      <c r="S830" s="1637"/>
      <c r="T830" s="1637"/>
      <c r="U830" s="1637"/>
      <c r="V830" s="1637"/>
      <c r="W830" s="1637"/>
      <c r="X830" s="1637"/>
      <c r="Y830" s="1637"/>
      <c r="Z830" s="1637"/>
      <c r="AA830" s="1637"/>
      <c r="AB830" s="1637"/>
      <c r="AC830" s="1480"/>
      <c r="AD830" s="1481"/>
      <c r="AE830" s="1481"/>
      <c r="AF830" s="1482"/>
      <c r="AG830" s="1480"/>
      <c r="AH830" s="1481"/>
      <c r="AI830" s="1481"/>
      <c r="AJ830" s="1482"/>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96" t="s">
        <v>335</v>
      </c>
      <c r="G831" s="1397"/>
      <c r="H831" s="1397"/>
      <c r="I831" s="1397"/>
      <c r="J831" s="1397"/>
      <c r="K831" s="1397"/>
      <c r="L831" s="1397"/>
      <c r="M831" s="1637"/>
      <c r="N831" s="1637"/>
      <c r="O831" s="1637"/>
      <c r="P831" s="1637"/>
      <c r="Q831" s="1637"/>
      <c r="R831" s="1637"/>
      <c r="S831" s="1637"/>
      <c r="T831" s="1637"/>
      <c r="U831" s="1637"/>
      <c r="V831" s="1637"/>
      <c r="W831" s="1637"/>
      <c r="X831" s="1637"/>
      <c r="Y831" s="1637"/>
      <c r="Z831" s="1637"/>
      <c r="AA831" s="1637"/>
      <c r="AB831" s="1637"/>
      <c r="AC831" s="1480"/>
      <c r="AD831" s="1481"/>
      <c r="AE831" s="1481"/>
      <c r="AF831" s="1482"/>
      <c r="AG831" s="1480"/>
      <c r="AH831" s="1481"/>
      <c r="AI831" s="1481"/>
      <c r="AJ831" s="1482"/>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65" t="s">
        <v>124</v>
      </c>
      <c r="D832" s="1466"/>
      <c r="E832" s="1466"/>
      <c r="F832" s="1466"/>
      <c r="G832" s="1466"/>
      <c r="H832" s="1466"/>
      <c r="I832" s="1466"/>
      <c r="J832" s="1466"/>
      <c r="K832" s="1466"/>
      <c r="L832" s="1467"/>
      <c r="M832" s="1664">
        <f>SUM(M825:P831)</f>
        <v>0</v>
      </c>
      <c r="N832" s="1664"/>
      <c r="O832" s="1664"/>
      <c r="P832" s="1664"/>
      <c r="Q832" s="1664">
        <f>SUM(Q825:T831)</f>
        <v>0</v>
      </c>
      <c r="R832" s="1664"/>
      <c r="S832" s="1664"/>
      <c r="T832" s="1664"/>
      <c r="U832" s="1664">
        <f>SUM(U825:X831)</f>
        <v>0</v>
      </c>
      <c r="V832" s="1664"/>
      <c r="W832" s="1664"/>
      <c r="X832" s="1664"/>
      <c r="Y832" s="1664">
        <f>SUM(Y825:AB831)</f>
        <v>0</v>
      </c>
      <c r="Z832" s="1664"/>
      <c r="AA832" s="1664"/>
      <c r="AB832" s="1664"/>
      <c r="AC832" s="1664">
        <f>SUM(AC825:AF831)</f>
        <v>0</v>
      </c>
      <c r="AD832" s="1664"/>
      <c r="AE832" s="1664"/>
      <c r="AF832" s="1664"/>
      <c r="AG832" s="1664">
        <f>SUM(AG825:AJ831)</f>
        <v>0</v>
      </c>
      <c r="AH832" s="1664"/>
      <c r="AI832" s="1664"/>
      <c r="AJ832" s="166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0" t="s">
        <v>2750</v>
      </c>
      <c r="D837" s="1681"/>
      <c r="E837" s="1681"/>
      <c r="F837" s="1681"/>
      <c r="G837" s="1681"/>
      <c r="H837" s="1681"/>
      <c r="I837" s="1681"/>
      <c r="J837" s="1681"/>
      <c r="K837" s="1681"/>
      <c r="L837" s="1681"/>
      <c r="M837" s="1681"/>
      <c r="N837" s="1681"/>
      <c r="O837" s="1681"/>
      <c r="P837" s="1681"/>
      <c r="Q837" s="1681"/>
      <c r="R837" s="1681"/>
      <c r="S837" s="1681"/>
      <c r="T837" s="1681"/>
      <c r="U837" s="1681"/>
      <c r="V837" s="1681"/>
      <c r="W837" s="1681"/>
      <c r="X837" s="1681"/>
      <c r="Y837" s="1681"/>
      <c r="Z837" s="1681"/>
      <c r="AA837" s="1681"/>
      <c r="AB837" s="1681"/>
      <c r="AC837" s="1681"/>
      <c r="AD837" s="1681"/>
      <c r="AE837" s="1681"/>
      <c r="AF837" s="1681"/>
      <c r="AG837" s="1681"/>
      <c r="AH837" s="1681"/>
      <c r="AI837" s="1681"/>
      <c r="AJ837" s="1682"/>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9">
        <f>ROUNDDOWN(BC939*2,2)</f>
        <v>0</v>
      </c>
      <c r="BJ841" s="1679"/>
      <c r="BK841" s="1679"/>
      <c r="BL841" s="1679"/>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24">
        <v>4000</v>
      </c>
      <c r="X842" s="1524"/>
      <c r="Y842" s="1524"/>
      <c r="Z842" s="1524"/>
      <c r="AA842" s="1524"/>
      <c r="AB842" s="1524"/>
      <c r="AC842" s="1524"/>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24">
        <v>3000</v>
      </c>
      <c r="X843" s="1524"/>
      <c r="Y843" s="1524"/>
      <c r="Z843" s="1524"/>
      <c r="AA843" s="1524"/>
      <c r="AB843" s="1524"/>
      <c r="AC843" s="1524"/>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24">
        <v>11000</v>
      </c>
      <c r="X844" s="1524"/>
      <c r="Y844" s="1524"/>
      <c r="Z844" s="1524"/>
      <c r="AA844" s="1524"/>
      <c r="AB844" s="1524"/>
      <c r="AC844" s="1524"/>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24">
        <v>6000</v>
      </c>
      <c r="X845" s="1524"/>
      <c r="Y845" s="1524"/>
      <c r="Z845" s="1524"/>
      <c r="AA845" s="1524"/>
      <c r="AB845" s="1524"/>
      <c r="AC845" s="1524"/>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96" t="s">
        <v>2751</v>
      </c>
      <c r="N846" s="1397"/>
      <c r="O846" s="1397"/>
      <c r="P846" s="1397"/>
      <c r="Q846" s="1397"/>
      <c r="R846" s="1397"/>
      <c r="S846" s="1397"/>
      <c r="T846" s="1397"/>
      <c r="U846" s="1397"/>
      <c r="V846" s="1398"/>
      <c r="W846" s="1524">
        <v>2200</v>
      </c>
      <c r="X846" s="1524"/>
      <c r="Y846" s="1524"/>
      <c r="Z846" s="1524"/>
      <c r="AA846" s="1524"/>
      <c r="AB846" s="1524"/>
      <c r="AC846" s="1524"/>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4">
        <f>SUM(W842:AC846)</f>
        <v>26200</v>
      </c>
      <c r="X847" s="1655"/>
      <c r="Y847" s="1655"/>
      <c r="Z847" s="1655"/>
      <c r="AA847" s="1655"/>
      <c r="AB847" s="1655"/>
      <c r="AC847" s="1656"/>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2"/>
      <c r="BH848" s="1672"/>
      <c r="BI848" s="1672"/>
      <c r="BJ848" s="1672"/>
      <c r="BK848" s="1672"/>
      <c r="BL848" s="1672"/>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465" t="s">
        <v>346</v>
      </c>
      <c r="K849" s="1466"/>
      <c r="L849" s="1466"/>
      <c r="M849" s="1466"/>
      <c r="N849" s="1466"/>
      <c r="O849" s="1466"/>
      <c r="P849" s="1466"/>
      <c r="Q849" s="1466"/>
      <c r="R849" s="1466"/>
      <c r="S849" s="1466"/>
      <c r="T849" s="1466"/>
      <c r="U849" s="1466"/>
      <c r="V849" s="1467"/>
      <c r="W849" s="1521">
        <v>100000</v>
      </c>
      <c r="X849" s="1522"/>
      <c r="Y849" s="1522"/>
      <c r="Z849" s="1522"/>
      <c r="AA849" s="1522"/>
      <c r="AB849" s="1522"/>
      <c r="AC849" s="1523"/>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353</v>
      </c>
      <c r="K851" s="5"/>
      <c r="L851" s="5"/>
      <c r="M851" s="5"/>
      <c r="N851" s="5"/>
      <c r="O851" s="5"/>
      <c r="P851" s="5"/>
      <c r="Q851" s="5"/>
      <c r="R851" s="5"/>
      <c r="S851" s="5"/>
      <c r="T851" s="5"/>
      <c r="U851" s="5"/>
      <c r="V851" s="46"/>
      <c r="W851" s="1748">
        <v>7000</v>
      </c>
      <c r="X851" s="1748"/>
      <c r="Y851" s="1748"/>
      <c r="Z851" s="1748"/>
      <c r="AA851" s="1748"/>
      <c r="AB851" s="1748"/>
      <c r="AC851" s="1748"/>
      <c r="AZ851" s="1751">
        <f>SUM(AZ818:AZ846)</f>
        <v>0</v>
      </c>
      <c r="BA851" s="1751"/>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48"/>
      <c r="X852" s="1748"/>
      <c r="Y852" s="1748"/>
      <c r="Z852" s="1748"/>
      <c r="AA852" s="1748"/>
      <c r="AB852" s="1748"/>
      <c r="AC852" s="1748"/>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48">
        <v>121000</v>
      </c>
      <c r="X853" s="1748"/>
      <c r="Y853" s="1748"/>
      <c r="Z853" s="1748"/>
      <c r="AA853" s="1748"/>
      <c r="AB853" s="1748"/>
      <c r="AC853" s="1748"/>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48">
        <v>116000</v>
      </c>
      <c r="X854" s="1748"/>
      <c r="Y854" s="1748"/>
      <c r="Z854" s="1748"/>
      <c r="AA854" s="1748"/>
      <c r="AB854" s="1748"/>
      <c r="AC854" s="174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4">
        <f>SUM(W851:AC854)</f>
        <v>244000</v>
      </c>
      <c r="X855" s="1734"/>
      <c r="Y855" s="1734"/>
      <c r="Z855" s="1734"/>
      <c r="AA855" s="1734"/>
      <c r="AB855" s="1734"/>
      <c r="AC855" s="173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627</v>
      </c>
      <c r="K857" s="5"/>
      <c r="L857" s="5"/>
      <c r="M857" s="5"/>
      <c r="N857" s="5"/>
      <c r="O857" s="5"/>
      <c r="P857" s="5"/>
      <c r="Q857" s="5"/>
      <c r="R857" s="5"/>
      <c r="S857" s="5"/>
      <c r="T857" s="5"/>
      <c r="U857" s="5"/>
      <c r="V857" s="46"/>
      <c r="W857" s="1658">
        <v>115000</v>
      </c>
      <c r="X857" s="1659"/>
      <c r="Y857" s="1659"/>
      <c r="Z857" s="1659"/>
      <c r="AA857" s="1659"/>
      <c r="AB857" s="1659"/>
      <c r="AC857" s="166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1766</v>
      </c>
      <c r="K858" s="5"/>
      <c r="L858" s="5"/>
      <c r="M858" s="5"/>
      <c r="N858" s="5"/>
      <c r="O858" s="5"/>
      <c r="P858" s="5"/>
      <c r="Q858" s="5"/>
      <c r="R858" s="5"/>
      <c r="S858" s="5"/>
      <c r="T858" s="1752">
        <v>4</v>
      </c>
      <c r="U858" s="1720"/>
      <c r="V858" s="175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58">
        <v>105000</v>
      </c>
      <c r="X859" s="1659"/>
      <c r="Y859" s="1659"/>
      <c r="Z859" s="1659"/>
      <c r="AA859" s="1659"/>
      <c r="AB859" s="1659"/>
      <c r="AC859" s="166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52">
        <v>1</v>
      </c>
      <c r="U860" s="1720"/>
      <c r="V860" s="175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96"/>
      <c r="N861" s="1397"/>
      <c r="O861" s="1397"/>
      <c r="P861" s="1397"/>
      <c r="Q861" s="1397"/>
      <c r="R861" s="1397"/>
      <c r="S861" s="1397"/>
      <c r="T861" s="1397"/>
      <c r="U861" s="1397"/>
      <c r="V861" s="1398"/>
      <c r="W861" s="1658"/>
      <c r="X861" s="1659"/>
      <c r="Y861" s="1659"/>
      <c r="Z861" s="1659"/>
      <c r="AA861" s="1659"/>
      <c r="AB861" s="1659"/>
      <c r="AC861" s="166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4">
        <f>SUM(W857:AC861)</f>
        <v>220000</v>
      </c>
      <c r="X862" s="1755"/>
      <c r="Y862" s="1755"/>
      <c r="Z862" s="1755"/>
      <c r="AA862" s="1755"/>
      <c r="AB862" s="1755"/>
      <c r="AC862" s="175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58">
        <v>50000</v>
      </c>
      <c r="X863" s="1659"/>
      <c r="Y863" s="1659"/>
      <c r="Z863" s="1659"/>
      <c r="AA863" s="1659"/>
      <c r="AB863" s="1659"/>
      <c r="AC863" s="166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625</v>
      </c>
      <c r="K865" s="5"/>
      <c r="L865" s="5"/>
      <c r="M865" s="5"/>
      <c r="N865" s="5"/>
      <c r="O865" s="5"/>
      <c r="P865" s="5"/>
      <c r="Q865" s="5"/>
      <c r="R865" s="5"/>
      <c r="S865" s="5"/>
      <c r="T865" s="5"/>
      <c r="U865" s="5"/>
      <c r="V865" s="46"/>
      <c r="W865" s="1524"/>
      <c r="X865" s="1524"/>
      <c r="Y865" s="1524"/>
      <c r="Z865" s="1524"/>
      <c r="AA865" s="1524"/>
      <c r="AB865" s="1524"/>
      <c r="AC865" s="152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524">
        <v>71000</v>
      </c>
      <c r="X866" s="1524"/>
      <c r="Y866" s="1524"/>
      <c r="Z866" s="1524"/>
      <c r="AA866" s="1524"/>
      <c r="AB866" s="1524"/>
      <c r="AC866" s="152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524">
        <v>28000</v>
      </c>
      <c r="X867" s="1524"/>
      <c r="Y867" s="1524"/>
      <c r="Z867" s="1524"/>
      <c r="AA867" s="1524"/>
      <c r="AB867" s="1524"/>
      <c r="AC867" s="152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524">
        <v>7000</v>
      </c>
      <c r="X868" s="1524"/>
      <c r="Y868" s="1524"/>
      <c r="Z868" s="1524"/>
      <c r="AA868" s="1524"/>
      <c r="AB868" s="1524"/>
      <c r="AC868" s="152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524">
        <v>53000</v>
      </c>
      <c r="X869" s="1524"/>
      <c r="Y869" s="1524"/>
      <c r="Z869" s="1524"/>
      <c r="AA869" s="1524"/>
      <c r="AB869" s="1524"/>
      <c r="AC869" s="152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524"/>
      <c r="X870" s="1524"/>
      <c r="Y870" s="1524"/>
      <c r="Z870" s="1524"/>
      <c r="AA870" s="1524"/>
      <c r="AB870" s="1524"/>
      <c r="AC870" s="152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96" t="s">
        <v>2752</v>
      </c>
      <c r="N871" s="1397"/>
      <c r="O871" s="1397"/>
      <c r="P871" s="1397"/>
      <c r="Q871" s="1397"/>
      <c r="R871" s="1397"/>
      <c r="S871" s="1397"/>
      <c r="T871" s="1397"/>
      <c r="U871" s="1397"/>
      <c r="V871" s="1398"/>
      <c r="W871" s="1524">
        <v>40000</v>
      </c>
      <c r="X871" s="1524"/>
      <c r="Y871" s="1524"/>
      <c r="Z871" s="1524"/>
      <c r="AA871" s="1524"/>
      <c r="AB871" s="1524"/>
      <c r="AC871" s="1524"/>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43">
        <f>SUM(W865:AC871)</f>
        <v>199000</v>
      </c>
      <c r="X872" s="1743"/>
      <c r="Y872" s="1743"/>
      <c r="Z872" s="1743"/>
      <c r="AA872" s="1743"/>
      <c r="AB872" s="1743"/>
      <c r="AC872" s="1743"/>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1350</v>
      </c>
      <c r="J874" s="45" t="s">
        <v>170</v>
      </c>
      <c r="K874" s="5"/>
      <c r="L874" s="5"/>
      <c r="M874" s="1396" t="s">
        <v>335</v>
      </c>
      <c r="N874" s="1397"/>
      <c r="O874" s="1397"/>
      <c r="P874" s="1397"/>
      <c r="Q874" s="1397"/>
      <c r="R874" s="1397"/>
      <c r="S874" s="1397"/>
      <c r="T874" s="1397"/>
      <c r="U874" s="1397"/>
      <c r="V874" s="1398"/>
      <c r="W874" s="1521"/>
      <c r="X874" s="1522"/>
      <c r="Y874" s="1522"/>
      <c r="Z874" s="1522"/>
      <c r="AA874" s="1522"/>
      <c r="AB874" s="1522"/>
      <c r="AC874" s="152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1351</v>
      </c>
      <c r="J875" s="45" t="s">
        <v>170</v>
      </c>
      <c r="K875" s="5"/>
      <c r="L875" s="5"/>
      <c r="M875" s="1396" t="s">
        <v>335</v>
      </c>
      <c r="N875" s="1397"/>
      <c r="O875" s="1397"/>
      <c r="P875" s="1397"/>
      <c r="Q875" s="1397"/>
      <c r="R875" s="1397"/>
      <c r="S875" s="1397"/>
      <c r="T875" s="1397"/>
      <c r="U875" s="1397"/>
      <c r="V875" s="1398"/>
      <c r="W875" s="1521"/>
      <c r="X875" s="1522"/>
      <c r="Y875" s="1522"/>
      <c r="Z875" s="1522"/>
      <c r="AA875" s="1522"/>
      <c r="AB875" s="1522"/>
      <c r="AC875" s="152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96" t="s">
        <v>335</v>
      </c>
      <c r="N876" s="1397"/>
      <c r="O876" s="1397"/>
      <c r="P876" s="1397"/>
      <c r="Q876" s="1397"/>
      <c r="R876" s="1397"/>
      <c r="S876" s="1397"/>
      <c r="T876" s="1397"/>
      <c r="U876" s="1397"/>
      <c r="V876" s="1398"/>
      <c r="W876" s="1521"/>
      <c r="X876" s="1522"/>
      <c r="Y876" s="1522"/>
      <c r="Z876" s="1522"/>
      <c r="AA876" s="1522"/>
      <c r="AB876" s="1522"/>
      <c r="AC876" s="152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96" t="s">
        <v>335</v>
      </c>
      <c r="N877" s="1397"/>
      <c r="O877" s="1397"/>
      <c r="P877" s="1397"/>
      <c r="Q877" s="1397"/>
      <c r="R877" s="1397"/>
      <c r="S877" s="1397"/>
      <c r="T877" s="1397"/>
      <c r="U877" s="1397"/>
      <c r="V877" s="1398"/>
      <c r="W877" s="1521"/>
      <c r="X877" s="1522"/>
      <c r="Y877" s="1522"/>
      <c r="Z877" s="1522"/>
      <c r="AA877" s="1522"/>
      <c r="AB877" s="1522"/>
      <c r="AC877" s="152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96" t="s">
        <v>335</v>
      </c>
      <c r="N878" s="1397"/>
      <c r="O878" s="1397"/>
      <c r="P878" s="1397"/>
      <c r="Q878" s="1397"/>
      <c r="R878" s="1397"/>
      <c r="S878" s="1397"/>
      <c r="T878" s="1397"/>
      <c r="U878" s="1397"/>
      <c r="V878" s="1398"/>
      <c r="W878" s="1521"/>
      <c r="X878" s="1522"/>
      <c r="Y878" s="1522"/>
      <c r="Z878" s="1522"/>
      <c r="AA878" s="1522"/>
      <c r="AB878" s="1522"/>
      <c r="AC878" s="152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4">
        <f>SUM(W874:AC878)</f>
        <v>0</v>
      </c>
      <c r="X879" s="1655"/>
      <c r="Y879" s="1655"/>
      <c r="Z879" s="1655"/>
      <c r="AA879" s="1655"/>
      <c r="AB879" s="1655"/>
      <c r="AC879" s="165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5">
        <f>W847+W855+W862+W863+W872+W879+W849</f>
        <v>839200</v>
      </c>
      <c r="AD883" s="1655"/>
      <c r="AE883" s="1655"/>
      <c r="AF883" s="1655"/>
      <c r="AG883" s="1655"/>
      <c r="AH883" s="165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46">
        <f>O797+O777+G753</f>
        <v>197</v>
      </c>
      <c r="AD884" s="1746"/>
      <c r="AE884" s="1746"/>
      <c r="AF884" s="1746"/>
      <c r="AG884" s="1746"/>
      <c r="AH884" s="174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0" t="s">
        <v>32</v>
      </c>
      <c r="F885" s="1670"/>
      <c r="G885" s="1670"/>
      <c r="H885" s="1670"/>
      <c r="I885" s="1670"/>
      <c r="J885" s="1670"/>
      <c r="K885" s="1670"/>
      <c r="L885" s="1670"/>
      <c r="M885" s="1670"/>
      <c r="N885" s="1670"/>
      <c r="O885" s="1670"/>
      <c r="P885" s="1670"/>
      <c r="Q885" s="1670"/>
      <c r="R885" s="1670"/>
      <c r="S885" s="1670"/>
      <c r="T885" s="1670"/>
      <c r="U885" s="1670"/>
      <c r="V885" s="1670"/>
      <c r="W885" s="1670"/>
      <c r="X885" s="1670"/>
      <c r="Y885" s="1670"/>
      <c r="Z885" s="1670"/>
      <c r="AA885" s="1670"/>
      <c r="AB885" s="1671"/>
      <c r="AC885" s="1743">
        <f>IF(ISERROR((ROUNDDOWN(AC883/AC884,0))),0,(ROUNDDOWN(AC883/AC884,0)))</f>
        <v>4259</v>
      </c>
      <c r="AD885" s="1743"/>
      <c r="AE885" s="1743"/>
      <c r="AF885" s="1743"/>
      <c r="AG885" s="1743"/>
      <c r="AH885" s="1743"/>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749">
        <v>529169</v>
      </c>
      <c r="AD886" s="1750"/>
      <c r="AE886" s="1750"/>
      <c r="AF886" s="1750"/>
      <c r="AG886" s="1750"/>
      <c r="AH886" s="175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23"/>
      <c r="AD887" s="1524"/>
      <c r="AE887" s="1524"/>
      <c r="AF887" s="1524"/>
      <c r="AG887" s="1524"/>
      <c r="AH887" s="152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22">
        <v>26500</v>
      </c>
      <c r="AD888" s="1522"/>
      <c r="AE888" s="1522"/>
      <c r="AF888" s="1522"/>
      <c r="AG888" s="1522"/>
      <c r="AH888" s="152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2">
        <v>59100</v>
      </c>
      <c r="AD889" s="1522"/>
      <c r="AE889" s="1522"/>
      <c r="AF889" s="1522"/>
      <c r="AG889" s="1522"/>
      <c r="AH889" s="152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80"/>
      <c r="AD890" s="1481"/>
      <c r="AE890" s="1481"/>
      <c r="AF890" s="1481"/>
      <c r="AG890" s="1481"/>
      <c r="AH890" s="1482"/>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2">
        <v>7000</v>
      </c>
      <c r="AD891" s="1522"/>
      <c r="AE891" s="1522"/>
      <c r="AF891" s="1522"/>
      <c r="AG891" s="1522"/>
      <c r="AH891" s="152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522"/>
      <c r="AD892" s="1522"/>
      <c r="AE892" s="1522"/>
      <c r="AF892" s="1522"/>
      <c r="AG892" s="1522"/>
      <c r="AH892" s="152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1" t="s">
        <v>975</v>
      </c>
      <c r="D893" s="1662"/>
      <c r="E893" s="1662"/>
      <c r="F893" s="1662"/>
      <c r="G893" s="1662"/>
      <c r="H893" s="1662"/>
      <c r="I893" s="1662"/>
      <c r="J893" s="1662"/>
      <c r="K893" s="1662"/>
      <c r="L893" s="1662"/>
      <c r="M893" s="1662"/>
      <c r="N893" s="1662"/>
      <c r="O893" s="1662"/>
      <c r="P893" s="1662"/>
      <c r="Q893" s="1662"/>
      <c r="R893" s="1662"/>
      <c r="S893" s="1662"/>
      <c r="T893" s="1662"/>
      <c r="U893" s="1662"/>
      <c r="V893" s="1662"/>
      <c r="W893" s="1662"/>
      <c r="X893" s="1662"/>
      <c r="Y893" s="1662"/>
      <c r="Z893" s="1662"/>
      <c r="AA893" s="1662"/>
      <c r="AB893" s="1663"/>
      <c r="AC893" s="1524"/>
      <c r="AD893" s="1524"/>
      <c r="AE893" s="1524"/>
      <c r="AF893" s="1524"/>
      <c r="AG893" s="1524"/>
      <c r="AH893" s="152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1" t="s">
        <v>975</v>
      </c>
      <c r="D894" s="1662"/>
      <c r="E894" s="1662"/>
      <c r="F894" s="1662"/>
      <c r="G894" s="1662"/>
      <c r="H894" s="1662"/>
      <c r="I894" s="1662"/>
      <c r="J894" s="1662"/>
      <c r="K894" s="1662"/>
      <c r="L894" s="1662"/>
      <c r="M894" s="1662"/>
      <c r="N894" s="1662"/>
      <c r="O894" s="1662"/>
      <c r="P894" s="1662"/>
      <c r="Q894" s="1662"/>
      <c r="R894" s="1662"/>
      <c r="S894" s="1662"/>
      <c r="T894" s="1662"/>
      <c r="U894" s="1662"/>
      <c r="V894" s="1662"/>
      <c r="W894" s="1662"/>
      <c r="X894" s="1662"/>
      <c r="Y894" s="1662"/>
      <c r="Z894" s="1662"/>
      <c r="AA894" s="1662"/>
      <c r="AB894" s="1663"/>
      <c r="AC894" s="1524"/>
      <c r="AD894" s="1524"/>
      <c r="AE894" s="1524"/>
      <c r="AF894" s="1524"/>
      <c r="AG894" s="1524"/>
      <c r="AH894" s="152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21"/>
      <c r="AA898" s="1522"/>
      <c r="AB898" s="1522"/>
      <c r="AC898" s="1522"/>
      <c r="AD898" s="1522"/>
      <c r="AE898" s="1523"/>
      <c r="AF898" s="567"/>
      <c r="AZ898" s="34"/>
      <c r="BB898" s="30"/>
      <c r="BC898" s="850"/>
      <c r="BD898" s="1673"/>
      <c r="BE898" s="167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21"/>
      <c r="AA899" s="1522"/>
      <c r="AB899" s="1522"/>
      <c r="AC899" s="1522"/>
      <c r="AD899" s="1522"/>
      <c r="AE899" s="1523"/>
      <c r="AZ899" s="34"/>
      <c r="BB899" s="30"/>
      <c r="BC899" s="850"/>
      <c r="BD899" s="1673"/>
      <c r="BE899" s="167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21"/>
      <c r="AA900" s="1522"/>
      <c r="AB900" s="1522"/>
      <c r="AC900" s="1522"/>
      <c r="AD900" s="1522"/>
      <c r="AE900" s="1523"/>
      <c r="AZ900" s="34"/>
      <c r="BB900" s="30"/>
      <c r="BC900" s="850"/>
      <c r="BD900" s="1672"/>
      <c r="BE900" s="1672"/>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4">
        <f>Z898-(Z899+Z900)</f>
        <v>0</v>
      </c>
      <c r="AA901" s="1655"/>
      <c r="AB901" s="1655"/>
      <c r="AC901" s="1655"/>
      <c r="AD901" s="1655"/>
      <c r="AE901" s="1656"/>
      <c r="AZ901" s="34"/>
      <c r="BB901" s="30"/>
      <c r="BC901" s="850"/>
      <c r="BD901" s="1672"/>
      <c r="BE901" s="1672"/>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2"/>
      <c r="BE902" s="1672"/>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3"/>
      <c r="BE903" s="1672"/>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2"/>
      <c r="BE904" s="1742"/>
      <c r="BF904" s="1742"/>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9"/>
      <c r="BE905" s="1679"/>
      <c r="BF905" s="167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2"/>
      <c r="BE906" s="1672"/>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3"/>
      <c r="BE907" s="1672"/>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56" t="s">
        <v>96</v>
      </c>
      <c r="B909" s="1456"/>
      <c r="C909" s="1456"/>
      <c r="D909" s="1456"/>
      <c r="E909" s="1456"/>
      <c r="F909" s="1456"/>
      <c r="G909" s="1456"/>
      <c r="H909" s="1456"/>
      <c r="I909" s="1456"/>
      <c r="J909" s="1456"/>
      <c r="K909" s="1456"/>
      <c r="L909" s="1456"/>
      <c r="M909" s="1456"/>
      <c r="N909" s="1456"/>
      <c r="O909" s="1456"/>
      <c r="P909" s="1456"/>
      <c r="Q909" s="1456"/>
      <c r="R909" s="1456"/>
      <c r="S909" s="1456"/>
      <c r="T909" s="1456"/>
      <c r="U909" s="1456"/>
      <c r="V909" s="1456"/>
      <c r="W909" s="1456"/>
      <c r="X909" s="1456"/>
      <c r="Y909" s="1456"/>
      <c r="Z909" s="1456"/>
      <c r="AA909" s="1456"/>
      <c r="AB909" s="1456"/>
      <c r="AC909" s="1456"/>
      <c r="AD909" s="1456"/>
      <c r="AE909" s="1456"/>
      <c r="AF909" s="1456"/>
      <c r="AG909" s="1456"/>
      <c r="AH909" s="1456"/>
      <c r="AI909" s="1456"/>
      <c r="AJ909" s="1456"/>
      <c r="AK909" s="1456"/>
      <c r="AL909" s="1456"/>
      <c r="AM909" s="1456"/>
      <c r="AN909" s="1456"/>
      <c r="AO909" s="1456"/>
      <c r="AP909" s="1456"/>
      <c r="AQ909" s="1456"/>
      <c r="AR909" s="1456"/>
      <c r="AS909" s="1456"/>
      <c r="AT909" s="1456"/>
      <c r="AZ909" s="34"/>
      <c r="BA909" s="34"/>
      <c r="BB909" s="30"/>
      <c r="BC909" s="30"/>
      <c r="BD909" s="1673"/>
      <c r="BE909" s="1672"/>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56"/>
      <c r="B910" s="1456"/>
      <c r="C910" s="1456"/>
      <c r="D910" s="1456"/>
      <c r="E910" s="1456"/>
      <c r="F910" s="1456"/>
      <c r="G910" s="1456"/>
      <c r="H910" s="1456"/>
      <c r="I910" s="1456"/>
      <c r="J910" s="1456"/>
      <c r="K910" s="1456"/>
      <c r="L910" s="1456"/>
      <c r="M910" s="1456"/>
      <c r="N910" s="1456"/>
      <c r="O910" s="1456"/>
      <c r="P910" s="1456"/>
      <c r="Q910" s="1456"/>
      <c r="R910" s="1456"/>
      <c r="S910" s="1456"/>
      <c r="T910" s="1456"/>
      <c r="U910" s="1456"/>
      <c r="V910" s="1456"/>
      <c r="W910" s="1456"/>
      <c r="X910" s="1456"/>
      <c r="Y910" s="1456"/>
      <c r="Z910" s="1456"/>
      <c r="AA910" s="1456"/>
      <c r="AB910" s="1456"/>
      <c r="AC910" s="1456"/>
      <c r="AD910" s="1456"/>
      <c r="AE910" s="1456"/>
      <c r="AF910" s="1456"/>
      <c r="AG910" s="1456"/>
      <c r="AH910" s="1456"/>
      <c r="AI910" s="1456"/>
      <c r="AJ910" s="1456"/>
      <c r="AK910" s="1456"/>
      <c r="AL910" s="1456"/>
      <c r="AM910" s="1456"/>
      <c r="AN910" s="1456"/>
      <c r="AO910" s="1456"/>
      <c r="AP910" s="1456"/>
      <c r="AQ910" s="1456"/>
      <c r="AR910" s="1456"/>
      <c r="AS910" s="1456"/>
      <c r="AT910" s="145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58" t="s">
        <v>801</v>
      </c>
      <c r="G914" s="1559"/>
      <c r="H914" s="1559"/>
      <c r="I914" s="1559"/>
      <c r="J914" s="1559"/>
      <c r="K914" s="1559"/>
      <c r="L914" s="1559"/>
      <c r="M914" s="1559"/>
      <c r="N914" s="1559"/>
      <c r="O914" s="1559"/>
      <c r="P914" s="1559"/>
      <c r="Q914" s="1559"/>
      <c r="R914" s="1559"/>
      <c r="S914" s="1559"/>
      <c r="T914" s="1560"/>
      <c r="U914" s="1622" t="s">
        <v>31</v>
      </c>
      <c r="V914" s="1623"/>
      <c r="W914" s="1623"/>
      <c r="X914" s="1623"/>
      <c r="Y914" s="1623"/>
      <c r="Z914" s="162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24" t="s">
        <v>827</v>
      </c>
      <c r="G915" s="1625"/>
      <c r="H915" s="1625"/>
      <c r="I915" s="1625"/>
      <c r="J915" s="1625"/>
      <c r="K915" s="1625"/>
      <c r="L915" s="1625"/>
      <c r="M915" s="1625"/>
      <c r="N915" s="1625"/>
      <c r="O915" s="1625"/>
      <c r="P915" s="1625"/>
      <c r="Q915" s="1625"/>
      <c r="R915" s="1625"/>
      <c r="S915" s="1625"/>
      <c r="T915" s="1738"/>
      <c r="U915" s="1624"/>
      <c r="V915" s="1625"/>
      <c r="W915" s="1625"/>
      <c r="X915" s="1625"/>
      <c r="Y915" s="1625"/>
      <c r="Z915" s="162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26"/>
      <c r="G916" s="1627"/>
      <c r="H916" s="1627"/>
      <c r="I916" s="1627"/>
      <c r="J916" s="1627"/>
      <c r="K916" s="1627"/>
      <c r="L916" s="1627"/>
      <c r="M916" s="1627"/>
      <c r="N916" s="1627"/>
      <c r="O916" s="1627"/>
      <c r="P916" s="1627"/>
      <c r="Q916" s="1627"/>
      <c r="R916" s="1627"/>
      <c r="S916" s="1627"/>
      <c r="T916" s="1666"/>
      <c r="U916" s="1626"/>
      <c r="V916" s="1627"/>
      <c r="W916" s="1627"/>
      <c r="X916" s="1627"/>
      <c r="Y916" s="1627"/>
      <c r="Z916" s="1627"/>
      <c r="AA916" s="108"/>
      <c r="AB916" s="1744" t="s">
        <v>392</v>
      </c>
      <c r="AC916" s="1744"/>
      <c r="AD916" s="1744"/>
      <c r="AE916" s="1744"/>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432" t="s">
        <v>553</v>
      </c>
      <c r="V917" s="1433"/>
      <c r="W917" s="1433"/>
      <c r="X917" s="1433"/>
      <c r="Y917" s="1433"/>
      <c r="Z917" s="1434"/>
      <c r="AA917" s="1435">
        <f>AM554</f>
        <v>30000000</v>
      </c>
      <c r="AB917" s="1436"/>
      <c r="AC917" s="1436"/>
      <c r="AD917" s="1436"/>
      <c r="AE917" s="1436"/>
      <c r="AF917" s="143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432" t="s">
        <v>599</v>
      </c>
      <c r="V918" s="1433"/>
      <c r="W918" s="1433"/>
      <c r="X918" s="1433"/>
      <c r="Y918" s="1433"/>
      <c r="Z918" s="1434"/>
      <c r="AA918" s="1435"/>
      <c r="AB918" s="1436"/>
      <c r="AC918" s="1436"/>
      <c r="AD918" s="1436"/>
      <c r="AE918" s="1436"/>
      <c r="AF918" s="143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432" t="s">
        <v>599</v>
      </c>
      <c r="V919" s="1433"/>
      <c r="W919" s="1433"/>
      <c r="X919" s="1433"/>
      <c r="Y919" s="1433"/>
      <c r="Z919" s="1434"/>
      <c r="AA919" s="1435"/>
      <c r="AB919" s="1436"/>
      <c r="AC919" s="1436"/>
      <c r="AD919" s="1436"/>
      <c r="AE919" s="1436"/>
      <c r="AF919" s="143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432" t="s">
        <v>599</v>
      </c>
      <c r="V920" s="1433"/>
      <c r="W920" s="1433"/>
      <c r="X920" s="1433"/>
      <c r="Y920" s="1433"/>
      <c r="Z920" s="1434"/>
      <c r="AA920" s="1435"/>
      <c r="AB920" s="1436"/>
      <c r="AC920" s="1436"/>
      <c r="AD920" s="1436"/>
      <c r="AE920" s="1436"/>
      <c r="AF920" s="143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432" t="s">
        <v>599</v>
      </c>
      <c r="V921" s="1433"/>
      <c r="W921" s="1433"/>
      <c r="X921" s="1433"/>
      <c r="Y921" s="1433"/>
      <c r="Z921" s="1434"/>
      <c r="AA921" s="1435"/>
      <c r="AB921" s="1436"/>
      <c r="AC921" s="1436"/>
      <c r="AD921" s="1436"/>
      <c r="AE921" s="1436"/>
      <c r="AF921" s="143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432" t="s">
        <v>599</v>
      </c>
      <c r="V922" s="1433"/>
      <c r="W922" s="1433"/>
      <c r="X922" s="1433"/>
      <c r="Y922" s="1433"/>
      <c r="Z922" s="1434"/>
      <c r="AA922" s="1435"/>
      <c r="AB922" s="1436"/>
      <c r="AC922" s="1436"/>
      <c r="AD922" s="1436"/>
      <c r="AE922" s="1436"/>
      <c r="AF922" s="143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432" t="s">
        <v>599</v>
      </c>
      <c r="V923" s="1433"/>
      <c r="W923" s="1433"/>
      <c r="X923" s="1433"/>
      <c r="Y923" s="1433"/>
      <c r="Z923" s="1434"/>
      <c r="AA923" s="1435"/>
      <c r="AB923" s="1436"/>
      <c r="AC923" s="1436"/>
      <c r="AD923" s="1436"/>
      <c r="AE923" s="1436"/>
      <c r="AF923" s="143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432" t="s">
        <v>599</v>
      </c>
      <c r="V924" s="1433"/>
      <c r="W924" s="1433"/>
      <c r="X924" s="1433"/>
      <c r="Y924" s="1433"/>
      <c r="Z924" s="1434"/>
      <c r="AA924" s="1435"/>
      <c r="AB924" s="1436"/>
      <c r="AC924" s="1436"/>
      <c r="AD924" s="1436"/>
      <c r="AE924" s="1436"/>
      <c r="AF924" s="143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4" t="s">
        <v>2553</v>
      </c>
      <c r="G925" s="1635"/>
      <c r="H925" s="1635"/>
      <c r="I925" s="1635"/>
      <c r="J925" s="1635"/>
      <c r="K925" s="1635"/>
      <c r="L925" s="1635"/>
      <c r="M925" s="1635"/>
      <c r="N925" s="1635"/>
      <c r="O925" s="1635"/>
      <c r="P925" s="1635"/>
      <c r="Q925" s="1635"/>
      <c r="R925" s="1635"/>
      <c r="S925" s="1635"/>
      <c r="T925" s="1636"/>
      <c r="U925" s="1432" t="s">
        <v>599</v>
      </c>
      <c r="V925" s="1433"/>
      <c r="W925" s="1433"/>
      <c r="X925" s="1433"/>
      <c r="Y925" s="1433"/>
      <c r="Z925" s="1434"/>
      <c r="AA925" s="1435"/>
      <c r="AB925" s="1436"/>
      <c r="AC925" s="1436"/>
      <c r="AD925" s="1436"/>
      <c r="AE925" s="1436"/>
      <c r="AF925" s="143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4" t="s">
        <v>687</v>
      </c>
      <c r="G926" s="1635"/>
      <c r="H926" s="1635"/>
      <c r="I926" s="1635"/>
      <c r="J926" s="1635"/>
      <c r="K926" s="1635"/>
      <c r="L926" s="1635"/>
      <c r="M926" s="1635"/>
      <c r="N926" s="1635"/>
      <c r="O926" s="1635"/>
      <c r="P926" s="1635"/>
      <c r="Q926" s="1635"/>
      <c r="R926" s="1635"/>
      <c r="S926" s="1635"/>
      <c r="T926" s="1636"/>
      <c r="U926" s="1432" t="s">
        <v>599</v>
      </c>
      <c r="V926" s="1433"/>
      <c r="W926" s="1433"/>
      <c r="X926" s="1433"/>
      <c r="Y926" s="1433"/>
      <c r="Z926" s="1434"/>
      <c r="AA926" s="1435"/>
      <c r="AB926" s="1436"/>
      <c r="AC926" s="1436"/>
      <c r="AD926" s="1436"/>
      <c r="AE926" s="1436"/>
      <c r="AF926" s="143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4" t="s">
        <v>2554</v>
      </c>
      <c r="G927" s="1635"/>
      <c r="H927" s="1635"/>
      <c r="I927" s="1635"/>
      <c r="J927" s="1635"/>
      <c r="K927" s="1635"/>
      <c r="L927" s="1635"/>
      <c r="M927" s="1635"/>
      <c r="N927" s="1635"/>
      <c r="O927" s="1635"/>
      <c r="P927" s="1635"/>
      <c r="Q927" s="1635"/>
      <c r="R927" s="1635"/>
      <c r="S927" s="1635"/>
      <c r="T927" s="1636"/>
      <c r="U927" s="1432" t="s">
        <v>599</v>
      </c>
      <c r="V927" s="1433"/>
      <c r="W927" s="1433"/>
      <c r="X927" s="1433"/>
      <c r="Y927" s="1433"/>
      <c r="Z927" s="1434"/>
      <c r="AA927" s="1435"/>
      <c r="AB927" s="1436"/>
      <c r="AC927" s="1436"/>
      <c r="AD927" s="1436"/>
      <c r="AE927" s="1436"/>
      <c r="AF927" s="143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4" t="s">
        <v>2555</v>
      </c>
      <c r="G928" s="1635"/>
      <c r="H928" s="1635"/>
      <c r="I928" s="1635"/>
      <c r="J928" s="1635"/>
      <c r="K928" s="1635"/>
      <c r="L928" s="1635"/>
      <c r="M928" s="1635"/>
      <c r="N928" s="1635"/>
      <c r="O928" s="1635"/>
      <c r="P928" s="1635"/>
      <c r="Q928" s="1635"/>
      <c r="R928" s="1635"/>
      <c r="S928" s="1635"/>
      <c r="T928" s="1636"/>
      <c r="U928" s="1432" t="s">
        <v>599</v>
      </c>
      <c r="V928" s="1433"/>
      <c r="W928" s="1433"/>
      <c r="X928" s="1433"/>
      <c r="Y928" s="1433"/>
      <c r="Z928" s="1434"/>
      <c r="AA928" s="1435"/>
      <c r="AB928" s="1436"/>
      <c r="AC928" s="1436"/>
      <c r="AD928" s="1436"/>
      <c r="AE928" s="1436"/>
      <c r="AF928" s="143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4" t="s">
        <v>2556</v>
      </c>
      <c r="G929" s="1635"/>
      <c r="H929" s="1635"/>
      <c r="I929" s="1635"/>
      <c r="J929" s="1635"/>
      <c r="K929" s="1635"/>
      <c r="L929" s="1635"/>
      <c r="M929" s="1635"/>
      <c r="N929" s="1635"/>
      <c r="O929" s="1635"/>
      <c r="P929" s="1635"/>
      <c r="Q929" s="1635"/>
      <c r="R929" s="1635"/>
      <c r="S929" s="1635"/>
      <c r="T929" s="1636"/>
      <c r="U929" s="1432" t="s">
        <v>599</v>
      </c>
      <c r="V929" s="1433"/>
      <c r="W929" s="1433"/>
      <c r="X929" s="1433"/>
      <c r="Y929" s="1433"/>
      <c r="Z929" s="1434"/>
      <c r="AA929" s="1435"/>
      <c r="AB929" s="1436"/>
      <c r="AC929" s="1436"/>
      <c r="AD929" s="1436"/>
      <c r="AE929" s="1436"/>
      <c r="AF929" s="143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4" t="s">
        <v>2557</v>
      </c>
      <c r="G930" s="1635"/>
      <c r="H930" s="1635"/>
      <c r="I930" s="1635"/>
      <c r="J930" s="1635"/>
      <c r="K930" s="1635"/>
      <c r="L930" s="1635"/>
      <c r="M930" s="1635"/>
      <c r="N930" s="1635"/>
      <c r="O930" s="1635"/>
      <c r="P930" s="1635"/>
      <c r="Q930" s="1635"/>
      <c r="R930" s="1635"/>
      <c r="S930" s="1635"/>
      <c r="T930" s="1636"/>
      <c r="U930" s="1432" t="s">
        <v>599</v>
      </c>
      <c r="V930" s="1433"/>
      <c r="W930" s="1433"/>
      <c r="X930" s="1433"/>
      <c r="Y930" s="1433"/>
      <c r="Z930" s="1434"/>
      <c r="AA930" s="1435"/>
      <c r="AB930" s="1436"/>
      <c r="AC930" s="1436"/>
      <c r="AD930" s="1436"/>
      <c r="AE930" s="1436"/>
      <c r="AF930" s="143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4" t="s">
        <v>2558</v>
      </c>
      <c r="G931" s="1635"/>
      <c r="H931" s="1635"/>
      <c r="I931" s="1635"/>
      <c r="J931" s="1635"/>
      <c r="K931" s="1635"/>
      <c r="L931" s="1635"/>
      <c r="M931" s="1635"/>
      <c r="N931" s="1635"/>
      <c r="O931" s="1635"/>
      <c r="P931" s="1635"/>
      <c r="Q931" s="1635"/>
      <c r="R931" s="1635"/>
      <c r="S931" s="1635"/>
      <c r="T931" s="1636"/>
      <c r="U931" s="1432" t="s">
        <v>599</v>
      </c>
      <c r="V931" s="1433"/>
      <c r="W931" s="1433"/>
      <c r="X931" s="1433"/>
      <c r="Y931" s="1433"/>
      <c r="Z931" s="1434"/>
      <c r="AA931" s="1435"/>
      <c r="AB931" s="1436"/>
      <c r="AC931" s="1436"/>
      <c r="AD931" s="1436"/>
      <c r="AE931" s="1436"/>
      <c r="AF931" s="143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432" t="s">
        <v>599</v>
      </c>
      <c r="V932" s="1433"/>
      <c r="W932" s="1433"/>
      <c r="X932" s="1433"/>
      <c r="Y932" s="1433"/>
      <c r="Z932" s="1434"/>
      <c r="AA932" s="1435"/>
      <c r="AB932" s="1436"/>
      <c r="AC932" s="1436"/>
      <c r="AD932" s="1436"/>
      <c r="AE932" s="1436"/>
      <c r="AF932" s="143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432" t="s">
        <v>599</v>
      </c>
      <c r="V933" s="1433"/>
      <c r="W933" s="1433"/>
      <c r="X933" s="1433"/>
      <c r="Y933" s="1433"/>
      <c r="Z933" s="1434"/>
      <c r="AA933" s="1435"/>
      <c r="AB933" s="1436"/>
      <c r="AC933" s="1436"/>
      <c r="AD933" s="1436"/>
      <c r="AE933" s="1436"/>
      <c r="AF933" s="143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432" t="s">
        <v>599</v>
      </c>
      <c r="V934" s="1433"/>
      <c r="W934" s="1433"/>
      <c r="X934" s="1433"/>
      <c r="Y934" s="1433"/>
      <c r="Z934" s="1434"/>
      <c r="AA934" s="1435"/>
      <c r="AB934" s="1436"/>
      <c r="AC934" s="1436"/>
      <c r="AD934" s="1436"/>
      <c r="AE934" s="1436"/>
      <c r="AF934" s="143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39" t="s">
        <v>2562</v>
      </c>
      <c r="G935" s="1740"/>
      <c r="H935" s="1740"/>
      <c r="I935" s="1740"/>
      <c r="J935" s="1740"/>
      <c r="K935" s="1740"/>
      <c r="L935" s="1740"/>
      <c r="M935" s="1740"/>
      <c r="N935" s="1740"/>
      <c r="O935" s="1740"/>
      <c r="P935" s="1740"/>
      <c r="Q935" s="1740"/>
      <c r="R935" s="1740"/>
      <c r="S935" s="1740"/>
      <c r="T935" s="1741"/>
      <c r="U935" s="1432" t="s">
        <v>599</v>
      </c>
      <c r="V935" s="1433"/>
      <c r="W935" s="1433"/>
      <c r="X935" s="1433"/>
      <c r="Y935" s="1433"/>
      <c r="Z935" s="1434"/>
      <c r="AA935" s="1435"/>
      <c r="AB935" s="1436"/>
      <c r="AC935" s="1436"/>
      <c r="AD935" s="1436"/>
      <c r="AE935" s="1436"/>
      <c r="AF935" s="143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39" t="s">
        <v>2563</v>
      </c>
      <c r="G936" s="1740"/>
      <c r="H936" s="1740"/>
      <c r="I936" s="1740"/>
      <c r="J936" s="1740"/>
      <c r="K936" s="1740"/>
      <c r="L936" s="1740"/>
      <c r="M936" s="1740"/>
      <c r="N936" s="1740"/>
      <c r="O936" s="1740"/>
      <c r="P936" s="1740"/>
      <c r="Q936" s="1740"/>
      <c r="R936" s="1740"/>
      <c r="S936" s="1740"/>
      <c r="T936" s="1741"/>
      <c r="U936" s="1432" t="s">
        <v>599</v>
      </c>
      <c r="V936" s="1433"/>
      <c r="W936" s="1433"/>
      <c r="X936" s="1433"/>
      <c r="Y936" s="1433"/>
      <c r="Z936" s="1434"/>
      <c r="AA936" s="1435"/>
      <c r="AB936" s="1436"/>
      <c r="AC936" s="1436"/>
      <c r="AD936" s="1436"/>
      <c r="AE936" s="1436"/>
      <c r="AF936" s="143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4" t="s">
        <v>2559</v>
      </c>
      <c r="G937" s="1635"/>
      <c r="H937" s="1635"/>
      <c r="I937" s="1635"/>
      <c r="J937" s="1635"/>
      <c r="K937" s="1635"/>
      <c r="L937" s="1635"/>
      <c r="M937" s="1635"/>
      <c r="N937" s="1635"/>
      <c r="O937" s="1635"/>
      <c r="P937" s="1635"/>
      <c r="Q937" s="1635"/>
      <c r="R937" s="1635"/>
      <c r="S937" s="1635"/>
      <c r="T937" s="1636"/>
      <c r="U937" s="1432" t="s">
        <v>599</v>
      </c>
      <c r="V937" s="1433"/>
      <c r="W937" s="1433"/>
      <c r="X937" s="1433"/>
      <c r="Y937" s="1433"/>
      <c r="Z937" s="1434"/>
      <c r="AA937" s="1435"/>
      <c r="AB937" s="1436"/>
      <c r="AC937" s="1436"/>
      <c r="AD937" s="1436"/>
      <c r="AE937" s="1436"/>
      <c r="AF937" s="143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4" t="s">
        <v>2560</v>
      </c>
      <c r="G938" s="1635"/>
      <c r="H938" s="1635"/>
      <c r="I938" s="1635"/>
      <c r="J938" s="1635"/>
      <c r="K938" s="1635"/>
      <c r="L938" s="1635"/>
      <c r="M938" s="1635"/>
      <c r="N938" s="1635"/>
      <c r="O938" s="1635"/>
      <c r="P938" s="1635"/>
      <c r="Q938" s="1635"/>
      <c r="R938" s="1635"/>
      <c r="S938" s="1635"/>
      <c r="T938" s="1636"/>
      <c r="U938" s="1432" t="s">
        <v>599</v>
      </c>
      <c r="V938" s="1433"/>
      <c r="W938" s="1433"/>
      <c r="X938" s="1433"/>
      <c r="Y938" s="1433"/>
      <c r="Z938" s="1434"/>
      <c r="AA938" s="1435"/>
      <c r="AB938" s="1436"/>
      <c r="AC938" s="1436"/>
      <c r="AD938" s="1436"/>
      <c r="AE938" s="1436"/>
      <c r="AF938" s="143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4" t="s">
        <v>2561</v>
      </c>
      <c r="G939" s="1635"/>
      <c r="H939" s="1635"/>
      <c r="I939" s="1635"/>
      <c r="J939" s="1635"/>
      <c r="K939" s="1635"/>
      <c r="L939" s="1635"/>
      <c r="M939" s="1635"/>
      <c r="N939" s="1635"/>
      <c r="O939" s="1635"/>
      <c r="P939" s="1635"/>
      <c r="Q939" s="1635"/>
      <c r="R939" s="1635"/>
      <c r="S939" s="1635"/>
      <c r="T939" s="1636"/>
      <c r="U939" s="1432" t="s">
        <v>599</v>
      </c>
      <c r="V939" s="1433"/>
      <c r="W939" s="1433"/>
      <c r="X939" s="1433"/>
      <c r="Y939" s="1433"/>
      <c r="Z939" s="1434"/>
      <c r="AA939" s="1435"/>
      <c r="AB939" s="1436"/>
      <c r="AC939" s="1436"/>
      <c r="AD939" s="1436"/>
      <c r="AE939" s="1436"/>
      <c r="AF939" s="143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432" t="s">
        <v>599</v>
      </c>
      <c r="V940" s="1433"/>
      <c r="W940" s="1433"/>
      <c r="X940" s="1433"/>
      <c r="Y940" s="1433"/>
      <c r="Z940" s="1434"/>
      <c r="AA940" s="1435"/>
      <c r="AB940" s="1436"/>
      <c r="AC940" s="1436"/>
      <c r="AD940" s="1436"/>
      <c r="AE940" s="1436"/>
      <c r="AF940" s="143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39" t="s">
        <v>2564</v>
      </c>
      <c r="G941" s="1740"/>
      <c r="H941" s="1740"/>
      <c r="I941" s="1740"/>
      <c r="J941" s="1740"/>
      <c r="K941" s="1740"/>
      <c r="L941" s="1740"/>
      <c r="M941" s="1740"/>
      <c r="N941" s="1740"/>
      <c r="O941" s="1740"/>
      <c r="P941" s="1740"/>
      <c r="Q941" s="1740"/>
      <c r="R941" s="1740"/>
      <c r="S941" s="1740"/>
      <c r="T941" s="1741"/>
      <c r="U941" s="1432" t="s">
        <v>599</v>
      </c>
      <c r="V941" s="1433"/>
      <c r="W941" s="1433"/>
      <c r="X941" s="1433"/>
      <c r="Y941" s="1433"/>
      <c r="Z941" s="1434"/>
      <c r="AA941" s="1435"/>
      <c r="AB941" s="1436"/>
      <c r="AC941" s="1436"/>
      <c r="AD941" s="1436"/>
      <c r="AE941" s="1436"/>
      <c r="AF941" s="143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432" t="s">
        <v>599</v>
      </c>
      <c r="V942" s="1433"/>
      <c r="W942" s="1433"/>
      <c r="X942" s="1433"/>
      <c r="Y942" s="1433"/>
      <c r="Z942" s="1434"/>
      <c r="AA942" s="1435"/>
      <c r="AB942" s="1436"/>
      <c r="AC942" s="1436"/>
      <c r="AD942" s="1436"/>
      <c r="AE942" s="1436"/>
      <c r="AF942" s="143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39" t="s">
        <v>2565</v>
      </c>
      <c r="G943" s="1740"/>
      <c r="H943" s="1740"/>
      <c r="I943" s="1740"/>
      <c r="J943" s="1740"/>
      <c r="K943" s="1740"/>
      <c r="L943" s="1740"/>
      <c r="M943" s="1740"/>
      <c r="N943" s="1740"/>
      <c r="O943" s="1740"/>
      <c r="P943" s="1740"/>
      <c r="Q943" s="1740"/>
      <c r="R943" s="1740"/>
      <c r="S943" s="1740"/>
      <c r="T943" s="1741"/>
      <c r="U943" s="1432" t="s">
        <v>599</v>
      </c>
      <c r="V943" s="1433"/>
      <c r="W943" s="1433"/>
      <c r="X943" s="1433"/>
      <c r="Y943" s="1433"/>
      <c r="Z943" s="1434"/>
      <c r="AA943" s="1435"/>
      <c r="AB943" s="1436"/>
      <c r="AC943" s="1436"/>
      <c r="AD943" s="1436"/>
      <c r="AE943" s="1436"/>
      <c r="AF943" s="143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432" t="s">
        <v>677</v>
      </c>
      <c r="Q944" s="1433"/>
      <c r="R944" s="1433"/>
      <c r="S944" s="1433"/>
      <c r="T944" s="1434"/>
      <c r="U944" s="1432" t="s">
        <v>599</v>
      </c>
      <c r="V944" s="1433"/>
      <c r="W944" s="1433"/>
      <c r="X944" s="1433"/>
      <c r="Y944" s="1433"/>
      <c r="Z944" s="1434"/>
      <c r="AA944" s="1435"/>
      <c r="AB944" s="1436"/>
      <c r="AC944" s="1436"/>
      <c r="AD944" s="1436"/>
      <c r="AE944" s="1436"/>
      <c r="AF944" s="143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4" t="s">
        <v>2552</v>
      </c>
      <c r="G945" s="1635"/>
      <c r="H945" s="1636"/>
      <c r="I945" s="1396" t="s">
        <v>335</v>
      </c>
      <c r="J945" s="1397"/>
      <c r="K945" s="1397"/>
      <c r="L945" s="1397"/>
      <c r="M945" s="1397"/>
      <c r="N945" s="1397"/>
      <c r="O945" s="1397"/>
      <c r="P945" s="1397"/>
      <c r="Q945" s="1397"/>
      <c r="R945" s="1397"/>
      <c r="S945" s="1397"/>
      <c r="T945" s="1398"/>
      <c r="U945" s="1432" t="s">
        <v>599</v>
      </c>
      <c r="V945" s="1433"/>
      <c r="W945" s="1433"/>
      <c r="X945" s="1433"/>
      <c r="Y945" s="1433"/>
      <c r="Z945" s="1434"/>
      <c r="AA945" s="1435"/>
      <c r="AB945" s="1436"/>
      <c r="AC945" s="1436"/>
      <c r="AD945" s="1436"/>
      <c r="AE945" s="1436"/>
      <c r="AF945" s="143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6" t="s">
        <v>335</v>
      </c>
      <c r="J946" s="1397"/>
      <c r="K946" s="1397"/>
      <c r="L946" s="1397"/>
      <c r="M946" s="1397"/>
      <c r="N946" s="1397"/>
      <c r="O946" s="1397"/>
      <c r="P946" s="1397"/>
      <c r="Q946" s="1397"/>
      <c r="R946" s="1397"/>
      <c r="S946" s="1397"/>
      <c r="T946" s="1398"/>
      <c r="U946" s="1432" t="s">
        <v>599</v>
      </c>
      <c r="V946" s="1433"/>
      <c r="W946" s="1433"/>
      <c r="X946" s="1433"/>
      <c r="Y946" s="1433"/>
      <c r="Z946" s="1434"/>
      <c r="AA946" s="1435"/>
      <c r="AB946" s="1436"/>
      <c r="AC946" s="1436"/>
      <c r="AD946" s="1436"/>
      <c r="AE946" s="1436"/>
      <c r="AF946" s="143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61" t="s">
        <v>335</v>
      </c>
      <c r="J947" s="1562"/>
      <c r="K947" s="1562"/>
      <c r="L947" s="1562"/>
      <c r="M947" s="1562"/>
      <c r="N947" s="1562"/>
      <c r="O947" s="1562"/>
      <c r="P947" s="1562"/>
      <c r="Q947" s="1562"/>
      <c r="R947" s="1562"/>
      <c r="S947" s="1562"/>
      <c r="T947" s="1563"/>
      <c r="U947" s="1432" t="s">
        <v>599</v>
      </c>
      <c r="V947" s="1433"/>
      <c r="W947" s="1433"/>
      <c r="X947" s="1433"/>
      <c r="Y947" s="1433"/>
      <c r="Z947" s="1434"/>
      <c r="AA947" s="1435"/>
      <c r="AB947" s="1436"/>
      <c r="AC947" s="1436"/>
      <c r="AD947" s="1436"/>
      <c r="AE947" s="1436"/>
      <c r="AF947" s="143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396" t="s">
        <v>2766</v>
      </c>
      <c r="J948" s="1562"/>
      <c r="K948" s="1562"/>
      <c r="L948" s="1562"/>
      <c r="M948" s="1562"/>
      <c r="N948" s="1562"/>
      <c r="O948" s="1562"/>
      <c r="P948" s="1562"/>
      <c r="Q948" s="1562"/>
      <c r="R948" s="1562"/>
      <c r="S948" s="1562"/>
      <c r="T948" s="1563"/>
      <c r="U948" s="1432" t="s">
        <v>553</v>
      </c>
      <c r="V948" s="1433"/>
      <c r="W948" s="1433"/>
      <c r="X948" s="1433"/>
      <c r="Y948" s="1433"/>
      <c r="Z948" s="1434"/>
      <c r="AA948" s="1435">
        <f>AM555</f>
        <v>5000000</v>
      </c>
      <c r="AB948" s="1436"/>
      <c r="AC948" s="1436"/>
      <c r="AD948" s="1436"/>
      <c r="AE948" s="1436"/>
      <c r="AF948" s="143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61" t="s">
        <v>335</v>
      </c>
      <c r="J949" s="1562"/>
      <c r="K949" s="1562"/>
      <c r="L949" s="1562"/>
      <c r="M949" s="1562"/>
      <c r="N949" s="1562"/>
      <c r="O949" s="1562"/>
      <c r="P949" s="1562"/>
      <c r="Q949" s="1562"/>
      <c r="R949" s="1562"/>
      <c r="S949" s="1562"/>
      <c r="T949" s="1563"/>
      <c r="U949" s="1432" t="s">
        <v>599</v>
      </c>
      <c r="V949" s="1433"/>
      <c r="W949" s="1433"/>
      <c r="X949" s="1433"/>
      <c r="Y949" s="1433"/>
      <c r="Z949" s="1434"/>
      <c r="AA949" s="1435"/>
      <c r="AB949" s="1436"/>
      <c r="AC949" s="1436"/>
      <c r="AD949" s="1436"/>
      <c r="AE949" s="1436"/>
      <c r="AF949" s="143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81"/>
      <c r="N954" s="1582"/>
      <c r="O954" s="1582"/>
      <c r="P954" s="1582"/>
      <c r="Q954" s="1582"/>
      <c r="R954" s="1582"/>
      <c r="S954" s="1583"/>
      <c r="U954" s="66" t="s">
        <v>11</v>
      </c>
      <c r="V954" s="5"/>
      <c r="W954" s="5"/>
      <c r="X954" s="5"/>
      <c r="Y954" s="5"/>
      <c r="Z954" s="5"/>
      <c r="AA954" s="5"/>
      <c r="AB954" s="5"/>
      <c r="AC954" s="5"/>
      <c r="AD954" s="46"/>
      <c r="AE954" s="1581"/>
      <c r="AF954" s="1582"/>
      <c r="AG954" s="1582"/>
      <c r="AH954" s="1582"/>
      <c r="AI954" s="1582"/>
      <c r="AJ954" s="1582"/>
      <c r="AK954" s="158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90"/>
      <c r="N955" s="1591"/>
      <c r="O955" s="1591"/>
      <c r="P955" s="1591"/>
      <c r="Q955" s="1591"/>
      <c r="R955" s="1591"/>
      <c r="S955" s="1592"/>
      <c r="U955" s="66" t="s">
        <v>12</v>
      </c>
      <c r="V955" s="5"/>
      <c r="W955" s="5"/>
      <c r="X955" s="5"/>
      <c r="Y955" s="5"/>
      <c r="Z955" s="5"/>
      <c r="AA955" s="5"/>
      <c r="AB955" s="5"/>
      <c r="AC955" s="5"/>
      <c r="AD955" s="46"/>
      <c r="AE955" s="1590"/>
      <c r="AF955" s="1591"/>
      <c r="AG955" s="1591"/>
      <c r="AH955" s="1591"/>
      <c r="AI955" s="1591"/>
      <c r="AJ955" s="1591"/>
      <c r="AK955" s="159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593" t="s">
        <v>308</v>
      </c>
      <c r="K956" s="1594"/>
      <c r="L956" s="1594"/>
      <c r="M956" s="1594"/>
      <c r="N956" s="1594"/>
      <c r="O956" s="1594"/>
      <c r="P956" s="1594"/>
      <c r="Q956" s="1594"/>
      <c r="R956" s="1594"/>
      <c r="S956" s="1595"/>
      <c r="U956" s="66" t="s">
        <v>892</v>
      </c>
      <c r="V956" s="5"/>
      <c r="W956" s="5"/>
      <c r="AB956" s="1593" t="s">
        <v>308</v>
      </c>
      <c r="AC956" s="1594"/>
      <c r="AD956" s="1594"/>
      <c r="AE956" s="1594"/>
      <c r="AF956" s="1594"/>
      <c r="AG956" s="1594"/>
      <c r="AH956" s="1594"/>
      <c r="AI956" s="1594"/>
      <c r="AJ956" s="1594"/>
      <c r="AK956" s="159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45"/>
      <c r="N957" s="1736"/>
      <c r="O957" s="1736"/>
      <c r="P957" s="1736"/>
      <c r="Q957" s="1736"/>
      <c r="R957" s="1736"/>
      <c r="S957" s="1737"/>
      <c r="U957" s="66" t="s">
        <v>13</v>
      </c>
      <c r="V957" s="5"/>
      <c r="W957" s="5"/>
      <c r="X957" s="5"/>
      <c r="Y957" s="5"/>
      <c r="Z957" s="5"/>
      <c r="AA957" s="5"/>
      <c r="AB957" s="5"/>
      <c r="AC957" s="5"/>
      <c r="AD957" s="46"/>
      <c r="AE957" s="1735"/>
      <c r="AF957" s="1736"/>
      <c r="AG957" s="1736"/>
      <c r="AH957" s="1736"/>
      <c r="AI957" s="1736"/>
      <c r="AJ957" s="1736"/>
      <c r="AK957" s="1737"/>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9"/>
      <c r="N958" s="1380"/>
      <c r="O958" s="1380"/>
      <c r="P958" s="1380"/>
      <c r="Q958" s="1380"/>
      <c r="R958" s="1380"/>
      <c r="S958" s="1381"/>
      <c r="U958" s="66" t="s">
        <v>14</v>
      </c>
      <c r="V958" s="5"/>
      <c r="W958" s="5"/>
      <c r="X958" s="5"/>
      <c r="Y958" s="5"/>
      <c r="Z958" s="5"/>
      <c r="AA958" s="5"/>
      <c r="AB958" s="5"/>
      <c r="AC958" s="5"/>
      <c r="AD958" s="46"/>
      <c r="AE958" s="1379"/>
      <c r="AF958" s="1380"/>
      <c r="AG958" s="1380"/>
      <c r="AH958" s="1380"/>
      <c r="AI958" s="1380"/>
      <c r="AJ958" s="1380"/>
      <c r="AK958" s="138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5"/>
      <c r="N959" s="1436"/>
      <c r="O959" s="1436"/>
      <c r="P959" s="1436"/>
      <c r="Q959" s="1436"/>
      <c r="R959" s="1436"/>
      <c r="S959" s="1437"/>
      <c r="U959" s="66" t="s">
        <v>15</v>
      </c>
      <c r="V959" s="5"/>
      <c r="W959" s="5"/>
      <c r="X959" s="5"/>
      <c r="Y959" s="5"/>
      <c r="Z959" s="5"/>
      <c r="AA959" s="5"/>
      <c r="AB959" s="5"/>
      <c r="AC959" s="5"/>
      <c r="AD959" s="46"/>
      <c r="AE959" s="1435"/>
      <c r="AF959" s="1436"/>
      <c r="AG959" s="1436"/>
      <c r="AH959" s="1436"/>
      <c r="AI959" s="1436"/>
      <c r="AJ959" s="1436"/>
      <c r="AK959" s="143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5"/>
      <c r="N960" s="1436"/>
      <c r="O960" s="1436"/>
      <c r="P960" s="1436"/>
      <c r="Q960" s="1436"/>
      <c r="R960" s="1436"/>
      <c r="S960" s="1437"/>
      <c r="U960" s="66" t="s">
        <v>16</v>
      </c>
      <c r="V960" s="5"/>
      <c r="W960" s="5"/>
      <c r="X960" s="5"/>
      <c r="Y960" s="5"/>
      <c r="Z960" s="5"/>
      <c r="AA960" s="5"/>
      <c r="AB960" s="5"/>
      <c r="AC960" s="5"/>
      <c r="AD960" s="46"/>
      <c r="AE960" s="1435"/>
      <c r="AF960" s="1436"/>
      <c r="AG960" s="1436"/>
      <c r="AH960" s="1436"/>
      <c r="AI960" s="1436"/>
      <c r="AJ960" s="1436"/>
      <c r="AK960" s="143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600"/>
      <c r="N961" s="1601"/>
      <c r="O961" s="1601"/>
      <c r="P961" s="1601"/>
      <c r="Q961" s="1601"/>
      <c r="R961" s="1601"/>
      <c r="S961" s="1602"/>
      <c r="U961" s="121" t="s">
        <v>1773</v>
      </c>
      <c r="V961" s="5"/>
      <c r="W961" s="5"/>
      <c r="X961" s="5"/>
      <c r="Y961" s="5"/>
      <c r="Z961" s="5"/>
      <c r="AA961" s="5"/>
      <c r="AB961" s="5"/>
      <c r="AC961" s="5"/>
      <c r="AD961" s="46"/>
      <c r="AE961" s="1600"/>
      <c r="AF961" s="1601"/>
      <c r="AG961" s="1601"/>
      <c r="AH961" s="1601"/>
      <c r="AI961" s="1601"/>
      <c r="AJ961" s="1601"/>
      <c r="AK961" s="160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555"/>
      <c r="N966" s="1556"/>
      <c r="O966" s="1556"/>
      <c r="P966" s="1556"/>
      <c r="Q966" s="1556"/>
      <c r="R966" s="1556"/>
      <c r="S966" s="1557"/>
      <c r="T966" s="66" t="s">
        <v>799</v>
      </c>
      <c r="U966" s="5"/>
      <c r="V966" s="5"/>
      <c r="W966" s="5"/>
      <c r="X966" s="5"/>
      <c r="Y966" s="5"/>
      <c r="Z966" s="46"/>
      <c r="AA966" s="1555"/>
      <c r="AB966" s="1556"/>
      <c r="AC966" s="1556"/>
      <c r="AD966" s="1556"/>
      <c r="AE966" s="1556"/>
      <c r="AF966" s="1556"/>
      <c r="AG966" s="1557"/>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555"/>
      <c r="N967" s="1556"/>
      <c r="O967" s="1556"/>
      <c r="P967" s="1556"/>
      <c r="Q967" s="1556"/>
      <c r="R967" s="1556"/>
      <c r="S967" s="1557"/>
      <c r="T967" s="66" t="s">
        <v>798</v>
      </c>
      <c r="U967" s="5"/>
      <c r="V967" s="5"/>
      <c r="W967" s="5"/>
      <c r="X967" s="5"/>
      <c r="Y967" s="5"/>
      <c r="Z967" s="46"/>
      <c r="AA967" s="1555"/>
      <c r="AB967" s="1556"/>
      <c r="AC967" s="1556"/>
      <c r="AD967" s="1556"/>
      <c r="AE967" s="1556"/>
      <c r="AF967" s="1556"/>
      <c r="AG967" s="1557"/>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731" t="s">
        <v>599</v>
      </c>
      <c r="N968" s="1732"/>
      <c r="O968" s="1732"/>
      <c r="P968" s="1732"/>
      <c r="Q968" s="1732"/>
      <c r="R968" s="1732"/>
      <c r="S968" s="1733"/>
      <c r="T968" s="45" t="s">
        <v>338</v>
      </c>
      <c r="U968" s="5"/>
      <c r="V968" s="5"/>
      <c r="W968" s="5"/>
      <c r="X968" s="5"/>
      <c r="Y968" s="5"/>
      <c r="Z968" s="46"/>
      <c r="AA968" s="1555"/>
      <c r="AB968" s="1556"/>
      <c r="AC968" s="1556"/>
      <c r="AD968" s="1556"/>
      <c r="AE968" s="1556"/>
      <c r="AF968" s="1556"/>
      <c r="AG968" s="1557"/>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555"/>
      <c r="N969" s="1556"/>
      <c r="O969" s="1556"/>
      <c r="P969" s="1556"/>
      <c r="Q969" s="1556"/>
      <c r="R969" s="1556"/>
      <c r="S969" s="1557"/>
      <c r="T969" s="45" t="s">
        <v>339</v>
      </c>
      <c r="U969" s="5"/>
      <c r="V969" s="5"/>
      <c r="W969" s="5"/>
      <c r="X969" s="5"/>
      <c r="Y969" s="5"/>
      <c r="Z969" s="46"/>
      <c r="AA969" s="1555"/>
      <c r="AB969" s="1556"/>
      <c r="AC969" s="1556"/>
      <c r="AD969" s="1556"/>
      <c r="AE969" s="1556"/>
      <c r="AF969" s="1556"/>
      <c r="AG969" s="1557"/>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555"/>
      <c r="N970" s="1556"/>
      <c r="O970" s="1556"/>
      <c r="P970" s="1556"/>
      <c r="Q970" s="1556"/>
      <c r="R970" s="1556"/>
      <c r="S970" s="1557"/>
      <c r="T970" s="45" t="s">
        <v>377</v>
      </c>
      <c r="U970" s="5"/>
      <c r="V970" s="5"/>
      <c r="W970" s="5"/>
      <c r="X970" s="5"/>
      <c r="Y970" s="5"/>
      <c r="Z970" s="46"/>
      <c r="AA970" s="1555"/>
      <c r="AB970" s="1556"/>
      <c r="AC970" s="1556"/>
      <c r="AD970" s="1556"/>
      <c r="AE970" s="1556"/>
      <c r="AF970" s="1556"/>
      <c r="AG970" s="1557"/>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593" t="s">
        <v>308</v>
      </c>
      <c r="N971" s="1594"/>
      <c r="O971" s="1594"/>
      <c r="P971" s="1594"/>
      <c r="Q971" s="1594"/>
      <c r="R971" s="1594"/>
      <c r="S971" s="1595"/>
      <c r="T971" s="1631"/>
      <c r="U971" s="1632"/>
      <c r="V971" s="1632"/>
      <c r="W971" s="1632"/>
      <c r="X971" s="1632"/>
      <c r="Y971" s="1632"/>
      <c r="Z971" s="1633"/>
      <c r="AA971" s="1555"/>
      <c r="AB971" s="1556"/>
      <c r="AC971" s="1556"/>
      <c r="AD971" s="1556"/>
      <c r="AE971" s="1556"/>
      <c r="AF971" s="1556"/>
      <c r="AG971" s="1557"/>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555"/>
      <c r="N972" s="1556"/>
      <c r="O972" s="1556"/>
      <c r="P972" s="1556"/>
      <c r="Q972" s="1556"/>
      <c r="R972" s="1556"/>
      <c r="S972" s="1557"/>
      <c r="T972" s="1631"/>
      <c r="U972" s="1632"/>
      <c r="V972" s="1632"/>
      <c r="W972" s="1632"/>
      <c r="X972" s="1632"/>
      <c r="Y972" s="1632"/>
      <c r="Z972" s="1633"/>
      <c r="AA972" s="1555"/>
      <c r="AB972" s="1556"/>
      <c r="AC972" s="1556"/>
      <c r="AD972" s="1556"/>
      <c r="AE972" s="1556"/>
      <c r="AF972" s="1556"/>
      <c r="AG972" s="1557"/>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702" t="s">
        <v>677</v>
      </c>
      <c r="P973" s="1703"/>
      <c r="Q973" s="92"/>
      <c r="R973" s="92"/>
      <c r="S973" s="93"/>
      <c r="T973" s="41" t="s">
        <v>170</v>
      </c>
      <c r="U973" s="42"/>
      <c r="V973" s="42"/>
      <c r="W973" s="1667" t="s">
        <v>335</v>
      </c>
      <c r="X973" s="1668"/>
      <c r="Y973" s="1668"/>
      <c r="Z973" s="1668"/>
      <c r="AA973" s="1668"/>
      <c r="AB973" s="1668"/>
      <c r="AC973" s="1668"/>
      <c r="AD973" s="1668"/>
      <c r="AE973" s="1668"/>
      <c r="AF973" s="1668"/>
      <c r="AG973" s="166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0" t="s">
        <v>33</v>
      </c>
      <c r="G974" s="1471"/>
      <c r="H974" s="1471"/>
      <c r="I974" s="1471"/>
      <c r="J974" s="1471"/>
      <c r="K974" s="1471"/>
      <c r="L974" s="1471"/>
      <c r="M974" s="1555"/>
      <c r="N974" s="1556"/>
      <c r="O974" s="1556"/>
      <c r="P974" s="1556"/>
      <c r="Q974" s="1556"/>
      <c r="R974" s="1556"/>
      <c r="S974" s="1557"/>
      <c r="T974" s="47"/>
      <c r="U974" s="48"/>
      <c r="V974" s="48"/>
      <c r="W974" s="48"/>
      <c r="X974" s="48"/>
      <c r="Y974" s="48"/>
      <c r="Z974" s="124" t="s">
        <v>134</v>
      </c>
      <c r="AA974" s="1628"/>
      <c r="AB974" s="1629"/>
      <c r="AC974" s="1629"/>
      <c r="AD974" s="1629"/>
      <c r="AE974" s="1629"/>
      <c r="AF974" s="1629"/>
      <c r="AG974" s="163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2"/>
      <c r="BH975" s="1672"/>
      <c r="BI975" s="1672"/>
      <c r="BJ975" s="1672"/>
      <c r="BK975" s="1672"/>
      <c r="BL975" s="1672"/>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56" t="s">
        <v>556</v>
      </c>
      <c r="B978" s="1456"/>
      <c r="C978" s="1456"/>
      <c r="D978" s="1456"/>
      <c r="E978" s="1456"/>
      <c r="F978" s="1456"/>
      <c r="G978" s="1456"/>
      <c r="H978" s="1456"/>
      <c r="I978" s="1456"/>
      <c r="J978" s="1456"/>
      <c r="K978" s="1456"/>
      <c r="L978" s="1456"/>
      <c r="M978" s="1456"/>
      <c r="N978" s="1456"/>
      <c r="O978" s="1456"/>
      <c r="P978" s="1456"/>
      <c r="Q978" s="1456"/>
      <c r="R978" s="1456"/>
      <c r="S978" s="1456"/>
      <c r="T978" s="1456"/>
      <c r="U978" s="1456"/>
      <c r="V978" s="1456"/>
      <c r="W978" s="1456"/>
      <c r="X978" s="1456"/>
      <c r="Y978" s="1456"/>
      <c r="Z978" s="1456"/>
      <c r="AA978" s="1456"/>
      <c r="AB978" s="1456"/>
      <c r="AC978" s="1456"/>
      <c r="AD978" s="1456"/>
      <c r="AE978" s="1456"/>
      <c r="AF978" s="1456"/>
      <c r="AG978" s="1456"/>
      <c r="AH978" s="1456"/>
      <c r="AI978" s="1456"/>
      <c r="AJ978" s="1456"/>
      <c r="AK978" s="1456"/>
      <c r="AL978" s="1456"/>
      <c r="AM978" s="1456"/>
      <c r="AN978" s="1456"/>
      <c r="AO978" s="1456"/>
      <c r="AP978" s="1456"/>
      <c r="AQ978" s="1456"/>
      <c r="AR978" s="1456"/>
      <c r="AS978" s="1456"/>
      <c r="AT978" s="145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56"/>
      <c r="B979" s="1456"/>
      <c r="C979" s="1456"/>
      <c r="D979" s="1456"/>
      <c r="E979" s="1456"/>
      <c r="F979" s="1456"/>
      <c r="G979" s="1456"/>
      <c r="H979" s="1456"/>
      <c r="I979" s="1456"/>
      <c r="J979" s="1456"/>
      <c r="K979" s="1456"/>
      <c r="L979" s="1456"/>
      <c r="M979" s="1456"/>
      <c r="N979" s="1456"/>
      <c r="O979" s="1456"/>
      <c r="P979" s="1456"/>
      <c r="Q979" s="1456"/>
      <c r="R979" s="1456"/>
      <c r="S979" s="1456"/>
      <c r="T979" s="1456"/>
      <c r="U979" s="1456"/>
      <c r="V979" s="1456"/>
      <c r="W979" s="1456"/>
      <c r="X979" s="1456"/>
      <c r="Y979" s="1456"/>
      <c r="Z979" s="1456"/>
      <c r="AA979" s="1456"/>
      <c r="AB979" s="1456"/>
      <c r="AC979" s="1456"/>
      <c r="AD979" s="1456"/>
      <c r="AE979" s="1456"/>
      <c r="AF979" s="1456"/>
      <c r="AG979" s="1456"/>
      <c r="AH979" s="1456"/>
      <c r="AI979" s="1456"/>
      <c r="AJ979" s="1456"/>
      <c r="AK979" s="1456"/>
      <c r="AL979" s="1456"/>
      <c r="AM979" s="1456"/>
      <c r="AN979" s="1456"/>
      <c r="AO979" s="1456"/>
      <c r="AP979" s="1456"/>
      <c r="AQ979" s="1456"/>
      <c r="AR979" s="1456"/>
      <c r="AS979" s="1456"/>
      <c r="AT979" s="145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56"/>
      <c r="B980" s="1456"/>
      <c r="C980" s="1456"/>
      <c r="D980" s="1456"/>
      <c r="E980" s="1456"/>
      <c r="F980" s="1456"/>
      <c r="G980" s="1456"/>
      <c r="H980" s="1456"/>
      <c r="I980" s="1456"/>
      <c r="J980" s="1456"/>
      <c r="K980" s="1456"/>
      <c r="L980" s="1456"/>
      <c r="M980" s="1456"/>
      <c r="N980" s="1456"/>
      <c r="O980" s="1456"/>
      <c r="P980" s="1456"/>
      <c r="Q980" s="1456"/>
      <c r="R980" s="1456"/>
      <c r="S980" s="1456"/>
      <c r="T980" s="1456"/>
      <c r="U980" s="1456"/>
      <c r="V980" s="1456"/>
      <c r="W980" s="1456"/>
      <c r="X980" s="1456"/>
      <c r="Y980" s="1456"/>
      <c r="Z980" s="1456"/>
      <c r="AA980" s="1456"/>
      <c r="AB980" s="1456"/>
      <c r="AC980" s="1456"/>
      <c r="AD980" s="1456"/>
      <c r="AE980" s="1456"/>
      <c r="AF980" s="1456"/>
      <c r="AG980" s="1456"/>
      <c r="AH980" s="1456"/>
      <c r="AI980" s="1456"/>
      <c r="AJ980" s="1456"/>
      <c r="AK980" s="1456"/>
      <c r="AL980" s="1456"/>
      <c r="AM980" s="1456"/>
      <c r="AN980" s="1456"/>
      <c r="AO980" s="1456"/>
      <c r="AP980" s="1456"/>
      <c r="AQ980" s="1456"/>
      <c r="AR980" s="1456"/>
      <c r="AS980" s="1456"/>
      <c r="AT980" s="145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64" t="s">
        <v>646</v>
      </c>
      <c r="E984" s="1565"/>
      <c r="F984" s="1565"/>
      <c r="G984" s="1565"/>
      <c r="H984" s="1565"/>
      <c r="I984" s="1565"/>
      <c r="J984" s="1565"/>
      <c r="K984" s="1565"/>
      <c r="L984" s="1565"/>
      <c r="M984" s="1565"/>
      <c r="N984" s="1565"/>
      <c r="O984" s="1565"/>
      <c r="P984" s="1565"/>
      <c r="Q984" s="1566"/>
      <c r="R984" s="1564" t="s">
        <v>647</v>
      </c>
      <c r="S984" s="1565"/>
      <c r="T984" s="1565"/>
      <c r="U984" s="1565"/>
      <c r="V984" s="1565"/>
      <c r="W984" s="1565"/>
      <c r="X984" s="1565"/>
      <c r="Y984" s="1565"/>
      <c r="Z984" s="1565"/>
      <c r="AA984" s="1566"/>
      <c r="AB984" s="1564" t="s">
        <v>648</v>
      </c>
      <c r="AC984" s="1565"/>
      <c r="AD984" s="1565"/>
      <c r="AE984" s="1565"/>
      <c r="AF984" s="1565"/>
      <c r="AG984" s="1565"/>
      <c r="AH984" s="1565"/>
      <c r="AI984" s="1566"/>
      <c r="AJ984" s="1564" t="s">
        <v>649</v>
      </c>
      <c r="AK984" s="1565"/>
      <c r="AL984" s="1565"/>
      <c r="AM984" s="1565"/>
      <c r="AN984" s="1565"/>
      <c r="AO984" s="1565"/>
      <c r="AP984" s="1565"/>
      <c r="AQ984" s="1566"/>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5" t="s">
        <v>641</v>
      </c>
      <c r="E985" s="1416"/>
      <c r="F985" s="1416"/>
      <c r="G985" s="1416"/>
      <c r="H985" s="1416"/>
      <c r="I985" s="1416"/>
      <c r="J985" s="1416"/>
      <c r="K985" s="1416"/>
      <c r="L985" s="1416"/>
      <c r="M985" s="1416"/>
      <c r="N985" s="1416"/>
      <c r="O985" s="1416"/>
      <c r="P985" s="1416"/>
      <c r="Q985" s="1417"/>
      <c r="R985" s="1599">
        <f>IF(ISNA(IF($BN$796="4%",(INDEX($BP$806:$BT$863,MATCH($CB$796,$BO$806:$BO$863,0),MATCH(D985,$BP$805:$BT$805,0))),(INDEX($BW$806:$CA$863,MATCH($CB$796,$BV$806:$BV$863,0),MATCH(D985,$BW$805:$CA$805,0))))),0,IF($BN$796="4%",(INDEX($BP$806:$BT$863,MATCH($CB$796,$BO$806:$BO$863,0),MATCH(D985,$BP$805:$BT$805,0))),(INDEX($BW$806:$CA$863,MATCH($CB$796,$BV$806:$BV$863,0),MATCH(D985,$BW$805:$CA$805,0)))))</f>
        <v>314634</v>
      </c>
      <c r="S985" s="1599"/>
      <c r="T985" s="1599"/>
      <c r="U985" s="1599"/>
      <c r="V985" s="1599"/>
      <c r="W985" s="1599"/>
      <c r="X985" s="1599"/>
      <c r="Y985" s="1599"/>
      <c r="Z985" s="1599"/>
      <c r="AA985" s="1599"/>
      <c r="AB985" s="1418">
        <f>BN660</f>
        <v>0</v>
      </c>
      <c r="AC985" s="1419"/>
      <c r="AD985" s="1419"/>
      <c r="AE985" s="1419"/>
      <c r="AF985" s="1419"/>
      <c r="AG985" s="1419"/>
      <c r="AH985" s="1419"/>
      <c r="AI985" s="1420"/>
      <c r="AJ985" s="1532">
        <f>IF(ISERROR((R985*AB985)),0,(R985*AB985))</f>
        <v>0</v>
      </c>
      <c r="AK985" s="1533"/>
      <c r="AL985" s="1533"/>
      <c r="AM985" s="1533"/>
      <c r="AN985" s="1533"/>
      <c r="AO985" s="1533"/>
      <c r="AP985" s="1533"/>
      <c r="AQ985" s="1534"/>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5" t="s">
        <v>326</v>
      </c>
      <c r="E986" s="1416"/>
      <c r="F986" s="1416"/>
      <c r="G986" s="1416"/>
      <c r="H986" s="1416"/>
      <c r="I986" s="1416"/>
      <c r="J986" s="1416"/>
      <c r="K986" s="1416"/>
      <c r="L986" s="1416"/>
      <c r="M986" s="1416"/>
      <c r="N986" s="1416"/>
      <c r="O986" s="1416"/>
      <c r="P986" s="1416"/>
      <c r="Q986" s="1417"/>
      <c r="R986" s="1599">
        <f>IF(ISNA(IF($BN$796="4%",(INDEX($BP$806:$BT$863,MATCH($CB$796,$BO$806:$BO$863,0),MATCH(D986,$BP$805:$BT$805,0))),(INDEX($BW$806:$CA$863,MATCH($CB$796,$BV$806:$BV$863,0),MATCH(D986,$BW$805:$CA$805,0))))),0,IF($BN$796="4%",(INDEX($BP$806:$BT$863,MATCH($CB$796,$BO$806:$BO$863,0),MATCH(D986,$BP$805:$BT$805,0))),(INDEX($BW$806:$CA$863,MATCH($CB$796,$BV$806:$BV$863,0),MATCH(D986,$BW$805:$CA$805,0)))))</f>
        <v>362770</v>
      </c>
      <c r="S986" s="1599"/>
      <c r="T986" s="1599"/>
      <c r="U986" s="1599"/>
      <c r="V986" s="1599"/>
      <c r="W986" s="1599"/>
      <c r="X986" s="1599"/>
      <c r="Y986" s="1599"/>
      <c r="Z986" s="1599"/>
      <c r="AA986" s="1599"/>
      <c r="AB986" s="1418">
        <f>BS660</f>
        <v>148</v>
      </c>
      <c r="AC986" s="1419"/>
      <c r="AD986" s="1419"/>
      <c r="AE986" s="1419"/>
      <c r="AF986" s="1419"/>
      <c r="AG986" s="1419"/>
      <c r="AH986" s="1419"/>
      <c r="AI986" s="1420"/>
      <c r="AJ986" s="1532">
        <f>IF(ISERROR((R986*AB986)),0,(R986*AB986))</f>
        <v>53689960</v>
      </c>
      <c r="AK986" s="1533"/>
      <c r="AL986" s="1533"/>
      <c r="AM986" s="1533"/>
      <c r="AN986" s="1533"/>
      <c r="AO986" s="1533"/>
      <c r="AP986" s="1533"/>
      <c r="AQ986" s="1534"/>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5" t="s">
        <v>163</v>
      </c>
      <c r="E987" s="1416"/>
      <c r="F987" s="1416"/>
      <c r="G987" s="1416"/>
      <c r="H987" s="1416"/>
      <c r="I987" s="1416"/>
      <c r="J987" s="1416"/>
      <c r="K987" s="1416"/>
      <c r="L987" s="1416"/>
      <c r="M987" s="1416"/>
      <c r="N987" s="1416"/>
      <c r="O987" s="1416"/>
      <c r="P987" s="1416"/>
      <c r="Q987" s="1417"/>
      <c r="R987" s="1599">
        <f>IF(ISNA(IF($BN$796="4%",(INDEX($BP$806:$BT$863,MATCH($CB$796,$BO$806:$BO$863,0),MATCH(D987,$BP$805:$BT$805,0))),(INDEX($BW$806:$CA$863,MATCH($CB$796,$BV$806:$BV$863,0),MATCH(D987,$BW$805:$CA$805,0))))),0,IF($BN$796="4%",(INDEX($BP$806:$BT$863,MATCH($CB$796,$BO$806:$BO$863,0),MATCH(D987,$BP$805:$BT$805,0))),(INDEX($BW$806:$CA$863,MATCH($CB$796,$BV$806:$BV$863,0),MATCH(D987,$BW$805:$CA$805,0)))))</f>
        <v>437600</v>
      </c>
      <c r="S987" s="1599"/>
      <c r="T987" s="1599"/>
      <c r="U987" s="1599"/>
      <c r="V987" s="1599"/>
      <c r="W987" s="1599"/>
      <c r="X987" s="1599"/>
      <c r="Y987" s="1599"/>
      <c r="Z987" s="1599"/>
      <c r="AA987" s="1599"/>
      <c r="AB987" s="1418">
        <f>BX660</f>
        <v>49</v>
      </c>
      <c r="AC987" s="1419"/>
      <c r="AD987" s="1419"/>
      <c r="AE987" s="1419"/>
      <c r="AF987" s="1419"/>
      <c r="AG987" s="1419"/>
      <c r="AH987" s="1419"/>
      <c r="AI987" s="1420"/>
      <c r="AJ987" s="1532">
        <f>IF(ISERROR((R987*AB987)),0,(R987*AB987))</f>
        <v>21442400</v>
      </c>
      <c r="AK987" s="1533"/>
      <c r="AL987" s="1533"/>
      <c r="AM987" s="1533"/>
      <c r="AN987" s="1533"/>
      <c r="AO987" s="1533"/>
      <c r="AP987" s="1533"/>
      <c r="AQ987" s="1534"/>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5" t="s">
        <v>164</v>
      </c>
      <c r="E988" s="1416"/>
      <c r="F988" s="1416"/>
      <c r="G988" s="1416"/>
      <c r="H988" s="1416"/>
      <c r="I988" s="1416"/>
      <c r="J988" s="1416"/>
      <c r="K988" s="1416"/>
      <c r="L988" s="1416"/>
      <c r="M988" s="1416"/>
      <c r="N988" s="1416"/>
      <c r="O988" s="1416"/>
      <c r="P988" s="1416"/>
      <c r="Q988" s="1417"/>
      <c r="R988" s="1599">
        <f>IF(ISNA(IF($BN$796="4%",(INDEX($BP$806:$BT$863,MATCH($CB$796,$BO$806:$BO$863,0),MATCH(D988,$BP$805:$BT$805,0))),(INDEX($BW$806:$CA$863,MATCH($CB$796,$BV$806:$BV$863,0),MATCH(D988,$BW$805:$CA$805,0))))),0,IF($BN$796="4%",(INDEX($BP$806:$BT$863,MATCH($CB$796,$BO$806:$BO$863,0),MATCH(D988,$BP$805:$BT$805,0))),(INDEX($BW$806:$CA$863,MATCH($CB$796,$BV$806:$BV$863,0),MATCH(D988,$BW$805:$CA$805,0)))))</f>
        <v>560128</v>
      </c>
      <c r="S988" s="1599"/>
      <c r="T988" s="1599"/>
      <c r="U988" s="1599"/>
      <c r="V988" s="1599"/>
      <c r="W988" s="1599"/>
      <c r="X988" s="1599"/>
      <c r="Y988" s="1599"/>
      <c r="Z988" s="1599"/>
      <c r="AA988" s="1599"/>
      <c r="AB988" s="1418">
        <f>CC660</f>
        <v>0</v>
      </c>
      <c r="AC988" s="1419"/>
      <c r="AD988" s="1419"/>
      <c r="AE988" s="1419"/>
      <c r="AF988" s="1419"/>
      <c r="AG988" s="1419"/>
      <c r="AH988" s="1419"/>
      <c r="AI988" s="1420"/>
      <c r="AJ988" s="1532">
        <f>IF(ISERROR((R988*AB988)),0,(R988*AB988))</f>
        <v>0</v>
      </c>
      <c r="AK988" s="1533"/>
      <c r="AL988" s="1533"/>
      <c r="AM988" s="1533"/>
      <c r="AN988" s="1533"/>
      <c r="AO988" s="1533"/>
      <c r="AP988" s="1533"/>
      <c r="AQ988" s="1534"/>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5" t="s">
        <v>468</v>
      </c>
      <c r="E989" s="1416"/>
      <c r="F989" s="1416"/>
      <c r="G989" s="1416"/>
      <c r="H989" s="1416"/>
      <c r="I989" s="1416"/>
      <c r="J989" s="1416"/>
      <c r="K989" s="1416"/>
      <c r="L989" s="1416"/>
      <c r="M989" s="1416"/>
      <c r="N989" s="1416"/>
      <c r="O989" s="1416"/>
      <c r="P989" s="1416"/>
      <c r="Q989" s="1417"/>
      <c r="R989" s="1599">
        <f>IF(ISNA(IF($BN$796="4%",(INDEX($BP$806:$BT$863,MATCH($CB$796,$BO$806:$BO$863,0),MATCH(D989,$BP$805:$BT$805,0))),(INDEX($BW$806:$CA$863,MATCH($CB$796,$BV$806:$BV$863,0),MATCH(D989,$BW$805:$CA$805,0))))),0,IF($BN$796="4%",(INDEX($BP$806:$BT$863,MATCH($CB$796,$BO$806:$BO$863,0),MATCH(D989,$BP$805:$BT$805,0))),(INDEX($BW$806:$CA$863,MATCH($CB$796,$BV$806:$BV$863,0),MATCH(D989,$BW$805:$CA$805,0)))))</f>
        <v>624018</v>
      </c>
      <c r="S989" s="1599"/>
      <c r="T989" s="1599"/>
      <c r="U989" s="1599"/>
      <c r="V989" s="1599"/>
      <c r="W989" s="1599"/>
      <c r="X989" s="1599"/>
      <c r="Y989" s="1599"/>
      <c r="Z989" s="1599"/>
      <c r="AA989" s="1599"/>
      <c r="AB989" s="1418">
        <f>CM660+CH660</f>
        <v>0</v>
      </c>
      <c r="AC989" s="1419"/>
      <c r="AD989" s="1419"/>
      <c r="AE989" s="1419"/>
      <c r="AF989" s="1419"/>
      <c r="AG989" s="1419"/>
      <c r="AH989" s="1419"/>
      <c r="AI989" s="1420"/>
      <c r="AJ989" s="1532">
        <f>IF(ISERROR((R989*AB989)),0,(R989*AB989))</f>
        <v>0</v>
      </c>
      <c r="AK989" s="1533"/>
      <c r="AL989" s="1533"/>
      <c r="AM989" s="1533"/>
      <c r="AN989" s="1533"/>
      <c r="AO989" s="1533"/>
      <c r="AP989" s="1533"/>
      <c r="AQ989" s="1534"/>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8" t="s">
        <v>800</v>
      </c>
      <c r="C990" s="1609"/>
      <c r="D990" s="1609"/>
      <c r="E990" s="1609"/>
      <c r="F990" s="1609"/>
      <c r="G990" s="1609"/>
      <c r="H990" s="1609"/>
      <c r="I990" s="1609"/>
      <c r="J990" s="1609"/>
      <c r="K990" s="1609"/>
      <c r="L990" s="1609"/>
      <c r="M990" s="1609"/>
      <c r="N990" s="1609"/>
      <c r="O990" s="1609"/>
      <c r="P990" s="1609"/>
      <c r="Q990" s="1609"/>
      <c r="R990" s="1609"/>
      <c r="S990" s="1609"/>
      <c r="T990" s="1609"/>
      <c r="U990" s="1609"/>
      <c r="V990" s="1609"/>
      <c r="W990" s="1609"/>
      <c r="X990" s="1609"/>
      <c r="Y990" s="1609"/>
      <c r="Z990" s="1609"/>
      <c r="AA990" s="1610"/>
      <c r="AB990" s="1418">
        <f>SUM(AB985:AI989)</f>
        <v>197</v>
      </c>
      <c r="AC990" s="1419"/>
      <c r="AD990" s="1419"/>
      <c r="AE990" s="1419"/>
      <c r="AF990" s="1419"/>
      <c r="AG990" s="1419"/>
      <c r="AH990" s="1419"/>
      <c r="AI990" s="1420"/>
      <c r="AJ990" s="1532"/>
      <c r="AK990" s="1533"/>
      <c r="AL990" s="1533"/>
      <c r="AM990" s="1533"/>
      <c r="AN990" s="1533"/>
      <c r="AO990" s="1533"/>
      <c r="AP990" s="1533"/>
      <c r="AQ990" s="1534"/>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96" t="s">
        <v>520</v>
      </c>
      <c r="C991" s="1597"/>
      <c r="D991" s="1597"/>
      <c r="E991" s="1597"/>
      <c r="F991" s="1597"/>
      <c r="G991" s="1597"/>
      <c r="H991" s="1597"/>
      <c r="I991" s="1597"/>
      <c r="J991" s="1597"/>
      <c r="K991" s="1597"/>
      <c r="L991" s="1597"/>
      <c r="M991" s="1597"/>
      <c r="N991" s="1597"/>
      <c r="O991" s="1597"/>
      <c r="P991" s="1597"/>
      <c r="Q991" s="1597"/>
      <c r="R991" s="1597"/>
      <c r="S991" s="1597"/>
      <c r="T991" s="1597"/>
      <c r="U991" s="1597"/>
      <c r="V991" s="1597"/>
      <c r="W991" s="1597"/>
      <c r="X991" s="1597"/>
      <c r="Y991" s="1597"/>
      <c r="Z991" s="1597"/>
      <c r="AA991" s="1597"/>
      <c r="AB991" s="1597"/>
      <c r="AC991" s="1597"/>
      <c r="AD991" s="1597"/>
      <c r="AE991" s="1597"/>
      <c r="AF991" s="1597"/>
      <c r="AG991" s="1597"/>
      <c r="AH991" s="1597"/>
      <c r="AI991" s="1598"/>
      <c r="AJ991" s="1532">
        <f>SUM(AJ985:AQ989)</f>
        <v>75132360</v>
      </c>
      <c r="AK991" s="1533"/>
      <c r="AL991" s="1533"/>
      <c r="AM991" s="1533"/>
      <c r="AN991" s="1533"/>
      <c r="AO991" s="1533"/>
      <c r="AP991" s="1533"/>
      <c r="AQ991" s="1534"/>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35"/>
      <c r="C992" s="1536"/>
      <c r="D992" s="1536"/>
      <c r="E992" s="1536"/>
      <c r="F992" s="1536"/>
      <c r="G992" s="1536"/>
      <c r="H992" s="1536"/>
      <c r="I992" s="1536"/>
      <c r="J992" s="1536"/>
      <c r="K992" s="1536"/>
      <c r="L992" s="1536"/>
      <c r="M992" s="1536"/>
      <c r="N992" s="1536"/>
      <c r="O992" s="1536"/>
      <c r="P992" s="1536"/>
      <c r="Q992" s="1536"/>
      <c r="R992" s="1536"/>
      <c r="S992" s="1536"/>
      <c r="T992" s="1536"/>
      <c r="U992" s="1536"/>
      <c r="V992" s="1536"/>
      <c r="W992" s="1536"/>
      <c r="X992" s="1536"/>
      <c r="Y992" s="1536"/>
      <c r="Z992" s="1536"/>
      <c r="AA992" s="1536"/>
      <c r="AB992" s="1536"/>
      <c r="AC992" s="1536"/>
      <c r="AD992" s="1536"/>
      <c r="AE992" s="1537"/>
      <c r="AF992" s="1538" t="s">
        <v>674</v>
      </c>
      <c r="AG992" s="1539"/>
      <c r="AH992" s="1539"/>
      <c r="AI992" s="1540"/>
      <c r="AJ992" s="1535"/>
      <c r="AK992" s="1536"/>
      <c r="AL992" s="1536"/>
      <c r="AM992" s="1536"/>
      <c r="AN992" s="1536"/>
      <c r="AO992" s="1536"/>
      <c r="AP992" s="1536"/>
      <c r="AQ992" s="153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545" t="s">
        <v>1326</v>
      </c>
      <c r="E993" s="1546"/>
      <c r="F993" s="1546"/>
      <c r="G993" s="1546"/>
      <c r="H993" s="1546"/>
      <c r="I993" s="1546"/>
      <c r="J993" s="1546"/>
      <c r="K993" s="1546"/>
      <c r="L993" s="1546"/>
      <c r="M993" s="1546"/>
      <c r="N993" s="1546"/>
      <c r="O993" s="1546"/>
      <c r="P993" s="1546"/>
      <c r="Q993" s="1546"/>
      <c r="R993" s="1546"/>
      <c r="S993" s="1546"/>
      <c r="T993" s="1546"/>
      <c r="U993" s="1546"/>
      <c r="V993" s="1546"/>
      <c r="W993" s="1546"/>
      <c r="X993" s="1546"/>
      <c r="Y993" s="1546"/>
      <c r="Z993" s="1546"/>
      <c r="AA993" s="1546"/>
      <c r="AB993" s="1546"/>
      <c r="AC993" s="1546"/>
      <c r="AD993" s="1546"/>
      <c r="AE993" s="1547"/>
      <c r="AF993" s="79"/>
      <c r="AG993" s="1541" t="s">
        <v>677</v>
      </c>
      <c r="AH993" s="1542"/>
      <c r="AI993" s="87"/>
      <c r="AJ993" s="1423">
        <f>ROUND(IF(AND(AG993="yes",D999&gt;0),AJ991*0.2,0),0)</f>
        <v>0</v>
      </c>
      <c r="AK993" s="1424"/>
      <c r="AL993" s="1424"/>
      <c r="AM993" s="1424"/>
      <c r="AN993" s="1424"/>
      <c r="AO993" s="1424"/>
      <c r="AP993" s="1424"/>
      <c r="AQ993" s="142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84" t="s">
        <v>2566</v>
      </c>
      <c r="E994" s="1585"/>
      <c r="F994" s="1585"/>
      <c r="G994" s="1585"/>
      <c r="H994" s="1585"/>
      <c r="I994" s="1585"/>
      <c r="J994" s="1585"/>
      <c r="K994" s="1585"/>
      <c r="L994" s="1585"/>
      <c r="M994" s="1585"/>
      <c r="N994" s="1585"/>
      <c r="O994" s="1585"/>
      <c r="P994" s="1585"/>
      <c r="Q994" s="1585"/>
      <c r="R994" s="1585"/>
      <c r="S994" s="1585"/>
      <c r="T994" s="1585"/>
      <c r="U994" s="1585"/>
      <c r="V994" s="1585"/>
      <c r="W994" s="1585"/>
      <c r="X994" s="1585"/>
      <c r="Y994" s="1585"/>
      <c r="Z994" s="1585"/>
      <c r="AA994" s="1585"/>
      <c r="AB994" s="1585"/>
      <c r="AC994" s="1585"/>
      <c r="AD994" s="1585"/>
      <c r="AE994" s="1586"/>
      <c r="AF994" s="73"/>
      <c r="AG994" s="14"/>
      <c r="AH994" s="14"/>
      <c r="AI994" s="83"/>
      <c r="AJ994" s="1426"/>
      <c r="AK994" s="1427"/>
      <c r="AL994" s="1427"/>
      <c r="AM994" s="1427"/>
      <c r="AN994" s="1427"/>
      <c r="AO994" s="1427"/>
      <c r="AP994" s="1427"/>
      <c r="AQ994" s="142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84"/>
      <c r="E995" s="1585"/>
      <c r="F995" s="1585"/>
      <c r="G995" s="1585"/>
      <c r="H995" s="1585"/>
      <c r="I995" s="1585"/>
      <c r="J995" s="1585"/>
      <c r="K995" s="1585"/>
      <c r="L995" s="1585"/>
      <c r="M995" s="1585"/>
      <c r="N995" s="1585"/>
      <c r="O995" s="1585"/>
      <c r="P995" s="1585"/>
      <c r="Q995" s="1585"/>
      <c r="R995" s="1585"/>
      <c r="S995" s="1585"/>
      <c r="T995" s="1585"/>
      <c r="U995" s="1585"/>
      <c r="V995" s="1585"/>
      <c r="W995" s="1585"/>
      <c r="X995" s="1585"/>
      <c r="Y995" s="1585"/>
      <c r="Z995" s="1585"/>
      <c r="AA995" s="1585"/>
      <c r="AB995" s="1585"/>
      <c r="AC995" s="1585"/>
      <c r="AD995" s="1585"/>
      <c r="AE995" s="1586"/>
      <c r="AF995" s="73"/>
      <c r="AG995" s="14"/>
      <c r="AH995" s="14"/>
      <c r="AI995" s="83"/>
      <c r="AJ995" s="1426"/>
      <c r="AK995" s="1427"/>
      <c r="AL995" s="1427"/>
      <c r="AM995" s="1427"/>
      <c r="AN995" s="1427"/>
      <c r="AO995" s="1427"/>
      <c r="AP995" s="1427"/>
      <c r="AQ995" s="142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84"/>
      <c r="E996" s="1585"/>
      <c r="F996" s="1585"/>
      <c r="G996" s="1585"/>
      <c r="H996" s="1585"/>
      <c r="I996" s="1585"/>
      <c r="J996" s="1585"/>
      <c r="K996" s="1585"/>
      <c r="L996" s="1585"/>
      <c r="M996" s="1585"/>
      <c r="N996" s="1585"/>
      <c r="O996" s="1585"/>
      <c r="P996" s="1585"/>
      <c r="Q996" s="1585"/>
      <c r="R996" s="1585"/>
      <c r="S996" s="1585"/>
      <c r="T996" s="1585"/>
      <c r="U996" s="1585"/>
      <c r="V996" s="1585"/>
      <c r="W996" s="1585"/>
      <c r="X996" s="1585"/>
      <c r="Y996" s="1585"/>
      <c r="Z996" s="1585"/>
      <c r="AA996" s="1585"/>
      <c r="AB996" s="1585"/>
      <c r="AC996" s="1585"/>
      <c r="AD996" s="1585"/>
      <c r="AE996" s="1586"/>
      <c r="AF996" s="73"/>
      <c r="AG996" s="14"/>
      <c r="AH996" s="14"/>
      <c r="AI996" s="83"/>
      <c r="AJ996" s="1426"/>
      <c r="AK996" s="1427"/>
      <c r="AL996" s="1427"/>
      <c r="AM996" s="1427"/>
      <c r="AN996" s="1427"/>
      <c r="AO996" s="1427"/>
      <c r="AP996" s="1427"/>
      <c r="AQ996" s="142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84"/>
      <c r="E997" s="1585"/>
      <c r="F997" s="1585"/>
      <c r="G997" s="1585"/>
      <c r="H997" s="1585"/>
      <c r="I997" s="1585"/>
      <c r="J997" s="1585"/>
      <c r="K997" s="1585"/>
      <c r="L997" s="1585"/>
      <c r="M997" s="1585"/>
      <c r="N997" s="1585"/>
      <c r="O997" s="1585"/>
      <c r="P997" s="1585"/>
      <c r="Q997" s="1585"/>
      <c r="R997" s="1585"/>
      <c r="S997" s="1585"/>
      <c r="T997" s="1585"/>
      <c r="U997" s="1585"/>
      <c r="V997" s="1585"/>
      <c r="W997" s="1585"/>
      <c r="X997" s="1585"/>
      <c r="Y997" s="1585"/>
      <c r="Z997" s="1585"/>
      <c r="AA997" s="1585"/>
      <c r="AB997" s="1585"/>
      <c r="AC997" s="1585"/>
      <c r="AD997" s="1585"/>
      <c r="AE997" s="1586"/>
      <c r="AF997" s="73"/>
      <c r="AG997" s="14"/>
      <c r="AH997" s="14"/>
      <c r="AI997" s="83"/>
      <c r="AJ997" s="1426"/>
      <c r="AK997" s="1427"/>
      <c r="AL997" s="1427"/>
      <c r="AM997" s="1427"/>
      <c r="AN997" s="1427"/>
      <c r="AO997" s="1427"/>
      <c r="AP997" s="1427"/>
      <c r="AQ997" s="142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7" t="s">
        <v>2567</v>
      </c>
      <c r="E998" s="1588"/>
      <c r="F998" s="1588"/>
      <c r="G998" s="1588"/>
      <c r="H998" s="1588"/>
      <c r="I998" s="1588"/>
      <c r="J998" s="1588"/>
      <c r="K998" s="1588"/>
      <c r="L998" s="1588"/>
      <c r="M998" s="1588"/>
      <c r="N998" s="1588"/>
      <c r="O998" s="1588"/>
      <c r="P998" s="1588"/>
      <c r="Q998" s="1588"/>
      <c r="R998" s="1588"/>
      <c r="S998" s="1588"/>
      <c r="T998" s="1588"/>
      <c r="U998" s="1588"/>
      <c r="V998" s="1588"/>
      <c r="W998" s="1588"/>
      <c r="X998" s="1588"/>
      <c r="Y998" s="1588"/>
      <c r="Z998" s="1588"/>
      <c r="AA998" s="1588"/>
      <c r="AB998" s="1588"/>
      <c r="AC998" s="1588"/>
      <c r="AD998" s="1588"/>
      <c r="AE998" s="1589"/>
      <c r="AF998" s="73"/>
      <c r="AG998" s="14"/>
      <c r="AH998" s="14"/>
      <c r="AI998" s="83"/>
      <c r="AJ998" s="1426"/>
      <c r="AK998" s="1427"/>
      <c r="AL998" s="1427"/>
      <c r="AM998" s="1427"/>
      <c r="AN998" s="1427"/>
      <c r="AO998" s="1427"/>
      <c r="AP998" s="1427"/>
      <c r="AQ998" s="142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11"/>
      <c r="E999" s="1612"/>
      <c r="F999" s="1612"/>
      <c r="G999" s="1612"/>
      <c r="H999" s="1612"/>
      <c r="I999" s="1612"/>
      <c r="J999" s="1612"/>
      <c r="K999" s="1612"/>
      <c r="L999" s="1612"/>
      <c r="M999" s="1612"/>
      <c r="N999" s="1612"/>
      <c r="O999" s="1612"/>
      <c r="P999" s="1612"/>
      <c r="Q999" s="1612"/>
      <c r="R999" s="1612"/>
      <c r="S999" s="1612"/>
      <c r="T999" s="1612"/>
      <c r="U999" s="1612"/>
      <c r="V999" s="1612"/>
      <c r="W999" s="1612"/>
      <c r="X999" s="1612"/>
      <c r="Y999" s="1612"/>
      <c r="Z999" s="1612"/>
      <c r="AA999" s="1612"/>
      <c r="AB999" s="1612"/>
      <c r="AC999" s="1612"/>
      <c r="AD999" s="1612"/>
      <c r="AE999" s="1613"/>
      <c r="AF999" s="77"/>
      <c r="AG999" s="7"/>
      <c r="AH999" s="7"/>
      <c r="AI999" s="78"/>
      <c r="AJ999" s="1429"/>
      <c r="AK999" s="1430"/>
      <c r="AL999" s="1430"/>
      <c r="AM999" s="1430"/>
      <c r="AN999" s="1430"/>
      <c r="AO999" s="1430"/>
      <c r="AP999" s="1430"/>
      <c r="AQ999" s="143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438" t="s">
        <v>1394</v>
      </c>
      <c r="E1000" s="1439"/>
      <c r="F1000" s="1439"/>
      <c r="G1000" s="1439"/>
      <c r="H1000" s="1439"/>
      <c r="I1000" s="1439"/>
      <c r="J1000" s="1439"/>
      <c r="K1000" s="1439"/>
      <c r="L1000" s="1439"/>
      <c r="M1000" s="1439"/>
      <c r="N1000" s="1439"/>
      <c r="O1000" s="1439"/>
      <c r="P1000" s="1439"/>
      <c r="Q1000" s="1439"/>
      <c r="R1000" s="1439"/>
      <c r="S1000" s="1439"/>
      <c r="T1000" s="1439"/>
      <c r="U1000" s="1439"/>
      <c r="V1000" s="1439"/>
      <c r="W1000" s="1439"/>
      <c r="X1000" s="1439"/>
      <c r="Y1000" s="1439"/>
      <c r="Z1000" s="1439"/>
      <c r="AA1000" s="1439"/>
      <c r="AB1000" s="1439"/>
      <c r="AC1000" s="1439"/>
      <c r="AD1000" s="1439"/>
      <c r="AE1000" s="1440"/>
      <c r="AF1000" s="79"/>
      <c r="AG1000" s="1543" t="s">
        <v>677</v>
      </c>
      <c r="AH1000" s="1544"/>
      <c r="AI1000" s="87"/>
      <c r="AJ1000" s="1423">
        <f>ROUND(IF(AG1000="yes",AJ991*0.05,0),0)</f>
        <v>0</v>
      </c>
      <c r="AK1000" s="1424"/>
      <c r="AL1000" s="1424"/>
      <c r="AM1000" s="1424"/>
      <c r="AN1000" s="1424"/>
      <c r="AO1000" s="1424"/>
      <c r="AP1000" s="1424"/>
      <c r="AQ1000" s="142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84" t="s">
        <v>1392</v>
      </c>
      <c r="E1001" s="1585"/>
      <c r="F1001" s="1585"/>
      <c r="G1001" s="1585"/>
      <c r="H1001" s="1585"/>
      <c r="I1001" s="1585"/>
      <c r="J1001" s="1585"/>
      <c r="K1001" s="1585"/>
      <c r="L1001" s="1585"/>
      <c r="M1001" s="1585"/>
      <c r="N1001" s="1585"/>
      <c r="O1001" s="1585"/>
      <c r="P1001" s="1585"/>
      <c r="Q1001" s="1585"/>
      <c r="R1001" s="1585"/>
      <c r="S1001" s="1585"/>
      <c r="T1001" s="1585"/>
      <c r="U1001" s="1585"/>
      <c r="V1001" s="1585"/>
      <c r="W1001" s="1585"/>
      <c r="X1001" s="1585"/>
      <c r="Y1001" s="1585"/>
      <c r="Z1001" s="1585"/>
      <c r="AA1001" s="1585"/>
      <c r="AB1001" s="1585"/>
      <c r="AC1001" s="1585"/>
      <c r="AD1001" s="1585"/>
      <c r="AE1001" s="1586"/>
      <c r="AF1001" s="73"/>
      <c r="AG1001" s="14"/>
      <c r="AH1001" s="14"/>
      <c r="AI1001" s="83"/>
      <c r="AJ1001" s="1426"/>
      <c r="AK1001" s="1427"/>
      <c r="AL1001" s="1427"/>
      <c r="AM1001" s="1427"/>
      <c r="AN1001" s="1427"/>
      <c r="AO1001" s="1427"/>
      <c r="AP1001" s="1427"/>
      <c r="AQ1001" s="142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84"/>
      <c r="E1002" s="1585"/>
      <c r="F1002" s="1585"/>
      <c r="G1002" s="1585"/>
      <c r="H1002" s="1585"/>
      <c r="I1002" s="1585"/>
      <c r="J1002" s="1585"/>
      <c r="K1002" s="1585"/>
      <c r="L1002" s="1585"/>
      <c r="M1002" s="1585"/>
      <c r="N1002" s="1585"/>
      <c r="O1002" s="1585"/>
      <c r="P1002" s="1585"/>
      <c r="Q1002" s="1585"/>
      <c r="R1002" s="1585"/>
      <c r="S1002" s="1585"/>
      <c r="T1002" s="1585"/>
      <c r="U1002" s="1585"/>
      <c r="V1002" s="1585"/>
      <c r="W1002" s="1585"/>
      <c r="X1002" s="1585"/>
      <c r="Y1002" s="1585"/>
      <c r="Z1002" s="1585"/>
      <c r="AA1002" s="1585"/>
      <c r="AB1002" s="1585"/>
      <c r="AC1002" s="1585"/>
      <c r="AD1002" s="1585"/>
      <c r="AE1002" s="1586"/>
      <c r="AF1002" s="73"/>
      <c r="AG1002" s="14"/>
      <c r="AH1002" s="14"/>
      <c r="AI1002" s="83"/>
      <c r="AJ1002" s="1426"/>
      <c r="AK1002" s="1427"/>
      <c r="AL1002" s="1427"/>
      <c r="AM1002" s="1427"/>
      <c r="AN1002" s="1427"/>
      <c r="AO1002" s="1427"/>
      <c r="AP1002" s="1427"/>
      <c r="AQ1002" s="1428"/>
      <c r="AR1002" s="68"/>
      <c r="AS1002" s="68"/>
      <c r="AT1002" s="68"/>
      <c r="AU1002" s="68"/>
      <c r="AV1002" s="68"/>
      <c r="AW1002" s="68"/>
      <c r="AX1002" s="68"/>
      <c r="AY1002" s="949">
        <f>G753+O797</f>
        <v>196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84"/>
      <c r="E1003" s="1585"/>
      <c r="F1003" s="1585"/>
      <c r="G1003" s="1585"/>
      <c r="H1003" s="1585"/>
      <c r="I1003" s="1585"/>
      <c r="J1003" s="1585"/>
      <c r="K1003" s="1585"/>
      <c r="L1003" s="1585"/>
      <c r="M1003" s="1585"/>
      <c r="N1003" s="1585"/>
      <c r="O1003" s="1585"/>
      <c r="P1003" s="1585"/>
      <c r="Q1003" s="1585"/>
      <c r="R1003" s="1585"/>
      <c r="S1003" s="1585"/>
      <c r="T1003" s="1585"/>
      <c r="U1003" s="1585"/>
      <c r="V1003" s="1585"/>
      <c r="W1003" s="1585"/>
      <c r="X1003" s="1585"/>
      <c r="Y1003" s="1585"/>
      <c r="Z1003" s="1585"/>
      <c r="AA1003" s="1585"/>
      <c r="AB1003" s="1585"/>
      <c r="AC1003" s="1585"/>
      <c r="AD1003" s="1585"/>
      <c r="AE1003" s="1586"/>
      <c r="AF1003" s="73"/>
      <c r="AG1003" s="14"/>
      <c r="AH1003" s="14"/>
      <c r="AI1003" s="83"/>
      <c r="AJ1003" s="1426"/>
      <c r="AK1003" s="1427"/>
      <c r="AL1003" s="1427"/>
      <c r="AM1003" s="1427"/>
      <c r="AN1003" s="1427"/>
      <c r="AO1003" s="1427"/>
      <c r="AP1003" s="1427"/>
      <c r="AQ1003" s="142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84"/>
      <c r="E1004" s="1585"/>
      <c r="F1004" s="1585"/>
      <c r="G1004" s="1585"/>
      <c r="H1004" s="1585"/>
      <c r="I1004" s="1585"/>
      <c r="J1004" s="1585"/>
      <c r="K1004" s="1585"/>
      <c r="L1004" s="1585"/>
      <c r="M1004" s="1585"/>
      <c r="N1004" s="1585"/>
      <c r="O1004" s="1585"/>
      <c r="P1004" s="1585"/>
      <c r="Q1004" s="1585"/>
      <c r="R1004" s="1585"/>
      <c r="S1004" s="1585"/>
      <c r="T1004" s="1585"/>
      <c r="U1004" s="1585"/>
      <c r="V1004" s="1585"/>
      <c r="W1004" s="1585"/>
      <c r="X1004" s="1585"/>
      <c r="Y1004" s="1585"/>
      <c r="Z1004" s="1585"/>
      <c r="AA1004" s="1585"/>
      <c r="AB1004" s="1585"/>
      <c r="AC1004" s="1585"/>
      <c r="AD1004" s="1585"/>
      <c r="AE1004" s="1586"/>
      <c r="AF1004" s="73"/>
      <c r="AG1004" s="14"/>
      <c r="AH1004" s="14"/>
      <c r="AI1004" s="83"/>
      <c r="AJ1004" s="1426"/>
      <c r="AK1004" s="1427"/>
      <c r="AL1004" s="1427"/>
      <c r="AM1004" s="1427"/>
      <c r="AN1004" s="1427"/>
      <c r="AO1004" s="1427"/>
      <c r="AP1004" s="1427"/>
      <c r="AQ1004" s="1428"/>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7"/>
      <c r="E1005" s="1588"/>
      <c r="F1005" s="1588"/>
      <c r="G1005" s="1588"/>
      <c r="H1005" s="1588"/>
      <c r="I1005" s="1588"/>
      <c r="J1005" s="1588"/>
      <c r="K1005" s="1588"/>
      <c r="L1005" s="1588"/>
      <c r="M1005" s="1588"/>
      <c r="N1005" s="1588"/>
      <c r="O1005" s="1588"/>
      <c r="P1005" s="1588"/>
      <c r="Q1005" s="1588"/>
      <c r="R1005" s="1588"/>
      <c r="S1005" s="1588"/>
      <c r="T1005" s="1588"/>
      <c r="U1005" s="1588"/>
      <c r="V1005" s="1588"/>
      <c r="W1005" s="1588"/>
      <c r="X1005" s="1588"/>
      <c r="Y1005" s="1588"/>
      <c r="Z1005" s="1588"/>
      <c r="AA1005" s="1588"/>
      <c r="AB1005" s="1588"/>
      <c r="AC1005" s="1588"/>
      <c r="AD1005" s="1588"/>
      <c r="AE1005" s="1589"/>
      <c r="AF1005" s="77"/>
      <c r="AG1005" s="7"/>
      <c r="AH1005" s="7"/>
      <c r="AI1005" s="78"/>
      <c r="AJ1005" s="1429"/>
      <c r="AK1005" s="1430"/>
      <c r="AL1005" s="1430"/>
      <c r="AM1005" s="1430"/>
      <c r="AN1005" s="1430"/>
      <c r="AO1005" s="1430"/>
      <c r="AP1005" s="1430"/>
      <c r="AQ1005" s="1431"/>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438" t="s">
        <v>1871</v>
      </c>
      <c r="E1006" s="1439"/>
      <c r="F1006" s="1439"/>
      <c r="G1006" s="1439"/>
      <c r="H1006" s="1439"/>
      <c r="I1006" s="1439"/>
      <c r="J1006" s="1439"/>
      <c r="K1006" s="1439"/>
      <c r="L1006" s="1439"/>
      <c r="M1006" s="1439"/>
      <c r="N1006" s="1439"/>
      <c r="O1006" s="1439"/>
      <c r="P1006" s="1439"/>
      <c r="Q1006" s="1439"/>
      <c r="R1006" s="1439"/>
      <c r="S1006" s="1439"/>
      <c r="T1006" s="1439"/>
      <c r="U1006" s="1439"/>
      <c r="V1006" s="1439"/>
      <c r="W1006" s="1439"/>
      <c r="X1006" s="1439"/>
      <c r="Y1006" s="1439"/>
      <c r="Z1006" s="1439"/>
      <c r="AA1006" s="1439"/>
      <c r="AB1006" s="1439"/>
      <c r="AC1006" s="1439"/>
      <c r="AD1006" s="1439"/>
      <c r="AE1006" s="1440"/>
      <c r="AF1006" s="86"/>
      <c r="AG1006" s="1543" t="s">
        <v>677</v>
      </c>
      <c r="AH1006" s="1544"/>
      <c r="AI1006" s="87"/>
      <c r="AJ1006" s="1423">
        <f>ROUND(IF(AG1006="yes",AJ991*0.1,0),0)</f>
        <v>0</v>
      </c>
      <c r="AK1006" s="1424"/>
      <c r="AL1006" s="1424"/>
      <c r="AM1006" s="1424"/>
      <c r="AN1006" s="1424"/>
      <c r="AO1006" s="1424"/>
      <c r="AP1006" s="1424"/>
      <c r="AQ1006" s="1425"/>
      <c r="AR1006" s="68"/>
      <c r="AS1006" s="68"/>
      <c r="AT1006" s="68"/>
      <c r="AU1006" s="68"/>
      <c r="AV1006" s="68"/>
      <c r="AW1006" s="68"/>
      <c r="AX1006" s="68"/>
      <c r="BB1006" s="34"/>
      <c r="BD1006" s="34"/>
      <c r="BE1006" s="34"/>
      <c r="BF1006" s="34"/>
    </row>
    <row r="1007" spans="1:157" ht="12.95" customHeight="1">
      <c r="A1007" s="14"/>
      <c r="B1007" s="73"/>
      <c r="C1007" s="74"/>
      <c r="D1007" s="1526" t="s">
        <v>1393</v>
      </c>
      <c r="E1007" s="1527"/>
      <c r="F1007" s="1527"/>
      <c r="G1007" s="1527"/>
      <c r="H1007" s="1527"/>
      <c r="I1007" s="1527"/>
      <c r="J1007" s="1527"/>
      <c r="K1007" s="1527"/>
      <c r="L1007" s="1527"/>
      <c r="M1007" s="1527"/>
      <c r="N1007" s="1527"/>
      <c r="O1007" s="1527"/>
      <c r="P1007" s="1527"/>
      <c r="Q1007" s="1527"/>
      <c r="R1007" s="1527"/>
      <c r="S1007" s="1527"/>
      <c r="T1007" s="1527"/>
      <c r="U1007" s="1527"/>
      <c r="V1007" s="1527"/>
      <c r="W1007" s="1527"/>
      <c r="X1007" s="1527"/>
      <c r="Y1007" s="1527"/>
      <c r="Z1007" s="1527"/>
      <c r="AA1007" s="1527"/>
      <c r="AB1007" s="1527"/>
      <c r="AC1007" s="1527"/>
      <c r="AD1007" s="1527"/>
      <c r="AE1007" s="1528"/>
      <c r="AF1007" s="73"/>
      <c r="AI1007" s="83"/>
      <c r="AJ1007" s="1426"/>
      <c r="AK1007" s="1427"/>
      <c r="AL1007" s="1427"/>
      <c r="AM1007" s="1427"/>
      <c r="AN1007" s="1427"/>
      <c r="AO1007" s="1427"/>
      <c r="AP1007" s="1427"/>
      <c r="AQ1007" s="1428"/>
      <c r="AR1007" s="68"/>
      <c r="AS1007" s="68"/>
      <c r="AT1007" s="68"/>
      <c r="AU1007" s="68"/>
      <c r="AV1007" s="68"/>
      <c r="AW1007" s="68"/>
      <c r="AX1007" s="68"/>
    </row>
    <row r="1008" spans="1:157" ht="12.95" customHeight="1">
      <c r="A1008" s="14"/>
      <c r="B1008" s="73"/>
      <c r="C1008" s="74"/>
      <c r="D1008" s="1526"/>
      <c r="E1008" s="1527"/>
      <c r="F1008" s="1527"/>
      <c r="G1008" s="1527"/>
      <c r="H1008" s="1527"/>
      <c r="I1008" s="1527"/>
      <c r="J1008" s="1527"/>
      <c r="K1008" s="1527"/>
      <c r="L1008" s="1527"/>
      <c r="M1008" s="1527"/>
      <c r="N1008" s="1527"/>
      <c r="O1008" s="1527"/>
      <c r="P1008" s="1527"/>
      <c r="Q1008" s="1527"/>
      <c r="R1008" s="1527"/>
      <c r="S1008" s="1527"/>
      <c r="T1008" s="1527"/>
      <c r="U1008" s="1527"/>
      <c r="V1008" s="1527"/>
      <c r="W1008" s="1527"/>
      <c r="X1008" s="1527"/>
      <c r="Y1008" s="1527"/>
      <c r="Z1008" s="1527"/>
      <c r="AA1008" s="1527"/>
      <c r="AB1008" s="1527"/>
      <c r="AC1008" s="1527"/>
      <c r="AD1008" s="1527"/>
      <c r="AE1008" s="1528"/>
      <c r="AF1008" s="73"/>
      <c r="AG1008" s="14"/>
      <c r="AH1008" s="14"/>
      <c r="AI1008" s="83"/>
      <c r="AJ1008" s="1426"/>
      <c r="AK1008" s="1427"/>
      <c r="AL1008" s="1427"/>
      <c r="AM1008" s="1427"/>
      <c r="AN1008" s="1427"/>
      <c r="AO1008" s="1427"/>
      <c r="AP1008" s="1427"/>
      <c r="AQ1008" s="1428"/>
      <c r="AR1008" s="68"/>
      <c r="AS1008" s="68"/>
      <c r="AT1008" s="68"/>
      <c r="AU1008" s="68"/>
      <c r="AV1008" s="68"/>
      <c r="AW1008" s="68"/>
      <c r="AX1008" s="68"/>
    </row>
    <row r="1009" spans="1:51" ht="12.95" customHeight="1">
      <c r="A1009" s="14"/>
      <c r="B1009" s="85"/>
      <c r="C1009" s="76"/>
      <c r="D1009" s="1548"/>
      <c r="E1009" s="1549"/>
      <c r="F1009" s="1549"/>
      <c r="G1009" s="1549"/>
      <c r="H1009" s="1549"/>
      <c r="I1009" s="1549"/>
      <c r="J1009" s="1549"/>
      <c r="K1009" s="1549"/>
      <c r="L1009" s="1549"/>
      <c r="M1009" s="1549"/>
      <c r="N1009" s="1549"/>
      <c r="O1009" s="1549"/>
      <c r="P1009" s="1549"/>
      <c r="Q1009" s="1549"/>
      <c r="R1009" s="1549"/>
      <c r="S1009" s="1549"/>
      <c r="T1009" s="1549"/>
      <c r="U1009" s="1549"/>
      <c r="V1009" s="1549"/>
      <c r="W1009" s="1549"/>
      <c r="X1009" s="1549"/>
      <c r="Y1009" s="1549"/>
      <c r="Z1009" s="1549"/>
      <c r="AA1009" s="1549"/>
      <c r="AB1009" s="1549"/>
      <c r="AC1009" s="1549"/>
      <c r="AD1009" s="1549"/>
      <c r="AE1009" s="1550"/>
      <c r="AF1009" s="77"/>
      <c r="AG1009" s="7"/>
      <c r="AH1009" s="7"/>
      <c r="AI1009" s="78"/>
      <c r="AJ1009" s="1429"/>
      <c r="AK1009" s="1430"/>
      <c r="AL1009" s="1430"/>
      <c r="AM1009" s="1430"/>
      <c r="AN1009" s="1430"/>
      <c r="AO1009" s="1430"/>
      <c r="AP1009" s="1430"/>
      <c r="AQ1009" s="1431"/>
      <c r="AR1009" s="68"/>
      <c r="AS1009" s="68"/>
      <c r="AT1009" s="68"/>
      <c r="AU1009" s="68"/>
      <c r="AV1009" s="68"/>
      <c r="AW1009" s="68"/>
      <c r="AX1009" s="68"/>
    </row>
    <row r="1010" spans="1:51" ht="12.95" customHeight="1">
      <c r="A1010" s="14"/>
      <c r="B1010" s="79"/>
      <c r="C1010" s="80" t="s">
        <v>213</v>
      </c>
      <c r="D1010" s="1438" t="s">
        <v>1395</v>
      </c>
      <c r="E1010" s="1439"/>
      <c r="F1010" s="1439"/>
      <c r="G1010" s="1439"/>
      <c r="H1010" s="1439"/>
      <c r="I1010" s="1439"/>
      <c r="J1010" s="1439"/>
      <c r="K1010" s="1439"/>
      <c r="L1010" s="1439"/>
      <c r="M1010" s="1439"/>
      <c r="N1010" s="1439"/>
      <c r="O1010" s="1439"/>
      <c r="P1010" s="1439"/>
      <c r="Q1010" s="1439"/>
      <c r="R1010" s="1439"/>
      <c r="S1010" s="1439"/>
      <c r="T1010" s="1439"/>
      <c r="U1010" s="1439"/>
      <c r="V1010" s="1439"/>
      <c r="W1010" s="1439"/>
      <c r="X1010" s="1439"/>
      <c r="Y1010" s="1439"/>
      <c r="Z1010" s="1439"/>
      <c r="AA1010" s="1439"/>
      <c r="AB1010" s="1439"/>
      <c r="AC1010" s="1439"/>
      <c r="AD1010" s="1439"/>
      <c r="AE1010" s="1440"/>
      <c r="AF1010" s="79"/>
      <c r="AG1010" s="1543" t="s">
        <v>677</v>
      </c>
      <c r="AH1010" s="1544"/>
      <c r="AI1010" s="87"/>
      <c r="AJ1010" s="1423">
        <f>ROUND(IF(AG1010="yes",AJ991*0.02,0),0)</f>
        <v>0</v>
      </c>
      <c r="AK1010" s="1424"/>
      <c r="AL1010" s="1424"/>
      <c r="AM1010" s="1424"/>
      <c r="AN1010" s="1424"/>
      <c r="AO1010" s="1424"/>
      <c r="AP1010" s="1424"/>
      <c r="AQ1010" s="1425"/>
      <c r="AR1010" s="68"/>
      <c r="AS1010" s="68"/>
      <c r="AT1010" s="68"/>
      <c r="AU1010" s="68"/>
      <c r="AV1010" s="68"/>
      <c r="AW1010" s="68"/>
      <c r="AX1010" s="68"/>
      <c r="AY1010" s="215">
        <f>IF(SUM(AY1012:AY1020)&lt;=0.1,SUM(AY1012:AY1020),0.1)</f>
        <v>0</v>
      </c>
    </row>
    <row r="1011" spans="1:51" ht="14.25" customHeight="1">
      <c r="A1011" s="14"/>
      <c r="B1011" s="73"/>
      <c r="C1011" s="74"/>
      <c r="D1011" s="1548" t="s">
        <v>1396</v>
      </c>
      <c r="E1011" s="1549"/>
      <c r="F1011" s="1549"/>
      <c r="G1011" s="1549"/>
      <c r="H1011" s="1549"/>
      <c r="I1011" s="1549"/>
      <c r="J1011" s="1549"/>
      <c r="K1011" s="1549"/>
      <c r="L1011" s="1549"/>
      <c r="M1011" s="1549"/>
      <c r="N1011" s="1549"/>
      <c r="O1011" s="1549"/>
      <c r="P1011" s="1549"/>
      <c r="Q1011" s="1549"/>
      <c r="R1011" s="1549"/>
      <c r="S1011" s="1549"/>
      <c r="T1011" s="1549"/>
      <c r="U1011" s="1549"/>
      <c r="V1011" s="1549"/>
      <c r="W1011" s="1549"/>
      <c r="X1011" s="1549"/>
      <c r="Y1011" s="1549"/>
      <c r="Z1011" s="1549"/>
      <c r="AA1011" s="1549"/>
      <c r="AB1011" s="1549"/>
      <c r="AC1011" s="1549"/>
      <c r="AD1011" s="1549"/>
      <c r="AE1011" s="1550"/>
      <c r="AF1011" s="77"/>
      <c r="AG1011" s="7"/>
      <c r="AH1011" s="7"/>
      <c r="AI1011" s="78"/>
      <c r="AJ1011" s="1429"/>
      <c r="AK1011" s="1430"/>
      <c r="AL1011" s="1430"/>
      <c r="AM1011" s="1430"/>
      <c r="AN1011" s="1430"/>
      <c r="AO1011" s="1430"/>
      <c r="AP1011" s="1430"/>
      <c r="AQ1011" s="1431"/>
      <c r="AR1011" s="68"/>
      <c r="AS1011" s="68"/>
      <c r="AT1011" s="68"/>
      <c r="AU1011" s="68"/>
      <c r="AV1011" s="68"/>
      <c r="AW1011" s="68"/>
      <c r="AX1011" s="68"/>
    </row>
    <row r="1012" spans="1:51" ht="12.95" customHeight="1">
      <c r="A1012" s="14"/>
      <c r="B1012" s="79"/>
      <c r="C1012" s="80" t="s">
        <v>216</v>
      </c>
      <c r="D1012" s="1438" t="s">
        <v>1397</v>
      </c>
      <c r="E1012" s="1439"/>
      <c r="F1012" s="1439"/>
      <c r="G1012" s="1439"/>
      <c r="H1012" s="1439"/>
      <c r="I1012" s="1439"/>
      <c r="J1012" s="1439"/>
      <c r="K1012" s="1439"/>
      <c r="L1012" s="1439"/>
      <c r="M1012" s="1439"/>
      <c r="N1012" s="1439"/>
      <c r="O1012" s="1439"/>
      <c r="P1012" s="1439"/>
      <c r="Q1012" s="1439"/>
      <c r="R1012" s="1439"/>
      <c r="S1012" s="1439"/>
      <c r="T1012" s="1439"/>
      <c r="U1012" s="1439"/>
      <c r="V1012" s="1439"/>
      <c r="W1012" s="1439"/>
      <c r="X1012" s="1439"/>
      <c r="Y1012" s="1439"/>
      <c r="Z1012" s="1439"/>
      <c r="AA1012" s="1439"/>
      <c r="AB1012" s="1439"/>
      <c r="AC1012" s="1439"/>
      <c r="AD1012" s="1439"/>
      <c r="AE1012" s="1440"/>
      <c r="AF1012" s="79"/>
      <c r="AG1012" s="1543" t="s">
        <v>677</v>
      </c>
      <c r="AH1012" s="1544"/>
      <c r="AI1012" s="79"/>
      <c r="AJ1012" s="1423">
        <f>ROUND(IF(AG1012="yes",AJ991*0.02,0),0)</f>
        <v>0</v>
      </c>
      <c r="AK1012" s="1424"/>
      <c r="AL1012" s="1424"/>
      <c r="AM1012" s="1424"/>
      <c r="AN1012" s="1424"/>
      <c r="AO1012" s="1424"/>
      <c r="AP1012" s="1424"/>
      <c r="AQ1012" s="1425"/>
      <c r="AR1012" s="68"/>
      <c r="AS1012" s="68"/>
      <c r="AT1012" s="68"/>
      <c r="AU1012" s="68"/>
      <c r="AV1012" s="68"/>
      <c r="AW1012" s="68"/>
      <c r="AX1012" s="68"/>
      <c r="AY1012" s="213">
        <f>IF(A1064="Yes",0.05,0)</f>
        <v>0</v>
      </c>
    </row>
    <row r="1013" spans="1:51" ht="12.95" customHeight="1">
      <c r="A1013" s="14"/>
      <c r="B1013" s="73"/>
      <c r="C1013" s="74"/>
      <c r="D1013" s="1526" t="s">
        <v>1398</v>
      </c>
      <c r="E1013" s="1527"/>
      <c r="F1013" s="1527"/>
      <c r="G1013" s="1527"/>
      <c r="H1013" s="1527"/>
      <c r="I1013" s="1527"/>
      <c r="J1013" s="1527"/>
      <c r="K1013" s="1527"/>
      <c r="L1013" s="1527"/>
      <c r="M1013" s="1527"/>
      <c r="N1013" s="1527"/>
      <c r="O1013" s="1527"/>
      <c r="P1013" s="1527"/>
      <c r="Q1013" s="1527"/>
      <c r="R1013" s="1527"/>
      <c r="S1013" s="1527"/>
      <c r="T1013" s="1527"/>
      <c r="U1013" s="1527"/>
      <c r="V1013" s="1527"/>
      <c r="W1013" s="1527"/>
      <c r="X1013" s="1527"/>
      <c r="Y1013" s="1527"/>
      <c r="Z1013" s="1527"/>
      <c r="AA1013" s="1527"/>
      <c r="AB1013" s="1527"/>
      <c r="AC1013" s="1527"/>
      <c r="AD1013" s="1527"/>
      <c r="AE1013" s="1528"/>
      <c r="AF1013" s="1408" t="str">
        <f>IF(AND(AG1012="yes",AB212&lt;&gt;1),"The project may not be eligible for this boost","")</f>
        <v/>
      </c>
      <c r="AG1013" s="1409"/>
      <c r="AH1013" s="1409"/>
      <c r="AI1013" s="1410"/>
      <c r="AJ1013" s="1426"/>
      <c r="AK1013" s="1427"/>
      <c r="AL1013" s="1427"/>
      <c r="AM1013" s="1427"/>
      <c r="AN1013" s="1427"/>
      <c r="AO1013" s="1427"/>
      <c r="AP1013" s="1427"/>
      <c r="AQ1013" s="1428"/>
      <c r="AR1013" s="68"/>
      <c r="AS1013" s="68"/>
      <c r="AT1013" s="68"/>
      <c r="AU1013" s="68"/>
      <c r="AV1013" s="68"/>
      <c r="AW1013" s="68"/>
      <c r="AX1013" s="68"/>
      <c r="AY1013" s="213">
        <f>IF(A1070="Yes",0.02,0)</f>
        <v>0</v>
      </c>
    </row>
    <row r="1014" spans="1:51" ht="12.95" customHeight="1">
      <c r="A1014" s="14"/>
      <c r="B1014" s="75"/>
      <c r="C1014" s="76"/>
      <c r="D1014" s="1548"/>
      <c r="E1014" s="1549"/>
      <c r="F1014" s="1549"/>
      <c r="G1014" s="1549"/>
      <c r="H1014" s="1549"/>
      <c r="I1014" s="1549"/>
      <c r="J1014" s="1549"/>
      <c r="K1014" s="1549"/>
      <c r="L1014" s="1549"/>
      <c r="M1014" s="1549"/>
      <c r="N1014" s="1549"/>
      <c r="O1014" s="1549"/>
      <c r="P1014" s="1549"/>
      <c r="Q1014" s="1549"/>
      <c r="R1014" s="1549"/>
      <c r="S1014" s="1549"/>
      <c r="T1014" s="1549"/>
      <c r="U1014" s="1549"/>
      <c r="V1014" s="1549"/>
      <c r="W1014" s="1549"/>
      <c r="X1014" s="1549"/>
      <c r="Y1014" s="1549"/>
      <c r="Z1014" s="1549"/>
      <c r="AA1014" s="1549"/>
      <c r="AB1014" s="1549"/>
      <c r="AC1014" s="1549"/>
      <c r="AD1014" s="1549"/>
      <c r="AE1014" s="1550"/>
      <c r="AF1014" s="1411"/>
      <c r="AG1014" s="1412"/>
      <c r="AH1014" s="1412"/>
      <c r="AI1014" s="1413"/>
      <c r="AJ1014" s="1429"/>
      <c r="AK1014" s="1430"/>
      <c r="AL1014" s="1430"/>
      <c r="AM1014" s="1430"/>
      <c r="AN1014" s="1430"/>
      <c r="AO1014" s="1430"/>
      <c r="AP1014" s="1430"/>
      <c r="AQ1014" s="1431"/>
      <c r="AR1014" s="68"/>
      <c r="AS1014" s="68"/>
      <c r="AT1014" s="68"/>
      <c r="AU1014" s="68"/>
      <c r="AV1014" s="68"/>
      <c r="AW1014" s="68"/>
      <c r="AX1014" s="68"/>
      <c r="AY1014" s="213">
        <f>IF(A1076="Yes",0.04,0)</f>
        <v>0</v>
      </c>
    </row>
    <row r="1015" spans="1:51" ht="12.95" customHeight="1">
      <c r="A1015" s="14"/>
      <c r="B1015" s="79"/>
      <c r="C1015" s="80" t="s">
        <v>219</v>
      </c>
      <c r="D1015" s="1545" t="s">
        <v>1399</v>
      </c>
      <c r="E1015" s="1546"/>
      <c r="F1015" s="1546"/>
      <c r="G1015" s="1546"/>
      <c r="H1015" s="1546"/>
      <c r="I1015" s="1546"/>
      <c r="J1015" s="1546"/>
      <c r="K1015" s="1546"/>
      <c r="L1015" s="1546"/>
      <c r="M1015" s="1546"/>
      <c r="N1015" s="1546"/>
      <c r="O1015" s="1546"/>
      <c r="P1015" s="1546"/>
      <c r="Q1015" s="1546"/>
      <c r="R1015" s="1546"/>
      <c r="S1015" s="1546"/>
      <c r="T1015" s="1546"/>
      <c r="U1015" s="1546"/>
      <c r="V1015" s="1546"/>
      <c r="W1015" s="1546"/>
      <c r="X1015" s="1546"/>
      <c r="Y1015" s="1546"/>
      <c r="Z1015" s="1546"/>
      <c r="AA1015" s="1546"/>
      <c r="AB1015" s="1546"/>
      <c r="AC1015" s="1546"/>
      <c r="AD1015" s="1546"/>
      <c r="AE1015" s="1547"/>
      <c r="AF1015" s="79"/>
      <c r="AG1015" s="1543" t="s">
        <v>677</v>
      </c>
      <c r="AH1015" s="1544"/>
      <c r="AI1015" s="87"/>
      <c r="AJ1015" s="1423">
        <f>IF(AG1015="yes",AJ991*AY1010,0)</f>
        <v>0</v>
      </c>
      <c r="AK1015" s="1424"/>
      <c r="AL1015" s="1424"/>
      <c r="AM1015" s="1424"/>
      <c r="AN1015" s="1424"/>
      <c r="AO1015" s="1424"/>
      <c r="AP1015" s="1424"/>
      <c r="AQ1015" s="1425"/>
      <c r="AR1015" s="68"/>
      <c r="AS1015" s="68"/>
      <c r="AT1015" s="68"/>
      <c r="AU1015" s="68"/>
      <c r="AV1015" s="68"/>
      <c r="AW1015" s="68"/>
      <c r="AX1015" s="68"/>
      <c r="AY1015" s="213">
        <f>IF(A1083="Yes",0.04,0)</f>
        <v>0</v>
      </c>
    </row>
    <row r="1016" spans="1:51" ht="12.95" customHeight="1">
      <c r="A1016" s="14"/>
      <c r="B1016" s="73"/>
      <c r="C1016" s="74"/>
      <c r="D1016" s="1526" t="s">
        <v>1400</v>
      </c>
      <c r="E1016" s="1527"/>
      <c r="F1016" s="1527"/>
      <c r="G1016" s="1527"/>
      <c r="H1016" s="1527"/>
      <c r="I1016" s="1527"/>
      <c r="J1016" s="1527"/>
      <c r="K1016" s="1527"/>
      <c r="L1016" s="1527"/>
      <c r="M1016" s="1527"/>
      <c r="N1016" s="1527"/>
      <c r="O1016" s="1527"/>
      <c r="P1016" s="1527"/>
      <c r="Q1016" s="1527"/>
      <c r="R1016" s="1527"/>
      <c r="S1016" s="1527"/>
      <c r="T1016" s="1527"/>
      <c r="U1016" s="1527"/>
      <c r="V1016" s="1527"/>
      <c r="W1016" s="1527"/>
      <c r="X1016" s="1527"/>
      <c r="Y1016" s="1527"/>
      <c r="Z1016" s="1527"/>
      <c r="AA1016" s="1527"/>
      <c r="AB1016" s="1527"/>
      <c r="AC1016" s="1527"/>
      <c r="AD1016" s="1527"/>
      <c r="AE1016" s="1528"/>
      <c r="AF1016" s="1402" t="str">
        <f>IF(AND(AG1015="Yes",AY1010=0),AY1022,"")</f>
        <v/>
      </c>
      <c r="AG1016" s="1403"/>
      <c r="AH1016" s="1403"/>
      <c r="AI1016" s="1404"/>
      <c r="AJ1016" s="1426"/>
      <c r="AK1016" s="1427"/>
      <c r="AL1016" s="1427"/>
      <c r="AM1016" s="1427"/>
      <c r="AN1016" s="1427"/>
      <c r="AO1016" s="1427"/>
      <c r="AP1016" s="1427"/>
      <c r="AQ1016" s="1428"/>
      <c r="AR1016" s="68"/>
      <c r="AS1016" s="68"/>
      <c r="AT1016" s="68"/>
      <c r="AU1016" s="68"/>
      <c r="AV1016" s="68"/>
      <c r="AW1016" s="68"/>
      <c r="AX1016" s="68"/>
      <c r="AY1016" s="213">
        <f>IF(A1086="Yes",0.01,0)</f>
        <v>0</v>
      </c>
    </row>
    <row r="1017" spans="1:51" ht="12.95" customHeight="1">
      <c r="A1017" s="14"/>
      <c r="B1017" s="73"/>
      <c r="C1017" s="74"/>
      <c r="D1017" s="1526"/>
      <c r="E1017" s="1527"/>
      <c r="F1017" s="1527"/>
      <c r="G1017" s="1527"/>
      <c r="H1017" s="1527"/>
      <c r="I1017" s="1527"/>
      <c r="J1017" s="1527"/>
      <c r="K1017" s="1527"/>
      <c r="L1017" s="1527"/>
      <c r="M1017" s="1527"/>
      <c r="N1017" s="1527"/>
      <c r="O1017" s="1527"/>
      <c r="P1017" s="1527"/>
      <c r="Q1017" s="1527"/>
      <c r="R1017" s="1527"/>
      <c r="S1017" s="1527"/>
      <c r="T1017" s="1527"/>
      <c r="U1017" s="1527"/>
      <c r="V1017" s="1527"/>
      <c r="W1017" s="1527"/>
      <c r="X1017" s="1527"/>
      <c r="Y1017" s="1527"/>
      <c r="Z1017" s="1527"/>
      <c r="AA1017" s="1527"/>
      <c r="AB1017" s="1527"/>
      <c r="AC1017" s="1527"/>
      <c r="AD1017" s="1527"/>
      <c r="AE1017" s="1528"/>
      <c r="AF1017" s="1402"/>
      <c r="AG1017" s="1403"/>
      <c r="AH1017" s="1403"/>
      <c r="AI1017" s="1404"/>
      <c r="AJ1017" s="1426"/>
      <c r="AK1017" s="1427"/>
      <c r="AL1017" s="1427"/>
      <c r="AM1017" s="1427"/>
      <c r="AN1017" s="1427"/>
      <c r="AO1017" s="1427"/>
      <c r="AP1017" s="1427"/>
      <c r="AQ1017" s="1428"/>
      <c r="AR1017" s="68"/>
      <c r="AS1017" s="68"/>
      <c r="AT1017" s="68"/>
      <c r="AU1017" s="68"/>
      <c r="AV1017" s="68"/>
      <c r="AW1017" s="68"/>
      <c r="AX1017" s="68"/>
      <c r="AY1017" s="213">
        <f>IF(A1091="Yes",0.01,0)</f>
        <v>0</v>
      </c>
    </row>
    <row r="1018" spans="1:51" ht="12.95" customHeight="1">
      <c r="A1018" s="14"/>
      <c r="B1018" s="81"/>
      <c r="C1018" s="82"/>
      <c r="D1018" s="1548"/>
      <c r="E1018" s="1549"/>
      <c r="F1018" s="1549"/>
      <c r="G1018" s="1549"/>
      <c r="H1018" s="1549"/>
      <c r="I1018" s="1549"/>
      <c r="J1018" s="1549"/>
      <c r="K1018" s="1549"/>
      <c r="L1018" s="1549"/>
      <c r="M1018" s="1549"/>
      <c r="N1018" s="1549"/>
      <c r="O1018" s="1549"/>
      <c r="P1018" s="1549"/>
      <c r="Q1018" s="1549"/>
      <c r="R1018" s="1549"/>
      <c r="S1018" s="1549"/>
      <c r="T1018" s="1549"/>
      <c r="U1018" s="1549"/>
      <c r="V1018" s="1549"/>
      <c r="W1018" s="1549"/>
      <c r="X1018" s="1549"/>
      <c r="Y1018" s="1549"/>
      <c r="Z1018" s="1549"/>
      <c r="AA1018" s="1549"/>
      <c r="AB1018" s="1549"/>
      <c r="AC1018" s="1549"/>
      <c r="AD1018" s="1549"/>
      <c r="AE1018" s="1550"/>
      <c r="AF1018" s="1405"/>
      <c r="AG1018" s="1406"/>
      <c r="AH1018" s="1406"/>
      <c r="AI1018" s="1407"/>
      <c r="AJ1018" s="1429"/>
      <c r="AK1018" s="1430"/>
      <c r="AL1018" s="1430"/>
      <c r="AM1018" s="1430"/>
      <c r="AN1018" s="1430"/>
      <c r="AO1018" s="1430"/>
      <c r="AP1018" s="1430"/>
      <c r="AQ1018" s="1431"/>
      <c r="AR1018" s="68"/>
      <c r="AS1018" s="68"/>
      <c r="AT1018" s="68"/>
      <c r="AU1018" s="68"/>
      <c r="AV1018" s="68"/>
      <c r="AW1018" s="68"/>
      <c r="AX1018" s="68"/>
      <c r="AY1018" s="213">
        <f>IF(A1094="Yes",0.01,0)</f>
        <v>0</v>
      </c>
    </row>
    <row r="1019" spans="1:51" ht="12.95" customHeight="1">
      <c r="A1019" s="14"/>
      <c r="B1019" s="79"/>
      <c r="C1019" s="80" t="s">
        <v>224</v>
      </c>
      <c r="D1019" s="1572" t="s">
        <v>1401</v>
      </c>
      <c r="E1019" s="1573"/>
      <c r="F1019" s="1573"/>
      <c r="G1019" s="1573"/>
      <c r="H1019" s="1573"/>
      <c r="I1019" s="1573"/>
      <c r="J1019" s="1573"/>
      <c r="K1019" s="1573"/>
      <c r="L1019" s="1573"/>
      <c r="M1019" s="1573"/>
      <c r="N1019" s="1573"/>
      <c r="O1019" s="1573"/>
      <c r="P1019" s="1573"/>
      <c r="Q1019" s="1573"/>
      <c r="R1019" s="1573"/>
      <c r="S1019" s="1573"/>
      <c r="T1019" s="1573"/>
      <c r="U1019" s="1573"/>
      <c r="V1019" s="1573"/>
      <c r="W1019" s="1573"/>
      <c r="X1019" s="1573"/>
      <c r="Y1019" s="1573"/>
      <c r="Z1019" s="1573"/>
      <c r="AA1019" s="1573"/>
      <c r="AB1019" s="1573"/>
      <c r="AC1019" s="1573"/>
      <c r="AD1019" s="1573"/>
      <c r="AE1019" s="1574"/>
      <c r="AF1019" s="79"/>
      <c r="AG1019" s="1543" t="s">
        <v>677</v>
      </c>
      <c r="AH1019" s="1544"/>
      <c r="AI1019" s="87"/>
      <c r="AJ1019" s="1423">
        <f>ROUND(IF(AND(AG1019="Yes",J1023&lt;&gt;"N/A",AF1022&lt;&gt;""),MIN(AF1022,(0.15*AJ991)),0),0)</f>
        <v>0</v>
      </c>
      <c r="AK1019" s="1424"/>
      <c r="AL1019" s="1424"/>
      <c r="AM1019" s="1424"/>
      <c r="AN1019" s="1424"/>
      <c r="AO1019" s="1424"/>
      <c r="AP1019" s="1424"/>
      <c r="AQ1019" s="1425"/>
      <c r="AR1019" s="68"/>
      <c r="AS1019" s="68"/>
      <c r="AT1019" s="68"/>
      <c r="AU1019" s="68"/>
      <c r="AV1019" s="68"/>
      <c r="AW1019" s="68"/>
      <c r="AX1019" s="68"/>
      <c r="AY1019" s="213">
        <f>IF(A1098="Yes",0.02,0)</f>
        <v>0</v>
      </c>
    </row>
    <row r="1020" spans="1:51" ht="12.95" customHeight="1">
      <c r="A1020" s="14"/>
      <c r="B1020" s="81"/>
      <c r="C1020" s="84"/>
      <c r="D1020" s="1575"/>
      <c r="E1020" s="1576"/>
      <c r="F1020" s="1576"/>
      <c r="G1020" s="1576"/>
      <c r="H1020" s="1576"/>
      <c r="I1020" s="1576"/>
      <c r="J1020" s="1576"/>
      <c r="K1020" s="1576"/>
      <c r="L1020" s="1576"/>
      <c r="M1020" s="1576"/>
      <c r="N1020" s="1576"/>
      <c r="O1020" s="1576"/>
      <c r="P1020" s="1576"/>
      <c r="Q1020" s="1576"/>
      <c r="R1020" s="1576"/>
      <c r="S1020" s="1576"/>
      <c r="T1020" s="1576"/>
      <c r="U1020" s="1576"/>
      <c r="V1020" s="1576"/>
      <c r="W1020" s="1576"/>
      <c r="X1020" s="1576"/>
      <c r="Y1020" s="1576"/>
      <c r="Z1020" s="1576"/>
      <c r="AA1020" s="1576"/>
      <c r="AB1020" s="1576"/>
      <c r="AC1020" s="1576"/>
      <c r="AD1020" s="1576"/>
      <c r="AE1020" s="1577"/>
      <c r="AF1020" s="1551" t="str">
        <f>IF(AG1019="yes","Please Select Type and Enter Amount:","")</f>
        <v/>
      </c>
      <c r="AG1020" s="1552"/>
      <c r="AH1020" s="1552"/>
      <c r="AI1020" s="1553"/>
      <c r="AJ1020" s="1426"/>
      <c r="AK1020" s="1427"/>
      <c r="AL1020" s="1427"/>
      <c r="AM1020" s="1427"/>
      <c r="AN1020" s="1427"/>
      <c r="AO1020" s="1427"/>
      <c r="AP1020" s="1427"/>
      <c r="AQ1020" s="1428"/>
      <c r="AR1020" s="68"/>
      <c r="AS1020" s="68"/>
      <c r="AT1020" s="68"/>
      <c r="AU1020" s="68"/>
      <c r="AV1020" s="68"/>
      <c r="AW1020" s="68"/>
      <c r="AX1020" s="68"/>
      <c r="AY1020" s="214">
        <f>IF(A1103="Yes",0.02,0)</f>
        <v>0</v>
      </c>
    </row>
    <row r="1021" spans="1:51" ht="12.95" customHeight="1">
      <c r="A1021" s="14"/>
      <c r="B1021" s="81"/>
      <c r="C1021" s="84"/>
      <c r="D1021" s="1526" t="s">
        <v>1402</v>
      </c>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51"/>
      <c r="AG1021" s="1552"/>
      <c r="AH1021" s="1552"/>
      <c r="AI1021" s="1553"/>
      <c r="AJ1021" s="1426"/>
      <c r="AK1021" s="1427"/>
      <c r="AL1021" s="1427"/>
      <c r="AM1021" s="1427"/>
      <c r="AN1021" s="1427"/>
      <c r="AO1021" s="1427"/>
      <c r="AP1021" s="1427"/>
      <c r="AQ1021" s="1428"/>
      <c r="AR1021" s="68"/>
      <c r="AS1021" s="68"/>
      <c r="AT1021" s="68"/>
      <c r="AU1021" s="68"/>
      <c r="AV1021" s="68"/>
      <c r="AW1021" s="68"/>
      <c r="AX1021" s="68"/>
      <c r="AY1021" s="68"/>
    </row>
    <row r="1022" spans="1:51" ht="12.95" customHeight="1">
      <c r="A1022" s="14"/>
      <c r="B1022" s="81"/>
      <c r="C1022" s="84"/>
      <c r="D1022" s="1526"/>
      <c r="E1022" s="1527"/>
      <c r="F1022" s="1527"/>
      <c r="G1022" s="1527"/>
      <c r="H1022" s="1527"/>
      <c r="I1022" s="1527"/>
      <c r="J1022" s="1527"/>
      <c r="K1022" s="1527"/>
      <c r="L1022" s="1527"/>
      <c r="M1022" s="1527"/>
      <c r="N1022" s="1527"/>
      <c r="O1022" s="1527"/>
      <c r="P1022" s="1527"/>
      <c r="Q1022" s="1527"/>
      <c r="R1022" s="1527"/>
      <c r="S1022" s="1527"/>
      <c r="T1022" s="1527"/>
      <c r="U1022" s="1527"/>
      <c r="V1022" s="1527"/>
      <c r="W1022" s="1527"/>
      <c r="X1022" s="1527"/>
      <c r="Y1022" s="1527"/>
      <c r="Z1022" s="1527"/>
      <c r="AA1022" s="1527"/>
      <c r="AB1022" s="1527"/>
      <c r="AC1022" s="1527"/>
      <c r="AD1022" s="1527"/>
      <c r="AE1022" s="1528"/>
      <c r="AF1022" s="1554"/>
      <c r="AG1022" s="1554"/>
      <c r="AH1022" s="1554"/>
      <c r="AI1022" s="1554"/>
      <c r="AJ1022" s="1426"/>
      <c r="AK1022" s="1427"/>
      <c r="AL1022" s="1427"/>
      <c r="AM1022" s="1427"/>
      <c r="AN1022" s="1427"/>
      <c r="AO1022" s="1427"/>
      <c r="AP1022" s="1427"/>
      <c r="AQ1022" s="1428"/>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29" t="s">
        <v>599</v>
      </c>
      <c r="K1023" s="1530"/>
      <c r="L1023" s="1530"/>
      <c r="M1023" s="1530"/>
      <c r="N1023" s="1530"/>
      <c r="O1023" s="1530"/>
      <c r="P1023" s="1530"/>
      <c r="Q1023" s="1530"/>
      <c r="R1023" s="1530"/>
      <c r="S1023" s="1530"/>
      <c r="T1023" s="1530"/>
      <c r="U1023" s="1530"/>
      <c r="V1023" s="1530"/>
      <c r="W1023" s="1530"/>
      <c r="X1023" s="1530"/>
      <c r="Y1023" s="1530"/>
      <c r="Z1023" s="1530"/>
      <c r="AA1023" s="1530"/>
      <c r="AB1023" s="1530"/>
      <c r="AC1023" s="1530"/>
      <c r="AD1023" s="1530"/>
      <c r="AE1023" s="1531"/>
      <c r="AF1023" s="1554"/>
      <c r="AG1023" s="1554"/>
      <c r="AH1023" s="1554"/>
      <c r="AI1023" s="1554"/>
      <c r="AJ1023" s="1429"/>
      <c r="AK1023" s="1430"/>
      <c r="AL1023" s="1430"/>
      <c r="AM1023" s="1430"/>
      <c r="AN1023" s="1430"/>
      <c r="AO1023" s="1430"/>
      <c r="AP1023" s="1430"/>
      <c r="AQ1023" s="1431"/>
      <c r="AR1023" s="68"/>
      <c r="AS1023" s="68"/>
      <c r="AT1023" s="68"/>
      <c r="AU1023" s="68"/>
      <c r="AV1023" s="68"/>
      <c r="AW1023" s="68"/>
      <c r="AX1023" s="68"/>
      <c r="AY1023" s="68"/>
    </row>
    <row r="1024" spans="1:51" ht="12.95" customHeight="1">
      <c r="A1024" s="14"/>
      <c r="B1024" s="79"/>
      <c r="C1024" s="80" t="s">
        <v>230</v>
      </c>
      <c r="D1024" s="1438" t="s">
        <v>1403</v>
      </c>
      <c r="E1024" s="1439"/>
      <c r="F1024" s="1439"/>
      <c r="G1024" s="1439"/>
      <c r="H1024" s="1439"/>
      <c r="I1024" s="1439"/>
      <c r="J1024" s="1439"/>
      <c r="K1024" s="1439"/>
      <c r="L1024" s="1439"/>
      <c r="M1024" s="1439"/>
      <c r="N1024" s="1439"/>
      <c r="O1024" s="1439"/>
      <c r="P1024" s="1439"/>
      <c r="Q1024" s="1439"/>
      <c r="R1024" s="1439"/>
      <c r="S1024" s="1439"/>
      <c r="T1024" s="1439"/>
      <c r="U1024" s="1439"/>
      <c r="V1024" s="1439"/>
      <c r="W1024" s="1439"/>
      <c r="X1024" s="1439"/>
      <c r="Y1024" s="1439"/>
      <c r="Z1024" s="1439"/>
      <c r="AA1024" s="1439"/>
      <c r="AB1024" s="1439"/>
      <c r="AC1024" s="1439"/>
      <c r="AD1024" s="1439"/>
      <c r="AE1024" s="1440"/>
      <c r="AF1024" s="79"/>
      <c r="AG1024" s="1543" t="s">
        <v>677</v>
      </c>
      <c r="AH1024" s="1544"/>
      <c r="AI1024" s="87"/>
      <c r="AJ1024" s="1423">
        <f>ROUND(IF(AG1024="Yes",AF1026,0),0)</f>
        <v>0</v>
      </c>
      <c r="AK1024" s="1424"/>
      <c r="AL1024" s="1424"/>
      <c r="AM1024" s="1424"/>
      <c r="AN1024" s="1424"/>
      <c r="AO1024" s="1424"/>
      <c r="AP1024" s="1424"/>
      <c r="AQ1024" s="1425"/>
      <c r="AR1024" s="68"/>
      <c r="AS1024" s="68"/>
      <c r="AT1024" s="68"/>
      <c r="AU1024" s="68"/>
      <c r="AV1024" s="68"/>
      <c r="AW1024" s="68"/>
      <c r="AX1024" s="68"/>
      <c r="AY1024" s="68"/>
    </row>
    <row r="1025" spans="1:51" ht="12.95" customHeight="1">
      <c r="A1025" s="14"/>
      <c r="B1025" s="73"/>
      <c r="C1025" s="74"/>
      <c r="D1025" s="1526" t="s">
        <v>1878</v>
      </c>
      <c r="E1025" s="1527"/>
      <c r="F1025" s="1527"/>
      <c r="G1025" s="1527"/>
      <c r="H1025" s="1527"/>
      <c r="I1025" s="1527"/>
      <c r="J1025" s="1527"/>
      <c r="K1025" s="1527"/>
      <c r="L1025" s="1527"/>
      <c r="M1025" s="1527"/>
      <c r="N1025" s="1527"/>
      <c r="O1025" s="1527"/>
      <c r="P1025" s="1527"/>
      <c r="Q1025" s="1527"/>
      <c r="R1025" s="1527"/>
      <c r="S1025" s="1527"/>
      <c r="T1025" s="1527"/>
      <c r="U1025" s="1527"/>
      <c r="V1025" s="1527"/>
      <c r="W1025" s="1527"/>
      <c r="X1025" s="1527"/>
      <c r="Y1025" s="1527"/>
      <c r="Z1025" s="1527"/>
      <c r="AA1025" s="1527"/>
      <c r="AB1025" s="1527"/>
      <c r="AC1025" s="1527"/>
      <c r="AD1025" s="1527"/>
      <c r="AE1025" s="1528"/>
      <c r="AF1025" s="1578" t="str">
        <f>IF(AG1024="yes","Enter Amount:","")</f>
        <v/>
      </c>
      <c r="AG1025" s="1579"/>
      <c r="AH1025" s="1579"/>
      <c r="AI1025" s="1580"/>
      <c r="AJ1025" s="1426"/>
      <c r="AK1025" s="1427"/>
      <c r="AL1025" s="1427"/>
      <c r="AM1025" s="1427"/>
      <c r="AN1025" s="1427"/>
      <c r="AO1025" s="1427"/>
      <c r="AP1025" s="1427"/>
      <c r="AQ1025" s="1428"/>
      <c r="AR1025" s="68"/>
      <c r="AS1025" s="68"/>
      <c r="AT1025" s="68"/>
      <c r="AU1025" s="68"/>
      <c r="AV1025" s="68"/>
      <c r="AW1025" s="68"/>
      <c r="AX1025" s="68"/>
      <c r="AY1025" s="68"/>
    </row>
    <row r="1026" spans="1:51" ht="12.95" customHeight="1">
      <c r="A1026" s="14"/>
      <c r="B1026" s="73"/>
      <c r="C1026" s="74"/>
      <c r="D1026" s="1526"/>
      <c r="E1026" s="1527"/>
      <c r="F1026" s="1527"/>
      <c r="G1026" s="1527"/>
      <c r="H1026" s="1527"/>
      <c r="I1026" s="1527"/>
      <c r="J1026" s="1527"/>
      <c r="K1026" s="1527"/>
      <c r="L1026" s="1527"/>
      <c r="M1026" s="1527"/>
      <c r="N1026" s="1527"/>
      <c r="O1026" s="1527"/>
      <c r="P1026" s="1527"/>
      <c r="Q1026" s="1527"/>
      <c r="R1026" s="1527"/>
      <c r="S1026" s="1527"/>
      <c r="T1026" s="1527"/>
      <c r="U1026" s="1527"/>
      <c r="V1026" s="1527"/>
      <c r="W1026" s="1527"/>
      <c r="X1026" s="1527"/>
      <c r="Y1026" s="1527"/>
      <c r="Z1026" s="1527"/>
      <c r="AA1026" s="1527"/>
      <c r="AB1026" s="1527"/>
      <c r="AC1026" s="1527"/>
      <c r="AD1026" s="1527"/>
      <c r="AE1026" s="1528"/>
      <c r="AF1026" s="1554"/>
      <c r="AG1026" s="1554"/>
      <c r="AH1026" s="1554"/>
      <c r="AI1026" s="1554"/>
      <c r="AJ1026" s="1426"/>
      <c r="AK1026" s="1427"/>
      <c r="AL1026" s="1427"/>
      <c r="AM1026" s="1427"/>
      <c r="AN1026" s="1427"/>
      <c r="AO1026" s="1427"/>
      <c r="AP1026" s="1427"/>
      <c r="AQ1026" s="1428"/>
      <c r="AR1026" s="68"/>
      <c r="AS1026" s="68"/>
      <c r="AT1026" s="68"/>
      <c r="AU1026" s="68"/>
      <c r="AV1026" s="68"/>
      <c r="AW1026" s="68"/>
      <c r="AX1026" s="68"/>
      <c r="AY1026" s="68"/>
    </row>
    <row r="1027" spans="1:51" ht="12.95" customHeight="1">
      <c r="A1027" s="14"/>
      <c r="B1027" s="85"/>
      <c r="C1027" s="84"/>
      <c r="D1027" s="1548"/>
      <c r="E1027" s="1549"/>
      <c r="F1027" s="1549"/>
      <c r="G1027" s="1549"/>
      <c r="H1027" s="1549"/>
      <c r="I1027" s="1549"/>
      <c r="J1027" s="1549"/>
      <c r="K1027" s="1549"/>
      <c r="L1027" s="1549"/>
      <c r="M1027" s="1549"/>
      <c r="N1027" s="1549"/>
      <c r="O1027" s="1549"/>
      <c r="P1027" s="1549"/>
      <c r="Q1027" s="1549"/>
      <c r="R1027" s="1549"/>
      <c r="S1027" s="1549"/>
      <c r="T1027" s="1549"/>
      <c r="U1027" s="1549"/>
      <c r="V1027" s="1549"/>
      <c r="W1027" s="1549"/>
      <c r="X1027" s="1549"/>
      <c r="Y1027" s="1549"/>
      <c r="Z1027" s="1549"/>
      <c r="AA1027" s="1549"/>
      <c r="AB1027" s="1549"/>
      <c r="AC1027" s="1549"/>
      <c r="AD1027" s="1549"/>
      <c r="AE1027" s="1550"/>
      <c r="AF1027" s="1554"/>
      <c r="AG1027" s="1554"/>
      <c r="AH1027" s="1554"/>
      <c r="AI1027" s="1554"/>
      <c r="AJ1027" s="1429"/>
      <c r="AK1027" s="1430"/>
      <c r="AL1027" s="1430"/>
      <c r="AM1027" s="1430"/>
      <c r="AN1027" s="1430"/>
      <c r="AO1027" s="1430"/>
      <c r="AP1027" s="1430"/>
      <c r="AQ1027" s="1431"/>
      <c r="AR1027" s="68"/>
      <c r="AS1027" s="68"/>
      <c r="AT1027" s="68"/>
      <c r="AU1027" s="68"/>
      <c r="AV1027" s="68"/>
      <c r="AW1027" s="68"/>
      <c r="AX1027" s="68"/>
      <c r="AY1027" s="68"/>
    </row>
    <row r="1028" spans="1:51" ht="12.95" customHeight="1">
      <c r="A1028" s="14"/>
      <c r="B1028" s="79"/>
      <c r="C1028" s="80" t="s">
        <v>235</v>
      </c>
      <c r="D1028" s="1545" t="s">
        <v>1404</v>
      </c>
      <c r="E1028" s="1546"/>
      <c r="F1028" s="1546"/>
      <c r="G1028" s="1546"/>
      <c r="H1028" s="1546"/>
      <c r="I1028" s="1546"/>
      <c r="J1028" s="1546"/>
      <c r="K1028" s="1546"/>
      <c r="L1028" s="1546"/>
      <c r="M1028" s="1546"/>
      <c r="N1028" s="1546"/>
      <c r="O1028" s="1546"/>
      <c r="P1028" s="1546"/>
      <c r="Q1028" s="1546"/>
      <c r="R1028" s="1546"/>
      <c r="S1028" s="1546"/>
      <c r="T1028" s="1546"/>
      <c r="U1028" s="1546"/>
      <c r="V1028" s="1546"/>
      <c r="W1028" s="1546"/>
      <c r="X1028" s="1546"/>
      <c r="Y1028" s="1546"/>
      <c r="Z1028" s="1546"/>
      <c r="AA1028" s="1546"/>
      <c r="AB1028" s="1546"/>
      <c r="AC1028" s="1546"/>
      <c r="AD1028" s="1546"/>
      <c r="AE1028" s="1547"/>
      <c r="AF1028" s="79"/>
      <c r="AG1028" s="1543" t="s">
        <v>677</v>
      </c>
      <c r="AH1028" s="1544"/>
      <c r="AI1028" s="87"/>
      <c r="AJ1028" s="1423">
        <f>ROUND(IF(AG1028="yes",(AJ991*0.1),0),0)</f>
        <v>0</v>
      </c>
      <c r="AK1028" s="1424"/>
      <c r="AL1028" s="1424"/>
      <c r="AM1028" s="1424"/>
      <c r="AN1028" s="1424"/>
      <c r="AO1028" s="1424"/>
      <c r="AP1028" s="1424"/>
      <c r="AQ1028" s="1425"/>
      <c r="AR1028" s="68"/>
      <c r="AS1028" s="68"/>
      <c r="AT1028" s="68"/>
      <c r="AU1028" s="68"/>
      <c r="AV1028" s="68"/>
      <c r="AW1028" s="68"/>
      <c r="AX1028" s="68"/>
      <c r="AY1028" s="68"/>
    </row>
    <row r="1029" spans="1:51" ht="12.95" customHeight="1">
      <c r="A1029" s="14"/>
      <c r="B1029" s="73"/>
      <c r="C1029" s="74"/>
      <c r="D1029" s="1526" t="s">
        <v>1405</v>
      </c>
      <c r="E1029" s="1527"/>
      <c r="F1029" s="1527"/>
      <c r="G1029" s="1527"/>
      <c r="H1029" s="1527"/>
      <c r="I1029" s="1527"/>
      <c r="J1029" s="1527"/>
      <c r="K1029" s="1527"/>
      <c r="L1029" s="1527"/>
      <c r="M1029" s="1527"/>
      <c r="N1029" s="1527"/>
      <c r="O1029" s="1527"/>
      <c r="P1029" s="1527"/>
      <c r="Q1029" s="1527"/>
      <c r="R1029" s="1527"/>
      <c r="S1029" s="1527"/>
      <c r="T1029" s="1527"/>
      <c r="U1029" s="1527"/>
      <c r="V1029" s="1527"/>
      <c r="W1029" s="1527"/>
      <c r="X1029" s="1527"/>
      <c r="Y1029" s="1527"/>
      <c r="Z1029" s="1527"/>
      <c r="AA1029" s="1527"/>
      <c r="AB1029" s="1527"/>
      <c r="AC1029" s="1527"/>
      <c r="AD1029" s="1527"/>
      <c r="AE1029" s="1528"/>
      <c r="AF1029" s="73"/>
      <c r="AG1029" s="14"/>
      <c r="AH1029" s="14"/>
      <c r="AI1029" s="83"/>
      <c r="AJ1029" s="1426"/>
      <c r="AK1029" s="1427"/>
      <c r="AL1029" s="1427"/>
      <c r="AM1029" s="1427"/>
      <c r="AN1029" s="1427"/>
      <c r="AO1029" s="1427"/>
      <c r="AP1029" s="1427"/>
      <c r="AQ1029" s="1428"/>
      <c r="AR1029" s="68"/>
      <c r="AS1029" s="68"/>
      <c r="AT1029" s="68"/>
      <c r="AU1029" s="68"/>
      <c r="AV1029" s="68"/>
      <c r="AW1029" s="68"/>
      <c r="AX1029" s="68"/>
      <c r="AY1029" s="68"/>
    </row>
    <row r="1030" spans="1:51" ht="12.95" customHeight="1">
      <c r="A1030" s="14"/>
      <c r="B1030" s="77"/>
      <c r="C1030" s="74"/>
      <c r="D1030" s="1548"/>
      <c r="E1030" s="1549"/>
      <c r="F1030" s="1549"/>
      <c r="G1030" s="1549"/>
      <c r="H1030" s="1549"/>
      <c r="I1030" s="1549"/>
      <c r="J1030" s="1549"/>
      <c r="K1030" s="1549"/>
      <c r="L1030" s="1549"/>
      <c r="M1030" s="1549"/>
      <c r="N1030" s="1549"/>
      <c r="O1030" s="1549"/>
      <c r="P1030" s="1549"/>
      <c r="Q1030" s="1549"/>
      <c r="R1030" s="1549"/>
      <c r="S1030" s="1549"/>
      <c r="T1030" s="1549"/>
      <c r="U1030" s="1549"/>
      <c r="V1030" s="1549"/>
      <c r="W1030" s="1549"/>
      <c r="X1030" s="1549"/>
      <c r="Y1030" s="1549"/>
      <c r="Z1030" s="1549"/>
      <c r="AA1030" s="1549"/>
      <c r="AB1030" s="1549"/>
      <c r="AC1030" s="1549"/>
      <c r="AD1030" s="1549"/>
      <c r="AE1030" s="1550"/>
      <c r="AF1030" s="73"/>
      <c r="AG1030" s="14"/>
      <c r="AH1030" s="14"/>
      <c r="AI1030" s="83"/>
      <c r="AJ1030" s="1429"/>
      <c r="AK1030" s="1430"/>
      <c r="AL1030" s="1430"/>
      <c r="AM1030" s="1430"/>
      <c r="AN1030" s="1430"/>
      <c r="AO1030" s="1430"/>
      <c r="AP1030" s="1430"/>
      <c r="AQ1030" s="1431"/>
      <c r="AR1030" s="68"/>
      <c r="AS1030" s="68"/>
      <c r="AT1030" s="68"/>
      <c r="AU1030" s="68"/>
      <c r="AV1030" s="68"/>
      <c r="AW1030" s="68"/>
      <c r="AX1030" s="68"/>
      <c r="AY1030" s="68"/>
    </row>
    <row r="1031" spans="1:51" ht="12.95" customHeight="1">
      <c r="A1031" s="14"/>
      <c r="B1031" s="73"/>
      <c r="C1031" s="367" t="s">
        <v>696</v>
      </c>
      <c r="D1031" s="1438" t="s">
        <v>1874</v>
      </c>
      <c r="E1031" s="1439"/>
      <c r="F1031" s="1439"/>
      <c r="G1031" s="1439"/>
      <c r="H1031" s="1439"/>
      <c r="I1031" s="1439"/>
      <c r="J1031" s="1439"/>
      <c r="K1031" s="1439"/>
      <c r="L1031" s="1439"/>
      <c r="M1031" s="1439"/>
      <c r="N1031" s="1439"/>
      <c r="O1031" s="1439"/>
      <c r="P1031" s="1439"/>
      <c r="Q1031" s="1439"/>
      <c r="R1031" s="1439"/>
      <c r="S1031" s="1439"/>
      <c r="T1031" s="1439"/>
      <c r="U1031" s="1439"/>
      <c r="V1031" s="1439"/>
      <c r="W1031" s="1439"/>
      <c r="X1031" s="1439"/>
      <c r="Y1031" s="1439"/>
      <c r="Z1031" s="1439"/>
      <c r="AA1031" s="1439"/>
      <c r="AB1031" s="1439"/>
      <c r="AC1031" s="1439"/>
      <c r="AD1031" s="1439"/>
      <c r="AE1031" s="1440"/>
      <c r="AF1031" s="79"/>
      <c r="AG1031" s="1543" t="s">
        <v>677</v>
      </c>
      <c r="AH1031" s="1544"/>
      <c r="AI1031" s="87"/>
      <c r="AJ1031" s="1423">
        <f>ROUND(IF(AG1031="yes",(AJ991*0.15),0),0)</f>
        <v>0</v>
      </c>
      <c r="AK1031" s="1424"/>
      <c r="AL1031" s="1424"/>
      <c r="AM1031" s="1424"/>
      <c r="AN1031" s="1424"/>
      <c r="AO1031" s="1424"/>
      <c r="AP1031" s="1424"/>
      <c r="AQ1031" s="1425"/>
      <c r="AR1031" s="68"/>
      <c r="AS1031" s="68"/>
      <c r="AT1031" s="68"/>
      <c r="AU1031" s="68"/>
      <c r="AV1031" s="68"/>
      <c r="AW1031" s="68"/>
      <c r="AX1031" s="68"/>
      <c r="AY1031" s="68"/>
    </row>
    <row r="1032" spans="1:51" ht="12.95" customHeight="1">
      <c r="A1032" s="14"/>
      <c r="B1032" s="73"/>
      <c r="C1032" s="74"/>
      <c r="D1032" s="1567" t="s">
        <v>1875</v>
      </c>
      <c r="E1032" s="1274"/>
      <c r="F1032" s="1274"/>
      <c r="G1032" s="1274"/>
      <c r="H1032" s="1274"/>
      <c r="I1032" s="1274"/>
      <c r="J1032" s="1274"/>
      <c r="K1032" s="1274"/>
      <c r="L1032" s="1274"/>
      <c r="M1032" s="1274"/>
      <c r="N1032" s="1274"/>
      <c r="O1032" s="1274"/>
      <c r="P1032" s="1274"/>
      <c r="Q1032" s="1274"/>
      <c r="R1032" s="1274"/>
      <c r="S1032" s="1274"/>
      <c r="T1032" s="1274"/>
      <c r="U1032" s="1274"/>
      <c r="V1032" s="1274"/>
      <c r="W1032" s="1274"/>
      <c r="X1032" s="1274"/>
      <c r="Y1032" s="1274"/>
      <c r="Z1032" s="1274"/>
      <c r="AA1032" s="1274"/>
      <c r="AB1032" s="1274"/>
      <c r="AC1032" s="1274"/>
      <c r="AD1032" s="1274"/>
      <c r="AE1032" s="1568"/>
      <c r="AF1032" s="950"/>
      <c r="AG1032" s="951"/>
      <c r="AH1032" s="951"/>
      <c r="AI1032" s="952"/>
      <c r="AJ1032" s="1426"/>
      <c r="AK1032" s="1427"/>
      <c r="AL1032" s="1427"/>
      <c r="AM1032" s="1427"/>
      <c r="AN1032" s="1427"/>
      <c r="AO1032" s="1427"/>
      <c r="AP1032" s="1427"/>
      <c r="AQ1032" s="1428"/>
      <c r="AR1032" s="68"/>
      <c r="AS1032" s="68"/>
      <c r="AT1032" s="68"/>
      <c r="AU1032" s="68"/>
      <c r="AV1032" s="68"/>
      <c r="AW1032" s="68"/>
      <c r="AX1032" s="68"/>
      <c r="AY1032" s="68"/>
    </row>
    <row r="1033" spans="1:51" ht="12.95" customHeight="1">
      <c r="A1033" s="14"/>
      <c r="B1033" s="73"/>
      <c r="C1033" s="74"/>
      <c r="D1033" s="1567"/>
      <c r="E1033" s="1274"/>
      <c r="F1033" s="1274"/>
      <c r="G1033" s="1274"/>
      <c r="H1033" s="1274"/>
      <c r="I1033" s="1274"/>
      <c r="J1033" s="1274"/>
      <c r="K1033" s="1274"/>
      <c r="L1033" s="1274"/>
      <c r="M1033" s="1274"/>
      <c r="N1033" s="1274"/>
      <c r="O1033" s="1274"/>
      <c r="P1033" s="1274"/>
      <c r="Q1033" s="1274"/>
      <c r="R1033" s="1274"/>
      <c r="S1033" s="1274"/>
      <c r="T1033" s="1274"/>
      <c r="U1033" s="1274"/>
      <c r="V1033" s="1274"/>
      <c r="W1033" s="1274"/>
      <c r="X1033" s="1274"/>
      <c r="Y1033" s="1274"/>
      <c r="Z1033" s="1274"/>
      <c r="AA1033" s="1274"/>
      <c r="AB1033" s="1274"/>
      <c r="AC1033" s="1274"/>
      <c r="AD1033" s="1274"/>
      <c r="AE1033" s="1568"/>
      <c r="AF1033" s="950"/>
      <c r="AG1033" s="951"/>
      <c r="AH1033" s="951"/>
      <c r="AI1033" s="952"/>
      <c r="AJ1033" s="1426"/>
      <c r="AK1033" s="1427"/>
      <c r="AL1033" s="1427"/>
      <c r="AM1033" s="1427"/>
      <c r="AN1033" s="1427"/>
      <c r="AO1033" s="1427"/>
      <c r="AP1033" s="1427"/>
      <c r="AQ1033" s="1428"/>
      <c r="AR1033" s="68"/>
      <c r="AS1033" s="68"/>
      <c r="AT1033" s="68"/>
      <c r="AU1033" s="68"/>
      <c r="AV1033" s="68"/>
      <c r="AW1033" s="68"/>
      <c r="AX1033" s="68"/>
      <c r="AY1033" s="68"/>
    </row>
    <row r="1034" spans="1:51" ht="12.95" customHeight="1">
      <c r="A1034" s="14"/>
      <c r="B1034" s="73"/>
      <c r="C1034" s="74"/>
      <c r="D1034" s="1569"/>
      <c r="E1034" s="1570"/>
      <c r="F1034" s="1570"/>
      <c r="G1034" s="1570"/>
      <c r="H1034" s="1570"/>
      <c r="I1034" s="1570"/>
      <c r="J1034" s="1570"/>
      <c r="K1034" s="1570"/>
      <c r="L1034" s="1570"/>
      <c r="M1034" s="1570"/>
      <c r="N1034" s="1570"/>
      <c r="O1034" s="1570"/>
      <c r="P1034" s="1570"/>
      <c r="Q1034" s="1570"/>
      <c r="R1034" s="1570"/>
      <c r="S1034" s="1570"/>
      <c r="T1034" s="1570"/>
      <c r="U1034" s="1570"/>
      <c r="V1034" s="1570"/>
      <c r="W1034" s="1570"/>
      <c r="X1034" s="1570"/>
      <c r="Y1034" s="1570"/>
      <c r="Z1034" s="1570"/>
      <c r="AA1034" s="1570"/>
      <c r="AB1034" s="1570"/>
      <c r="AC1034" s="1570"/>
      <c r="AD1034" s="1570"/>
      <c r="AE1034" s="1571"/>
      <c r="AF1034" s="953"/>
      <c r="AG1034" s="954"/>
      <c r="AH1034" s="954"/>
      <c r="AI1034" s="955"/>
      <c r="AJ1034" s="1429"/>
      <c r="AK1034" s="1430"/>
      <c r="AL1034" s="1430"/>
      <c r="AM1034" s="1430"/>
      <c r="AN1034" s="1430"/>
      <c r="AO1034" s="1430"/>
      <c r="AP1034" s="1430"/>
      <c r="AQ1034" s="1431"/>
      <c r="AR1034" s="68"/>
      <c r="AS1034" s="68"/>
      <c r="AT1034" s="68"/>
      <c r="AU1034" s="68"/>
      <c r="AV1034" s="68"/>
      <c r="AW1034" s="68"/>
      <c r="AX1034" s="68"/>
      <c r="AY1034" s="68"/>
    </row>
    <row r="1035" spans="1:51" ht="12.95" customHeight="1">
      <c r="A1035" s="14"/>
      <c r="B1035" s="73"/>
      <c r="C1035" s="367" t="s">
        <v>696</v>
      </c>
      <c r="D1035" s="1545" t="s">
        <v>1876</v>
      </c>
      <c r="E1035" s="1546"/>
      <c r="F1035" s="1546"/>
      <c r="G1035" s="1546"/>
      <c r="H1035" s="1546"/>
      <c r="I1035" s="1546"/>
      <c r="J1035" s="1546"/>
      <c r="K1035" s="1546"/>
      <c r="L1035" s="1546"/>
      <c r="M1035" s="1546"/>
      <c r="N1035" s="1546"/>
      <c r="O1035" s="1546"/>
      <c r="P1035" s="1546"/>
      <c r="Q1035" s="1546"/>
      <c r="R1035" s="1546"/>
      <c r="S1035" s="1546"/>
      <c r="T1035" s="1546"/>
      <c r="U1035" s="1546"/>
      <c r="V1035" s="1546"/>
      <c r="W1035" s="1546"/>
      <c r="X1035" s="1546"/>
      <c r="Y1035" s="1546"/>
      <c r="Z1035" s="1546"/>
      <c r="AA1035" s="1546"/>
      <c r="AB1035" s="1546"/>
      <c r="AC1035" s="1546"/>
      <c r="AD1035" s="1546"/>
      <c r="AE1035" s="1547"/>
      <c r="AF1035" s="73"/>
      <c r="AG1035" s="1620" t="s">
        <v>677</v>
      </c>
      <c r="AH1035" s="1621"/>
      <c r="AI1035" s="83"/>
      <c r="AJ1035" s="1423">
        <f>ROUND(IF(AND(AG1035="yes",AJ1031=0),(AJ991*0.1),0),0)</f>
        <v>0</v>
      </c>
      <c r="AK1035" s="1424"/>
      <c r="AL1035" s="1424"/>
      <c r="AM1035" s="1424"/>
      <c r="AN1035" s="1424"/>
      <c r="AO1035" s="1424"/>
      <c r="AP1035" s="1424"/>
      <c r="AQ1035" s="1425"/>
      <c r="AR1035" s="68"/>
      <c r="AS1035" s="68"/>
      <c r="AT1035" s="68"/>
      <c r="AU1035" s="68"/>
      <c r="AV1035" s="68"/>
      <c r="AW1035" s="68"/>
      <c r="AX1035" s="68"/>
      <c r="AY1035" s="68"/>
    </row>
    <row r="1036" spans="1:51" ht="12.95" customHeight="1">
      <c r="A1036" s="14"/>
      <c r="B1036" s="73"/>
      <c r="C1036" s="74"/>
      <c r="D1036" s="1567" t="s">
        <v>1877</v>
      </c>
      <c r="E1036" s="1274"/>
      <c r="F1036" s="1274"/>
      <c r="G1036" s="1274"/>
      <c r="H1036" s="1274"/>
      <c r="I1036" s="1274"/>
      <c r="J1036" s="1274"/>
      <c r="K1036" s="1274"/>
      <c r="L1036" s="1274"/>
      <c r="M1036" s="1274"/>
      <c r="N1036" s="1274"/>
      <c r="O1036" s="1274"/>
      <c r="P1036" s="1274"/>
      <c r="Q1036" s="1274"/>
      <c r="R1036" s="1274"/>
      <c r="S1036" s="1274"/>
      <c r="T1036" s="1274"/>
      <c r="U1036" s="1274"/>
      <c r="V1036" s="1274"/>
      <c r="W1036" s="1274"/>
      <c r="X1036" s="1274"/>
      <c r="Y1036" s="1274"/>
      <c r="Z1036" s="1274"/>
      <c r="AA1036" s="1274"/>
      <c r="AB1036" s="1274"/>
      <c r="AC1036" s="1274"/>
      <c r="AD1036" s="1274"/>
      <c r="AE1036" s="1568"/>
      <c r="AF1036" s="73"/>
      <c r="AG1036" s="14"/>
      <c r="AH1036" s="14"/>
      <c r="AI1036" s="83"/>
      <c r="AJ1036" s="1426"/>
      <c r="AK1036" s="1427"/>
      <c r="AL1036" s="1427"/>
      <c r="AM1036" s="1427"/>
      <c r="AN1036" s="1427"/>
      <c r="AO1036" s="1427"/>
      <c r="AP1036" s="1427"/>
      <c r="AQ1036" s="1428"/>
      <c r="AR1036" s="68"/>
      <c r="AS1036" s="68"/>
      <c r="AT1036" s="68"/>
      <c r="AU1036" s="68"/>
      <c r="AV1036" s="68"/>
      <c r="AW1036" s="68"/>
      <c r="AX1036" s="68"/>
      <c r="AY1036" s="68"/>
    </row>
    <row r="1037" spans="1:51" ht="12.95" customHeight="1">
      <c r="A1037" s="14"/>
      <c r="B1037" s="73"/>
      <c r="C1037" s="74"/>
      <c r="D1037" s="1567"/>
      <c r="E1037" s="1274"/>
      <c r="F1037" s="1274"/>
      <c r="G1037" s="1274"/>
      <c r="H1037" s="1274"/>
      <c r="I1037" s="1274"/>
      <c r="J1037" s="1274"/>
      <c r="K1037" s="1274"/>
      <c r="L1037" s="1274"/>
      <c r="M1037" s="1274"/>
      <c r="N1037" s="1274"/>
      <c r="O1037" s="1274"/>
      <c r="P1037" s="1274"/>
      <c r="Q1037" s="1274"/>
      <c r="R1037" s="1274"/>
      <c r="S1037" s="1274"/>
      <c r="T1037" s="1274"/>
      <c r="U1037" s="1274"/>
      <c r="V1037" s="1274"/>
      <c r="W1037" s="1274"/>
      <c r="X1037" s="1274"/>
      <c r="Y1037" s="1274"/>
      <c r="Z1037" s="1274"/>
      <c r="AA1037" s="1274"/>
      <c r="AB1037" s="1274"/>
      <c r="AC1037" s="1274"/>
      <c r="AD1037" s="1274"/>
      <c r="AE1037" s="1568"/>
      <c r="AF1037" s="73"/>
      <c r="AG1037" s="14"/>
      <c r="AH1037" s="14"/>
      <c r="AI1037" s="83"/>
      <c r="AJ1037" s="1426"/>
      <c r="AK1037" s="1427"/>
      <c r="AL1037" s="1427"/>
      <c r="AM1037" s="1427"/>
      <c r="AN1037" s="1427"/>
      <c r="AO1037" s="1427"/>
      <c r="AP1037" s="1427"/>
      <c r="AQ1037" s="1428"/>
      <c r="AR1037" s="68"/>
      <c r="AS1037" s="68"/>
      <c r="AT1037" s="68"/>
      <c r="AU1037" s="68"/>
      <c r="AV1037" s="68"/>
      <c r="AW1037" s="68"/>
      <c r="AX1037" s="68"/>
      <c r="AY1037" s="68"/>
    </row>
    <row r="1038" spans="1:51" ht="12.95" customHeight="1">
      <c r="A1038" s="14"/>
      <c r="B1038" s="73"/>
      <c r="C1038" s="74"/>
      <c r="D1038" s="1567"/>
      <c r="E1038" s="1274"/>
      <c r="F1038" s="1274"/>
      <c r="G1038" s="1274"/>
      <c r="H1038" s="1274"/>
      <c r="I1038" s="1274"/>
      <c r="J1038" s="1274"/>
      <c r="K1038" s="1274"/>
      <c r="L1038" s="1274"/>
      <c r="M1038" s="1274"/>
      <c r="N1038" s="1274"/>
      <c r="O1038" s="1274"/>
      <c r="P1038" s="1274"/>
      <c r="Q1038" s="1274"/>
      <c r="R1038" s="1274"/>
      <c r="S1038" s="1274"/>
      <c r="T1038" s="1274"/>
      <c r="U1038" s="1274"/>
      <c r="V1038" s="1274"/>
      <c r="W1038" s="1274"/>
      <c r="X1038" s="1274"/>
      <c r="Y1038" s="1274"/>
      <c r="Z1038" s="1274"/>
      <c r="AA1038" s="1274"/>
      <c r="AB1038" s="1274"/>
      <c r="AC1038" s="1274"/>
      <c r="AD1038" s="1274"/>
      <c r="AE1038" s="1568"/>
      <c r="AF1038" s="73"/>
      <c r="AG1038" s="14"/>
      <c r="AH1038" s="14"/>
      <c r="AI1038" s="83"/>
      <c r="AJ1038" s="1426"/>
      <c r="AK1038" s="1427"/>
      <c r="AL1038" s="1427"/>
      <c r="AM1038" s="1427"/>
      <c r="AN1038" s="1427"/>
      <c r="AO1038" s="1427"/>
      <c r="AP1038" s="1427"/>
      <c r="AQ1038" s="1428"/>
      <c r="AR1038" s="68"/>
      <c r="AS1038" s="68"/>
      <c r="AT1038" s="68"/>
      <c r="AU1038" s="68"/>
      <c r="AV1038" s="68"/>
      <c r="AW1038" s="68"/>
      <c r="AX1038" s="68"/>
      <c r="AY1038" s="68"/>
    </row>
    <row r="1039" spans="1:51" ht="12.95" customHeight="1">
      <c r="A1039" s="14"/>
      <c r="B1039" s="73"/>
      <c r="C1039" s="74"/>
      <c r="D1039" s="1569"/>
      <c r="E1039" s="1570"/>
      <c r="F1039" s="1570"/>
      <c r="G1039" s="1570"/>
      <c r="H1039" s="1570"/>
      <c r="I1039" s="1570"/>
      <c r="J1039" s="1570"/>
      <c r="K1039" s="1570"/>
      <c r="L1039" s="1570"/>
      <c r="M1039" s="1570"/>
      <c r="N1039" s="1570"/>
      <c r="O1039" s="1570"/>
      <c r="P1039" s="1570"/>
      <c r="Q1039" s="1570"/>
      <c r="R1039" s="1570"/>
      <c r="S1039" s="1570"/>
      <c r="T1039" s="1570"/>
      <c r="U1039" s="1570"/>
      <c r="V1039" s="1570"/>
      <c r="W1039" s="1570"/>
      <c r="X1039" s="1570"/>
      <c r="Y1039" s="1570"/>
      <c r="Z1039" s="1570"/>
      <c r="AA1039" s="1570"/>
      <c r="AB1039" s="1570"/>
      <c r="AC1039" s="1570"/>
      <c r="AD1039" s="1570"/>
      <c r="AE1039" s="1571"/>
      <c r="AF1039" s="73"/>
      <c r="AG1039" s="14"/>
      <c r="AH1039" s="14"/>
      <c r="AI1039" s="83"/>
      <c r="AJ1039" s="1426"/>
      <c r="AK1039" s="1427"/>
      <c r="AL1039" s="1427"/>
      <c r="AM1039" s="1427"/>
      <c r="AN1039" s="1427"/>
      <c r="AO1039" s="1427"/>
      <c r="AP1039" s="1427"/>
      <c r="AQ1039" s="1428"/>
      <c r="AR1039" s="68"/>
      <c r="AS1039" s="68"/>
      <c r="AT1039" s="68"/>
      <c r="AU1039" s="68"/>
      <c r="AV1039" s="68"/>
      <c r="AW1039" s="68"/>
      <c r="AX1039" s="68"/>
      <c r="AY1039" s="68"/>
    </row>
    <row r="1040" spans="1:51" ht="12.95" customHeight="1">
      <c r="A1040" s="14"/>
      <c r="B1040" s="79"/>
      <c r="C1040" s="131" t="s">
        <v>1034</v>
      </c>
      <c r="D1040" s="1438" t="s">
        <v>1406</v>
      </c>
      <c r="E1040" s="1439"/>
      <c r="F1040" s="1439"/>
      <c r="G1040" s="1439"/>
      <c r="H1040" s="1439"/>
      <c r="I1040" s="1439"/>
      <c r="J1040" s="1439"/>
      <c r="K1040" s="1439"/>
      <c r="L1040" s="1439"/>
      <c r="M1040" s="1439"/>
      <c r="N1040" s="1439"/>
      <c r="O1040" s="1439"/>
      <c r="P1040" s="1439"/>
      <c r="Q1040" s="1439"/>
      <c r="R1040" s="1439"/>
      <c r="S1040" s="1439"/>
      <c r="T1040" s="1439"/>
      <c r="U1040" s="1439"/>
      <c r="V1040" s="1439"/>
      <c r="W1040" s="1439"/>
      <c r="X1040" s="1439"/>
      <c r="Y1040" s="1439"/>
      <c r="Z1040" s="1439"/>
      <c r="AA1040" s="1439"/>
      <c r="AB1040" s="1439"/>
      <c r="AC1040" s="1439"/>
      <c r="AD1040" s="1439"/>
      <c r="AE1040" s="1440"/>
      <c r="AF1040" s="79"/>
      <c r="AG1040" s="1543" t="s">
        <v>677</v>
      </c>
      <c r="AH1040" s="1544"/>
      <c r="AI1040" s="87"/>
      <c r="AJ1040" s="1423">
        <f>ROUND(IF(AG1040="yes",(AJ991*0.1),0),0)</f>
        <v>0</v>
      </c>
      <c r="AK1040" s="1424"/>
      <c r="AL1040" s="1424"/>
      <c r="AM1040" s="1424"/>
      <c r="AN1040" s="1424"/>
      <c r="AO1040" s="1424"/>
      <c r="AP1040" s="1424"/>
      <c r="AQ1040" s="1425"/>
      <c r="AR1040" s="68"/>
      <c r="AS1040" s="68"/>
      <c r="AT1040" s="68"/>
      <c r="AU1040" s="68"/>
      <c r="AV1040" s="68"/>
      <c r="AW1040" s="68"/>
      <c r="AX1040" s="68"/>
      <c r="AY1040" s="68"/>
    </row>
    <row r="1041" spans="1:51" ht="12.95" customHeight="1">
      <c r="A1041" s="14"/>
      <c r="B1041" s="73"/>
      <c r="C1041" s="74"/>
      <c r="D1041" s="1526" t="s">
        <v>2502</v>
      </c>
      <c r="E1041" s="1527"/>
      <c r="F1041" s="1527"/>
      <c r="G1041" s="1527"/>
      <c r="H1041" s="1527"/>
      <c r="I1041" s="1527"/>
      <c r="J1041" s="1527"/>
      <c r="K1041" s="1527"/>
      <c r="L1041" s="1527"/>
      <c r="M1041" s="1527"/>
      <c r="N1041" s="1527"/>
      <c r="O1041" s="1527"/>
      <c r="P1041" s="1527"/>
      <c r="Q1041" s="1527"/>
      <c r="R1041" s="1527"/>
      <c r="S1041" s="1527"/>
      <c r="T1041" s="1527"/>
      <c r="U1041" s="1527"/>
      <c r="V1041" s="1527"/>
      <c r="W1041" s="1527"/>
      <c r="X1041" s="1527"/>
      <c r="Y1041" s="1527"/>
      <c r="Z1041" s="1527"/>
      <c r="AA1041" s="1527"/>
      <c r="AB1041" s="1527"/>
      <c r="AC1041" s="1527"/>
      <c r="AD1041" s="1527"/>
      <c r="AE1041" s="1528"/>
      <c r="AF1041" s="73"/>
      <c r="AG1041" s="14"/>
      <c r="AH1041" s="14"/>
      <c r="AI1041" s="83"/>
      <c r="AJ1041" s="1426"/>
      <c r="AK1041" s="1427"/>
      <c r="AL1041" s="1427"/>
      <c r="AM1041" s="1427"/>
      <c r="AN1041" s="1427"/>
      <c r="AO1041" s="1427"/>
      <c r="AP1041" s="1427"/>
      <c r="AQ1041" s="1428"/>
      <c r="AR1041" s="68"/>
      <c r="AS1041" s="68"/>
      <c r="AT1041" s="68"/>
      <c r="AU1041" s="68"/>
      <c r="AV1041" s="68"/>
      <c r="AW1041" s="68"/>
      <c r="AX1041" s="68"/>
      <c r="AY1041" s="68"/>
    </row>
    <row r="1042" spans="1:51" ht="12.95" customHeight="1">
      <c r="A1042" s="14"/>
      <c r="B1042" s="73"/>
      <c r="C1042" s="74"/>
      <c r="D1042" s="1526"/>
      <c r="E1042" s="1527"/>
      <c r="F1042" s="1527"/>
      <c r="G1042" s="1527"/>
      <c r="H1042" s="1527"/>
      <c r="I1042" s="1527"/>
      <c r="J1042" s="1527"/>
      <c r="K1042" s="1527"/>
      <c r="L1042" s="1527"/>
      <c r="M1042" s="1527"/>
      <c r="N1042" s="1527"/>
      <c r="O1042" s="1527"/>
      <c r="P1042" s="1527"/>
      <c r="Q1042" s="1527"/>
      <c r="R1042" s="1527"/>
      <c r="S1042" s="1527"/>
      <c r="T1042" s="1527"/>
      <c r="U1042" s="1527"/>
      <c r="V1042" s="1527"/>
      <c r="W1042" s="1527"/>
      <c r="X1042" s="1527"/>
      <c r="Y1042" s="1527"/>
      <c r="Z1042" s="1527"/>
      <c r="AA1042" s="1527"/>
      <c r="AB1042" s="1527"/>
      <c r="AC1042" s="1527"/>
      <c r="AD1042" s="1527"/>
      <c r="AE1042" s="1528"/>
      <c r="AF1042" s="73"/>
      <c r="AG1042" s="14"/>
      <c r="AH1042" s="14"/>
      <c r="AI1042" s="83"/>
      <c r="AJ1042" s="1426"/>
      <c r="AK1042" s="1427"/>
      <c r="AL1042" s="1427"/>
      <c r="AM1042" s="1427"/>
      <c r="AN1042" s="1427"/>
      <c r="AO1042" s="1427"/>
      <c r="AP1042" s="1427"/>
      <c r="AQ1042" s="1428"/>
      <c r="AR1042" s="68"/>
      <c r="AS1042" s="68"/>
      <c r="AT1042" s="68"/>
      <c r="AU1042" s="68"/>
      <c r="AV1042" s="68"/>
      <c r="AW1042" s="68"/>
      <c r="AX1042" s="68"/>
      <c r="AY1042" s="68"/>
    </row>
    <row r="1043" spans="1:51" ht="12.95" customHeight="1">
      <c r="A1043" s="14"/>
      <c r="B1043" s="73"/>
      <c r="C1043" s="74"/>
      <c r="D1043" s="1548"/>
      <c r="E1043" s="1549"/>
      <c r="F1043" s="1549"/>
      <c r="G1043" s="1549"/>
      <c r="H1043" s="1549"/>
      <c r="I1043" s="1549"/>
      <c r="J1043" s="1549"/>
      <c r="K1043" s="1549"/>
      <c r="L1043" s="1549"/>
      <c r="M1043" s="1549"/>
      <c r="N1043" s="1549"/>
      <c r="O1043" s="1549"/>
      <c r="P1043" s="1549"/>
      <c r="Q1043" s="1549"/>
      <c r="R1043" s="1549"/>
      <c r="S1043" s="1549"/>
      <c r="T1043" s="1549"/>
      <c r="U1043" s="1549"/>
      <c r="V1043" s="1549"/>
      <c r="W1043" s="1549"/>
      <c r="X1043" s="1549"/>
      <c r="Y1043" s="1549"/>
      <c r="Z1043" s="1549"/>
      <c r="AA1043" s="1549"/>
      <c r="AB1043" s="1549"/>
      <c r="AC1043" s="1549"/>
      <c r="AD1043" s="1549"/>
      <c r="AE1043" s="1550"/>
      <c r="AF1043" s="73"/>
      <c r="AG1043" s="14"/>
      <c r="AH1043" s="14"/>
      <c r="AI1043" s="83"/>
      <c r="AJ1043" s="1429"/>
      <c r="AK1043" s="1430"/>
      <c r="AL1043" s="1430"/>
      <c r="AM1043" s="1430"/>
      <c r="AN1043" s="1430"/>
      <c r="AO1043" s="1430"/>
      <c r="AP1043" s="1430"/>
      <c r="AQ1043" s="1431"/>
      <c r="AR1043" s="68"/>
      <c r="AS1043" s="68"/>
      <c r="AT1043" s="68"/>
      <c r="AU1043" s="68"/>
      <c r="AV1043" s="68"/>
      <c r="AW1043" s="68"/>
      <c r="AX1043" s="68"/>
      <c r="AY1043" s="68"/>
    </row>
    <row r="1044" spans="1:51" ht="12.95" customHeight="1">
      <c r="A1044" s="14"/>
      <c r="B1044" s="79"/>
      <c r="C1044" s="131" t="s">
        <v>1872</v>
      </c>
      <c r="D1044" s="1545" t="s">
        <v>2054</v>
      </c>
      <c r="E1044" s="1546"/>
      <c r="F1044" s="1546"/>
      <c r="G1044" s="1546"/>
      <c r="H1044" s="1546"/>
      <c r="I1044" s="1546"/>
      <c r="J1044" s="1546"/>
      <c r="K1044" s="1546"/>
      <c r="L1044" s="1546"/>
      <c r="M1044" s="1546"/>
      <c r="N1044" s="1546"/>
      <c r="O1044" s="1546"/>
      <c r="P1044" s="1546"/>
      <c r="Q1044" s="1546"/>
      <c r="R1044" s="1546"/>
      <c r="S1044" s="1546"/>
      <c r="T1044" s="1546"/>
      <c r="U1044" s="1546"/>
      <c r="V1044" s="1546"/>
      <c r="W1044" s="1546"/>
      <c r="X1044" s="1546"/>
      <c r="Y1044" s="1546"/>
      <c r="Z1044" s="1546"/>
      <c r="AA1044" s="1546"/>
      <c r="AB1044" s="1546"/>
      <c r="AC1044" s="1546"/>
      <c r="AD1044" s="1546"/>
      <c r="AE1044" s="1547"/>
      <c r="AF1044" s="79"/>
      <c r="AG1044" s="1606" t="str">
        <f>IF(X1047&gt;0,"Yes","No")</f>
        <v>Yes</v>
      </c>
      <c r="AH1044" s="1607"/>
      <c r="AI1044" s="87"/>
      <c r="AJ1044" s="1423">
        <f>IF((X1047=0),0,AY1004*AJ991)</f>
        <v>7513236</v>
      </c>
      <c r="AK1044" s="1424"/>
      <c r="AL1044" s="1424"/>
      <c r="AM1044" s="1424"/>
      <c r="AN1044" s="1424"/>
      <c r="AO1044" s="1424"/>
      <c r="AP1044" s="1424"/>
      <c r="AQ1044" s="1425"/>
      <c r="AR1044" s="68"/>
      <c r="AS1044" s="68"/>
      <c r="AT1044" s="68"/>
      <c r="AU1044" s="68"/>
      <c r="AV1044" s="68"/>
      <c r="AW1044" s="68"/>
      <c r="AX1044" s="68"/>
      <c r="AY1044" s="68"/>
    </row>
    <row r="1045" spans="1:51" ht="12.95" customHeight="1">
      <c r="A1045" s="14"/>
      <c r="B1045" s="73"/>
      <c r="C1045" s="476"/>
      <c r="D1045" s="1526" t="s">
        <v>1408</v>
      </c>
      <c r="E1045" s="1527"/>
      <c r="F1045" s="1527"/>
      <c r="G1045" s="1527"/>
      <c r="H1045" s="1527"/>
      <c r="I1045" s="1527"/>
      <c r="J1045" s="1527"/>
      <c r="K1045" s="1527"/>
      <c r="L1045" s="1527"/>
      <c r="M1045" s="1527"/>
      <c r="N1045" s="1527"/>
      <c r="O1045" s="1527"/>
      <c r="P1045" s="1527"/>
      <c r="Q1045" s="1527"/>
      <c r="R1045" s="1527"/>
      <c r="S1045" s="1527"/>
      <c r="T1045" s="1527"/>
      <c r="U1045" s="1527"/>
      <c r="V1045" s="1527"/>
      <c r="W1045" s="1527"/>
      <c r="X1045" s="1527"/>
      <c r="Y1045" s="1527"/>
      <c r="Z1045" s="1527"/>
      <c r="AA1045" s="1527"/>
      <c r="AB1045" s="1527"/>
      <c r="AC1045" s="1527"/>
      <c r="AD1045" s="1527"/>
      <c r="AE1045" s="1528"/>
      <c r="AF1045" s="73"/>
      <c r="AG1045" s="477"/>
      <c r="AH1045" s="477"/>
      <c r="AI1045" s="83"/>
      <c r="AJ1045" s="1426"/>
      <c r="AK1045" s="1427"/>
      <c r="AL1045" s="1427"/>
      <c r="AM1045" s="1427"/>
      <c r="AN1045" s="1427"/>
      <c r="AO1045" s="1427"/>
      <c r="AP1045" s="1427"/>
      <c r="AQ1045" s="1428"/>
      <c r="AR1045" s="68"/>
      <c r="AS1045" s="68"/>
      <c r="AT1045" s="68"/>
      <c r="AU1045" s="13"/>
      <c r="AV1045" s="68"/>
      <c r="AW1045" s="68"/>
      <c r="AX1045" s="68"/>
      <c r="AY1045" s="68"/>
    </row>
    <row r="1046" spans="1:51" ht="12.95" customHeight="1">
      <c r="A1046" s="14"/>
      <c r="B1046" s="73"/>
      <c r="C1046" s="476"/>
      <c r="D1046" s="1526"/>
      <c r="E1046" s="1527"/>
      <c r="F1046" s="1527"/>
      <c r="G1046" s="1527"/>
      <c r="H1046" s="1527"/>
      <c r="I1046" s="1527"/>
      <c r="J1046" s="1527"/>
      <c r="K1046" s="1527"/>
      <c r="L1046" s="1527"/>
      <c r="M1046" s="1527"/>
      <c r="N1046" s="1527"/>
      <c r="O1046" s="1527"/>
      <c r="P1046" s="1527"/>
      <c r="Q1046" s="1527"/>
      <c r="R1046" s="1527"/>
      <c r="S1046" s="1527"/>
      <c r="T1046" s="1527"/>
      <c r="U1046" s="1527"/>
      <c r="V1046" s="1527"/>
      <c r="W1046" s="1527"/>
      <c r="X1046" s="1527"/>
      <c r="Y1046" s="1527"/>
      <c r="Z1046" s="1527"/>
      <c r="AA1046" s="1527"/>
      <c r="AB1046" s="1527"/>
      <c r="AC1046" s="1527"/>
      <c r="AD1046" s="1527"/>
      <c r="AE1046" s="1528"/>
      <c r="AF1046" s="73"/>
      <c r="AG1046" s="477"/>
      <c r="AH1046" s="477"/>
      <c r="AI1046" s="83"/>
      <c r="AJ1046" s="1426"/>
      <c r="AK1046" s="1427"/>
      <c r="AL1046" s="1427"/>
      <c r="AM1046" s="1427"/>
      <c r="AN1046" s="1427"/>
      <c r="AO1046" s="1427"/>
      <c r="AP1046" s="1427"/>
      <c r="AQ1046" s="1428"/>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18">
        <f>AY1002</f>
        <v>196</v>
      </c>
      <c r="J1047" s="1619"/>
      <c r="K1047" s="7"/>
      <c r="L1047" s="133"/>
      <c r="M1047" s="133"/>
      <c r="N1047" s="133"/>
      <c r="O1047" s="133"/>
      <c r="P1047" s="133"/>
      <c r="Q1047" s="133"/>
      <c r="R1047" s="133"/>
      <c r="S1047" s="133"/>
      <c r="T1047" s="133"/>
      <c r="U1047" s="133"/>
      <c r="V1047" s="134" t="s">
        <v>992</v>
      </c>
      <c r="W1047" s="48"/>
      <c r="X1047" s="1616">
        <f>BG632</f>
        <v>20</v>
      </c>
      <c r="Y1047" s="1617"/>
      <c r="Z1047" s="48"/>
      <c r="AA1047" s="48"/>
      <c r="AB1047" s="48"/>
      <c r="AC1047" s="48"/>
      <c r="AD1047" s="48"/>
      <c r="AE1047" s="49"/>
      <c r="AF1047" s="959"/>
      <c r="AG1047" s="960"/>
      <c r="AH1047" s="960"/>
      <c r="AI1047" s="961"/>
      <c r="AJ1047" s="1429"/>
      <c r="AK1047" s="1430"/>
      <c r="AL1047" s="1430"/>
      <c r="AM1047" s="1430"/>
      <c r="AN1047" s="1430"/>
      <c r="AO1047" s="1430"/>
      <c r="AP1047" s="1430"/>
      <c r="AQ1047" s="1431"/>
      <c r="AR1047" s="68"/>
      <c r="AS1047" s="68"/>
      <c r="AT1047" s="68"/>
      <c r="AU1047" s="14"/>
      <c r="AV1047" s="68"/>
      <c r="AW1047" s="68"/>
      <c r="AX1047" s="68"/>
      <c r="AY1047" s="68"/>
    </row>
    <row r="1048" spans="1:51" ht="12.95" customHeight="1">
      <c r="A1048" s="14"/>
      <c r="B1048" s="79"/>
      <c r="C1048" s="131" t="s">
        <v>1873</v>
      </c>
      <c r="D1048" s="1438" t="s">
        <v>2531</v>
      </c>
      <c r="E1048" s="1439"/>
      <c r="F1048" s="1439"/>
      <c r="G1048" s="1439"/>
      <c r="H1048" s="1439"/>
      <c r="I1048" s="1439"/>
      <c r="J1048" s="1439"/>
      <c r="K1048" s="1439"/>
      <c r="L1048" s="1439"/>
      <c r="M1048" s="1439"/>
      <c r="N1048" s="1439"/>
      <c r="O1048" s="1439"/>
      <c r="P1048" s="1439"/>
      <c r="Q1048" s="1439"/>
      <c r="R1048" s="1439"/>
      <c r="S1048" s="1439"/>
      <c r="T1048" s="1439"/>
      <c r="U1048" s="1439"/>
      <c r="V1048" s="1439"/>
      <c r="W1048" s="1439"/>
      <c r="X1048" s="1439"/>
      <c r="Y1048" s="1439"/>
      <c r="Z1048" s="1439"/>
      <c r="AA1048" s="1439"/>
      <c r="AB1048" s="1439"/>
      <c r="AC1048" s="1439"/>
      <c r="AD1048" s="1439"/>
      <c r="AE1048" s="1440"/>
      <c r="AF1048" s="73"/>
      <c r="AG1048" s="1606" t="str">
        <f>IF(X1051&gt;0,"Yes","No")</f>
        <v>Yes</v>
      </c>
      <c r="AH1048" s="1607"/>
      <c r="AI1048" s="83"/>
      <c r="AJ1048" s="1423">
        <f>IF((X1051=0),0,(2*AY1005)*AJ991)</f>
        <v>15026472</v>
      </c>
      <c r="AK1048" s="1424"/>
      <c r="AL1048" s="1424"/>
      <c r="AM1048" s="1424"/>
      <c r="AN1048" s="1424"/>
      <c r="AO1048" s="1424"/>
      <c r="AP1048" s="1424"/>
      <c r="AQ1048" s="1425"/>
      <c r="AR1048" s="68"/>
      <c r="AS1048" s="68"/>
      <c r="AT1048" s="68"/>
      <c r="AU1048" s="14"/>
      <c r="AV1048" s="68"/>
      <c r="AW1048" s="68"/>
      <c r="AX1048" s="68"/>
      <c r="AY1048" s="68"/>
    </row>
    <row r="1049" spans="1:51" ht="12.95" customHeight="1">
      <c r="A1049" s="14"/>
      <c r="B1049" s="73"/>
      <c r="C1049" s="476"/>
      <c r="D1049" s="1526" t="s">
        <v>1407</v>
      </c>
      <c r="E1049" s="1527"/>
      <c r="F1049" s="1527"/>
      <c r="G1049" s="1527"/>
      <c r="H1049" s="1527"/>
      <c r="I1049" s="1527"/>
      <c r="J1049" s="1527"/>
      <c r="K1049" s="1527"/>
      <c r="L1049" s="1527"/>
      <c r="M1049" s="1527"/>
      <c r="N1049" s="1527"/>
      <c r="O1049" s="1527"/>
      <c r="P1049" s="1527"/>
      <c r="Q1049" s="1527"/>
      <c r="R1049" s="1527"/>
      <c r="S1049" s="1527"/>
      <c r="T1049" s="1527"/>
      <c r="U1049" s="1527"/>
      <c r="V1049" s="1527"/>
      <c r="W1049" s="1527"/>
      <c r="X1049" s="1527"/>
      <c r="Y1049" s="1527"/>
      <c r="Z1049" s="1527"/>
      <c r="AA1049" s="1527"/>
      <c r="AB1049" s="1527"/>
      <c r="AC1049" s="1527"/>
      <c r="AD1049" s="1527"/>
      <c r="AE1049" s="1528"/>
      <c r="AF1049" s="73"/>
      <c r="AG1049" s="477"/>
      <c r="AH1049" s="477"/>
      <c r="AI1049" s="83"/>
      <c r="AJ1049" s="1426"/>
      <c r="AK1049" s="1427"/>
      <c r="AL1049" s="1427"/>
      <c r="AM1049" s="1427"/>
      <c r="AN1049" s="1427"/>
      <c r="AO1049" s="1427"/>
      <c r="AP1049" s="1427"/>
      <c r="AQ1049" s="1428"/>
      <c r="AR1049" s="68"/>
      <c r="AS1049" s="68"/>
      <c r="AT1049" s="68"/>
      <c r="AU1049" s="68"/>
      <c r="AV1049" s="68"/>
      <c r="AW1049" s="68"/>
      <c r="AX1049" s="68"/>
      <c r="AY1049" s="68"/>
    </row>
    <row r="1050" spans="1:51" ht="12.95" customHeight="1">
      <c r="A1050" s="14"/>
      <c r="B1050" s="73"/>
      <c r="C1050" s="83"/>
      <c r="D1050" s="1526"/>
      <c r="E1050" s="1527"/>
      <c r="F1050" s="1527"/>
      <c r="G1050" s="1527"/>
      <c r="H1050" s="1527"/>
      <c r="I1050" s="1527"/>
      <c r="J1050" s="1527"/>
      <c r="K1050" s="1527"/>
      <c r="L1050" s="1527"/>
      <c r="M1050" s="1527"/>
      <c r="N1050" s="1527"/>
      <c r="O1050" s="1527"/>
      <c r="P1050" s="1527"/>
      <c r="Q1050" s="1527"/>
      <c r="R1050" s="1527"/>
      <c r="S1050" s="1527"/>
      <c r="T1050" s="1527"/>
      <c r="U1050" s="1527"/>
      <c r="V1050" s="1527"/>
      <c r="W1050" s="1527"/>
      <c r="X1050" s="1527"/>
      <c r="Y1050" s="1527"/>
      <c r="Z1050" s="1527"/>
      <c r="AA1050" s="1527"/>
      <c r="AB1050" s="1527"/>
      <c r="AC1050" s="1527"/>
      <c r="AD1050" s="1527"/>
      <c r="AE1050" s="1528"/>
      <c r="AF1050" s="956"/>
      <c r="AG1050" s="957"/>
      <c r="AH1050" s="957"/>
      <c r="AI1050" s="958"/>
      <c r="AJ1050" s="1426"/>
      <c r="AK1050" s="1427"/>
      <c r="AL1050" s="1427"/>
      <c r="AM1050" s="1427"/>
      <c r="AN1050" s="1427"/>
      <c r="AO1050" s="1427"/>
      <c r="AP1050" s="1427"/>
      <c r="AQ1050" s="1428"/>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18">
        <f>AY1002</f>
        <v>196</v>
      </c>
      <c r="J1051" s="1619"/>
      <c r="K1051" s="14"/>
      <c r="L1051" s="133"/>
      <c r="M1051" s="133"/>
      <c r="N1051" s="133"/>
      <c r="O1051" s="133"/>
      <c r="P1051" s="133"/>
      <c r="Q1051" s="133"/>
      <c r="R1051" s="133"/>
      <c r="S1051" s="133"/>
      <c r="T1051" s="133"/>
      <c r="U1051" s="133"/>
      <c r="V1051" s="134" t="s">
        <v>993</v>
      </c>
      <c r="X1051" s="1616">
        <f>BK632</f>
        <v>20</v>
      </c>
      <c r="Y1051" s="1617"/>
      <c r="AF1051" s="959"/>
      <c r="AG1051" s="960"/>
      <c r="AH1051" s="960"/>
      <c r="AI1051" s="961"/>
      <c r="AJ1051" s="1429"/>
      <c r="AK1051" s="1430"/>
      <c r="AL1051" s="1430"/>
      <c r="AM1051" s="1430"/>
      <c r="AN1051" s="1430"/>
      <c r="AO1051" s="1430"/>
      <c r="AP1051" s="1430"/>
      <c r="AQ1051" s="1431"/>
      <c r="AR1051" s="68"/>
      <c r="AS1051" s="68"/>
      <c r="AT1051" s="68"/>
      <c r="AU1051" s="68"/>
      <c r="AV1051" s="68"/>
      <c r="AW1051" s="68"/>
      <c r="AX1051" s="68"/>
      <c r="AY1051" s="68"/>
    </row>
    <row r="1052" spans="1:51" ht="12.95" customHeight="1">
      <c r="A1052" s="14"/>
      <c r="B1052" s="102"/>
      <c r="C1052" s="103"/>
      <c r="D1052" s="1614" t="s">
        <v>521</v>
      </c>
      <c r="E1052" s="1614"/>
      <c r="F1052" s="1614"/>
      <c r="G1052" s="1614"/>
      <c r="H1052" s="1614"/>
      <c r="I1052" s="1614"/>
      <c r="J1052" s="1614"/>
      <c r="K1052" s="1614"/>
      <c r="L1052" s="1614"/>
      <c r="M1052" s="1614"/>
      <c r="N1052" s="1614"/>
      <c r="O1052" s="1614"/>
      <c r="P1052" s="1614"/>
      <c r="Q1052" s="1614"/>
      <c r="R1052" s="1614"/>
      <c r="S1052" s="1614"/>
      <c r="T1052" s="1614"/>
      <c r="U1052" s="1614"/>
      <c r="V1052" s="1614"/>
      <c r="W1052" s="1614"/>
      <c r="X1052" s="1614"/>
      <c r="Y1052" s="1614"/>
      <c r="Z1052" s="1614"/>
      <c r="AA1052" s="1614"/>
      <c r="AB1052" s="1614"/>
      <c r="AC1052" s="1614"/>
      <c r="AD1052" s="1614"/>
      <c r="AE1052" s="1614"/>
      <c r="AF1052" s="1614"/>
      <c r="AG1052" s="1614"/>
      <c r="AH1052" s="1614"/>
      <c r="AI1052" s="1615"/>
      <c r="AJ1052" s="1603">
        <f>SUM(AJ991:AQ1051)</f>
        <v>97672068</v>
      </c>
      <c r="AK1052" s="1604"/>
      <c r="AL1052" s="1604"/>
      <c r="AM1052" s="1604"/>
      <c r="AN1052" s="1604"/>
      <c r="AO1052" s="1604"/>
      <c r="AP1052" s="1604"/>
      <c r="AQ1052" s="160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21">
        <f>IF(ISNA(IF((AJ1019&gt;(AJ991*0.15)),"(f) cannot be greater than 15% of unadjusted eligible basis.",0)),"",(IF((AJ1019&gt;(AJ991*0.15)),"(f) cannot be greater than 15% of unadjusted eligible basis.",0)))</f>
        <v>0</v>
      </c>
      <c r="C1059" s="1421"/>
      <c r="D1059" s="1421"/>
      <c r="E1059" s="1421"/>
      <c r="F1059" s="1421"/>
      <c r="G1059" s="1421"/>
      <c r="H1059" s="1421"/>
      <c r="I1059" s="1421"/>
      <c r="J1059" s="1421"/>
      <c r="K1059" s="1421"/>
      <c r="L1059" s="1421"/>
      <c r="M1059" s="1421"/>
      <c r="N1059" s="1421"/>
      <c r="O1059" s="1421"/>
      <c r="P1059" s="1421"/>
      <c r="Q1059" s="1421"/>
      <c r="R1059" s="1421"/>
      <c r="S1059" s="1421"/>
      <c r="T1059" s="1421"/>
      <c r="U1059" s="1421"/>
      <c r="V1059" s="1421"/>
      <c r="W1059" s="1421"/>
      <c r="X1059" s="1421"/>
      <c r="Y1059" s="1421"/>
      <c r="Z1059" s="1421"/>
      <c r="AA1059" s="1421"/>
      <c r="AB1059" s="1421"/>
      <c r="AC1059" s="1421"/>
      <c r="AD1059" s="1421"/>
      <c r="AE1059" s="1421"/>
      <c r="AF1059" s="1421"/>
      <c r="AG1059" s="1421"/>
      <c r="AH1059" s="1421"/>
      <c r="AI1059" s="1421"/>
      <c r="AJ1059" s="1421"/>
      <c r="AK1059" s="1421"/>
      <c r="AL1059" s="1421"/>
      <c r="AM1059" s="1421"/>
      <c r="AN1059" s="1421"/>
      <c r="AO1059" s="1421"/>
      <c r="AP1059" s="1421"/>
      <c r="AQ1059" s="68"/>
      <c r="AR1059" s="68"/>
      <c r="AS1059" s="68"/>
      <c r="AT1059" s="68"/>
      <c r="AU1059" s="68"/>
      <c r="AV1059" s="68"/>
      <c r="AW1059" s="68"/>
      <c r="AX1059" s="68"/>
      <c r="AY1059" s="68"/>
    </row>
    <row r="1060" spans="1:51" ht="12.95" customHeight="1">
      <c r="A1060" s="1306" t="s">
        <v>803</v>
      </c>
      <c r="B1060" s="1306"/>
      <c r="C1060" s="1306"/>
      <c r="D1060" s="1306"/>
      <c r="E1060" s="1306"/>
      <c r="F1060" s="1306"/>
      <c r="G1060" s="1306"/>
      <c r="H1060" s="1306"/>
      <c r="I1060" s="1306"/>
      <c r="J1060" s="1306"/>
      <c r="K1060" s="1306"/>
      <c r="L1060" s="1306"/>
      <c r="M1060" s="1306"/>
      <c r="N1060" s="1306"/>
      <c r="O1060" s="1306"/>
      <c r="P1060" s="1306"/>
      <c r="Q1060" s="1306"/>
      <c r="R1060" s="1306"/>
      <c r="S1060" s="1306"/>
      <c r="T1060" s="1306"/>
      <c r="U1060" s="1306"/>
      <c r="V1060" s="1306"/>
      <c r="W1060" s="1306"/>
      <c r="X1060" s="1306"/>
      <c r="Y1060" s="1306"/>
      <c r="Z1060" s="1306"/>
      <c r="AA1060" s="1306"/>
      <c r="AB1060" s="1306"/>
      <c r="AC1060" s="1306"/>
      <c r="AD1060" s="1306"/>
      <c r="AE1060" s="1306"/>
      <c r="AF1060" s="1306"/>
      <c r="AG1060" s="1306"/>
      <c r="AH1060" s="1306"/>
      <c r="AI1060" s="1306"/>
      <c r="AJ1060" s="1306"/>
      <c r="AK1060" s="1306"/>
      <c r="AL1060" s="1306"/>
      <c r="AM1060" s="1306"/>
      <c r="AN1060" s="1306"/>
      <c r="AO1060" s="1306"/>
      <c r="AP1060" s="1306"/>
      <c r="AQ1060" s="1306"/>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3" t="s">
        <v>599</v>
      </c>
      <c r="B1064" s="1383"/>
      <c r="C1064" s="8">
        <v>1</v>
      </c>
      <c r="D1064" s="1270" t="s">
        <v>1133</v>
      </c>
      <c r="E1064" s="1270"/>
      <c r="F1064" s="1270"/>
      <c r="G1064" s="1270"/>
      <c r="H1064" s="1270"/>
      <c r="I1064" s="1270"/>
      <c r="J1064" s="1270"/>
      <c r="K1064" s="1270"/>
      <c r="L1064" s="1270"/>
      <c r="M1064" s="1270"/>
      <c r="N1064" s="1270"/>
      <c r="O1064" s="1270"/>
      <c r="P1064" s="1270"/>
      <c r="Q1064" s="1270"/>
      <c r="R1064" s="1270"/>
      <c r="S1064" s="1270"/>
      <c r="T1064" s="1270"/>
      <c r="U1064" s="1270"/>
      <c r="V1064" s="1270"/>
      <c r="W1064" s="1270"/>
      <c r="X1064" s="1270"/>
      <c r="Y1064" s="1270"/>
      <c r="Z1064" s="1270"/>
      <c r="AA1064" s="1270"/>
      <c r="AB1064" s="1270"/>
      <c r="AC1064" s="1270"/>
      <c r="AD1064" s="1270"/>
      <c r="AE1064" s="1270"/>
      <c r="AF1064" s="1270"/>
      <c r="AG1064" s="1270"/>
      <c r="AH1064" s="1270"/>
      <c r="AI1064" s="1270"/>
      <c r="AJ1064" s="1270"/>
      <c r="AK1064" s="1270"/>
      <c r="AL1064" s="68"/>
      <c r="AM1064" s="68"/>
      <c r="AN1064" s="68"/>
      <c r="AO1064" s="68"/>
      <c r="AP1064" s="68"/>
      <c r="AQ1064" s="68"/>
      <c r="AR1064" s="68"/>
      <c r="AS1064" s="68"/>
      <c r="AT1064" s="68"/>
      <c r="AV1064" s="68"/>
      <c r="AW1064" s="68"/>
      <c r="AX1064" s="68"/>
      <c r="AY1064" s="68"/>
    </row>
    <row r="1065" spans="1:51" ht="12.95" customHeight="1">
      <c r="A1065" s="1"/>
      <c r="B1065" s="1"/>
      <c r="C1065" s="8"/>
      <c r="D1065" s="1270"/>
      <c r="E1065" s="1270"/>
      <c r="F1065" s="1270"/>
      <c r="G1065" s="1270"/>
      <c r="H1065" s="1270"/>
      <c r="I1065" s="1270"/>
      <c r="J1065" s="1270"/>
      <c r="K1065" s="1270"/>
      <c r="L1065" s="1270"/>
      <c r="M1065" s="1270"/>
      <c r="N1065" s="1270"/>
      <c r="O1065" s="1270"/>
      <c r="P1065" s="1270"/>
      <c r="Q1065" s="1270"/>
      <c r="R1065" s="1270"/>
      <c r="S1065" s="1270"/>
      <c r="T1065" s="1270"/>
      <c r="U1065" s="1270"/>
      <c r="V1065" s="1270"/>
      <c r="W1065" s="1270"/>
      <c r="X1065" s="1270"/>
      <c r="Y1065" s="1270"/>
      <c r="Z1065" s="1270"/>
      <c r="AA1065" s="1270"/>
      <c r="AB1065" s="1270"/>
      <c r="AC1065" s="1270"/>
      <c r="AD1065" s="1270"/>
      <c r="AE1065" s="1270"/>
      <c r="AF1065" s="1270"/>
      <c r="AG1065" s="1270"/>
      <c r="AH1065" s="1270"/>
      <c r="AI1065" s="1270"/>
      <c r="AJ1065" s="1270"/>
      <c r="AK1065" s="1270"/>
      <c r="AL1065" s="68"/>
      <c r="AM1065" s="68"/>
      <c r="AN1065" s="68"/>
      <c r="AO1065" s="68"/>
      <c r="AP1065" s="68"/>
      <c r="AQ1065" s="68"/>
      <c r="AR1065" s="68"/>
      <c r="AS1065" s="68"/>
      <c r="AT1065" s="68"/>
      <c r="AV1065" s="68"/>
      <c r="AW1065" s="68"/>
      <c r="AX1065" s="68"/>
      <c r="AY1065" s="68"/>
    </row>
    <row r="1066" spans="1:51" ht="12.95" customHeight="1">
      <c r="A1066" s="1"/>
      <c r="B1066" s="1"/>
      <c r="C1066" s="8"/>
      <c r="D1066" s="1270"/>
      <c r="E1066" s="1270"/>
      <c r="F1066" s="1270"/>
      <c r="G1066" s="1270"/>
      <c r="H1066" s="1270"/>
      <c r="I1066" s="1270"/>
      <c r="J1066" s="1270"/>
      <c r="K1066" s="1270"/>
      <c r="L1066" s="1270"/>
      <c r="M1066" s="1270"/>
      <c r="N1066" s="1270"/>
      <c r="O1066" s="1270"/>
      <c r="P1066" s="1270"/>
      <c r="Q1066" s="1270"/>
      <c r="R1066" s="1270"/>
      <c r="S1066" s="1270"/>
      <c r="T1066" s="1270"/>
      <c r="U1066" s="1270"/>
      <c r="V1066" s="1270"/>
      <c r="W1066" s="1270"/>
      <c r="X1066" s="1270"/>
      <c r="Y1066" s="1270"/>
      <c r="Z1066" s="1270"/>
      <c r="AA1066" s="1270"/>
      <c r="AB1066" s="1270"/>
      <c r="AC1066" s="1270"/>
      <c r="AD1066" s="1270"/>
      <c r="AE1066" s="1270"/>
      <c r="AF1066" s="1270"/>
      <c r="AG1066" s="1270"/>
      <c r="AH1066" s="1270"/>
      <c r="AI1066" s="1270"/>
      <c r="AJ1066" s="1270"/>
      <c r="AK1066" s="1270"/>
      <c r="AL1066" s="68"/>
      <c r="AM1066" s="68"/>
      <c r="AN1066" s="68"/>
      <c r="AO1066" s="68"/>
      <c r="AP1066" s="68"/>
      <c r="AQ1066" s="68"/>
      <c r="AR1066" s="68"/>
      <c r="AS1066" s="68"/>
      <c r="AT1066" s="68"/>
      <c r="AV1066" s="68"/>
      <c r="AW1066" s="68"/>
      <c r="AX1066" s="68"/>
      <c r="AY1066" s="68"/>
    </row>
    <row r="1067" spans="1:51" ht="12.95" customHeight="1">
      <c r="A1067" s="1"/>
      <c r="B1067" s="1"/>
      <c r="C1067" s="8"/>
      <c r="D1067" s="1270"/>
      <c r="E1067" s="1270"/>
      <c r="F1067" s="1270"/>
      <c r="G1067" s="1270"/>
      <c r="H1067" s="1270"/>
      <c r="I1067" s="1270"/>
      <c r="J1067" s="1270"/>
      <c r="K1067" s="1270"/>
      <c r="L1067" s="1270"/>
      <c r="M1067" s="1270"/>
      <c r="N1067" s="1270"/>
      <c r="O1067" s="1270"/>
      <c r="P1067" s="1270"/>
      <c r="Q1067" s="1270"/>
      <c r="R1067" s="1270"/>
      <c r="S1067" s="1270"/>
      <c r="T1067" s="1270"/>
      <c r="U1067" s="1270"/>
      <c r="V1067" s="1270"/>
      <c r="W1067" s="1270"/>
      <c r="X1067" s="1270"/>
      <c r="Y1067" s="1270"/>
      <c r="Z1067" s="1270"/>
      <c r="AA1067" s="1270"/>
      <c r="AB1067" s="1270"/>
      <c r="AC1067" s="1270"/>
      <c r="AD1067" s="1270"/>
      <c r="AE1067" s="1270"/>
      <c r="AF1067" s="1270"/>
      <c r="AG1067" s="1270"/>
      <c r="AH1067" s="1270"/>
      <c r="AI1067" s="1270"/>
      <c r="AJ1067" s="1270"/>
      <c r="AK1067" s="1270"/>
      <c r="AL1067" s="68"/>
      <c r="AM1067" s="68"/>
      <c r="AN1067" s="68"/>
      <c r="AO1067" s="68"/>
      <c r="AP1067" s="68"/>
      <c r="AQ1067" s="68"/>
      <c r="AR1067" s="68"/>
      <c r="AS1067" s="68"/>
      <c r="AT1067" s="68"/>
      <c r="AV1067" s="68"/>
      <c r="AW1067" s="68"/>
      <c r="AX1067" s="68"/>
      <c r="AY1067" s="68"/>
    </row>
    <row r="1068" spans="1:51" ht="12.95" customHeight="1">
      <c r="A1068" s="1"/>
      <c r="B1068" s="1"/>
      <c r="C1068" s="8"/>
      <c r="D1068" s="1270"/>
      <c r="E1068" s="1270"/>
      <c r="F1068" s="1270"/>
      <c r="G1068" s="1270"/>
      <c r="H1068" s="1270"/>
      <c r="I1068" s="1270"/>
      <c r="J1068" s="1270"/>
      <c r="K1068" s="1270"/>
      <c r="L1068" s="1270"/>
      <c r="M1068" s="1270"/>
      <c r="N1068" s="1270"/>
      <c r="O1068" s="1270"/>
      <c r="P1068" s="1270"/>
      <c r="Q1068" s="1270"/>
      <c r="R1068" s="1270"/>
      <c r="S1068" s="1270"/>
      <c r="T1068" s="1270"/>
      <c r="U1068" s="1270"/>
      <c r="V1068" s="1270"/>
      <c r="W1068" s="1270"/>
      <c r="X1068" s="1270"/>
      <c r="Y1068" s="1270"/>
      <c r="Z1068" s="1270"/>
      <c r="AA1068" s="1270"/>
      <c r="AB1068" s="1270"/>
      <c r="AC1068" s="1270"/>
      <c r="AD1068" s="1270"/>
      <c r="AE1068" s="1270"/>
      <c r="AF1068" s="1270"/>
      <c r="AG1068" s="1270"/>
      <c r="AH1068" s="1270"/>
      <c r="AI1068" s="1270"/>
      <c r="AJ1068" s="1270"/>
      <c r="AK1068" s="1270"/>
      <c r="AL1068" s="68"/>
      <c r="AM1068" s="68"/>
      <c r="AN1068" s="68"/>
      <c r="AO1068" s="68"/>
      <c r="AP1068" s="68"/>
      <c r="AQ1068" s="68"/>
      <c r="AR1068" s="68"/>
      <c r="AS1068" s="68"/>
      <c r="AT1068" s="68"/>
      <c r="AV1068" s="68"/>
      <c r="AW1068" s="68"/>
      <c r="AX1068" s="68"/>
      <c r="AY1068" s="68"/>
    </row>
    <row r="1069" spans="1:51" ht="12.95" customHeight="1">
      <c r="A1069" s="2"/>
      <c r="B1069" s="25"/>
      <c r="C1069" s="8"/>
      <c r="D1069" s="1270"/>
      <c r="E1069" s="1270"/>
      <c r="F1069" s="1270"/>
      <c r="G1069" s="1270"/>
      <c r="H1069" s="1270"/>
      <c r="I1069" s="1270"/>
      <c r="J1069" s="1270"/>
      <c r="K1069" s="1270"/>
      <c r="L1069" s="1270"/>
      <c r="M1069" s="1270"/>
      <c r="N1069" s="1270"/>
      <c r="O1069" s="1270"/>
      <c r="P1069" s="1270"/>
      <c r="Q1069" s="1270"/>
      <c r="R1069" s="1270"/>
      <c r="S1069" s="1270"/>
      <c r="T1069" s="1270"/>
      <c r="U1069" s="1270"/>
      <c r="V1069" s="1270"/>
      <c r="W1069" s="1270"/>
      <c r="X1069" s="1270"/>
      <c r="Y1069" s="1270"/>
      <c r="Z1069" s="1270"/>
      <c r="AA1069" s="1270"/>
      <c r="AB1069" s="1270"/>
      <c r="AC1069" s="1270"/>
      <c r="AD1069" s="1270"/>
      <c r="AE1069" s="1270"/>
      <c r="AF1069" s="1270"/>
      <c r="AG1069" s="1270"/>
      <c r="AH1069" s="1270"/>
      <c r="AI1069" s="1270"/>
      <c r="AJ1069" s="1270"/>
      <c r="AK1069" s="1270"/>
      <c r="AL1069" s="68"/>
      <c r="AM1069" s="68"/>
      <c r="AN1069" s="68"/>
      <c r="AO1069" s="68"/>
      <c r="AP1069" s="68"/>
      <c r="AQ1069" s="68"/>
      <c r="AR1069" s="68"/>
      <c r="AS1069" s="68"/>
      <c r="AT1069" s="68"/>
      <c r="AV1069" s="68"/>
      <c r="AW1069" s="68"/>
      <c r="AX1069" s="68"/>
      <c r="AY1069" s="68"/>
    </row>
    <row r="1070" spans="1:51" ht="12.95" customHeight="1">
      <c r="A1070" s="1383" t="s">
        <v>599</v>
      </c>
      <c r="B1070" s="1383"/>
      <c r="C1070" s="8">
        <v>2</v>
      </c>
      <c r="D1070" s="1270" t="s">
        <v>1132</v>
      </c>
      <c r="E1070" s="1270"/>
      <c r="F1070" s="1270"/>
      <c r="G1070" s="1270"/>
      <c r="H1070" s="1270"/>
      <c r="I1070" s="1270"/>
      <c r="J1070" s="1270"/>
      <c r="K1070" s="1270"/>
      <c r="L1070" s="1270"/>
      <c r="M1070" s="1270"/>
      <c r="N1070" s="1270"/>
      <c r="O1070" s="1270"/>
      <c r="P1070" s="1270"/>
      <c r="Q1070" s="1270"/>
      <c r="R1070" s="1270"/>
      <c r="S1070" s="1270"/>
      <c r="T1070" s="1270"/>
      <c r="U1070" s="1270"/>
      <c r="V1070" s="1270"/>
      <c r="W1070" s="1270"/>
      <c r="X1070" s="1270"/>
      <c r="Y1070" s="1270"/>
      <c r="Z1070" s="1270"/>
      <c r="AA1070" s="1270"/>
      <c r="AB1070" s="1270"/>
      <c r="AC1070" s="1270"/>
      <c r="AD1070" s="1270"/>
      <c r="AE1070" s="1270"/>
      <c r="AF1070" s="1270"/>
      <c r="AG1070" s="1270"/>
      <c r="AH1070" s="1270"/>
      <c r="AI1070" s="1270"/>
      <c r="AJ1070" s="1270"/>
      <c r="AK1070" s="1270"/>
      <c r="AL1070" s="68"/>
      <c r="AM1070" s="68"/>
      <c r="AN1070" s="68"/>
      <c r="AO1070" s="68"/>
      <c r="AP1070" s="68"/>
      <c r="AQ1070" s="68"/>
      <c r="AR1070" s="68"/>
      <c r="AS1070" s="68"/>
      <c r="AT1070" s="68"/>
    </row>
    <row r="1071" spans="1:51" ht="12.95" customHeight="1">
      <c r="A1071" s="1"/>
      <c r="B1071" s="1"/>
      <c r="C1071" s="8"/>
      <c r="D1071" s="1270"/>
      <c r="E1071" s="1270"/>
      <c r="F1071" s="1270"/>
      <c r="G1071" s="1270"/>
      <c r="H1071" s="1270"/>
      <c r="I1071" s="1270"/>
      <c r="J1071" s="1270"/>
      <c r="K1071" s="1270"/>
      <c r="L1071" s="1270"/>
      <c r="M1071" s="1270"/>
      <c r="N1071" s="1270"/>
      <c r="O1071" s="1270"/>
      <c r="P1071" s="1270"/>
      <c r="Q1071" s="1270"/>
      <c r="R1071" s="1270"/>
      <c r="S1071" s="1270"/>
      <c r="T1071" s="1270"/>
      <c r="U1071" s="1270"/>
      <c r="V1071" s="1270"/>
      <c r="W1071" s="1270"/>
      <c r="X1071" s="1270"/>
      <c r="Y1071" s="1270"/>
      <c r="Z1071" s="1270"/>
      <c r="AA1071" s="1270"/>
      <c r="AB1071" s="1270"/>
      <c r="AC1071" s="1270"/>
      <c r="AD1071" s="1270"/>
      <c r="AE1071" s="1270"/>
      <c r="AF1071" s="1270"/>
      <c r="AG1071" s="1270"/>
      <c r="AH1071" s="1270"/>
      <c r="AI1071" s="1270"/>
      <c r="AJ1071" s="1270"/>
      <c r="AK1071" s="1270"/>
      <c r="AL1071" s="68"/>
      <c r="AM1071" s="68"/>
      <c r="AN1071" s="68"/>
      <c r="AO1071" s="68"/>
      <c r="AP1071" s="68"/>
      <c r="AQ1071" s="68"/>
      <c r="AR1071" s="68"/>
      <c r="AS1071" s="68"/>
      <c r="AT1071" s="68"/>
    </row>
    <row r="1072" spans="1:51" ht="12.95" customHeight="1">
      <c r="A1072" s="1"/>
      <c r="B1072" s="1"/>
      <c r="C1072" s="8"/>
      <c r="D1072" s="1270"/>
      <c r="E1072" s="1270"/>
      <c r="F1072" s="1270"/>
      <c r="G1072" s="1270"/>
      <c r="H1072" s="1270"/>
      <c r="I1072" s="1270"/>
      <c r="J1072" s="1270"/>
      <c r="K1072" s="1270"/>
      <c r="L1072" s="1270"/>
      <c r="M1072" s="1270"/>
      <c r="N1072" s="1270"/>
      <c r="O1072" s="1270"/>
      <c r="P1072" s="1270"/>
      <c r="Q1072" s="1270"/>
      <c r="R1072" s="1270"/>
      <c r="S1072" s="1270"/>
      <c r="T1072" s="1270"/>
      <c r="U1072" s="1270"/>
      <c r="V1072" s="1270"/>
      <c r="W1072" s="1270"/>
      <c r="X1072" s="1270"/>
      <c r="Y1072" s="1270"/>
      <c r="Z1072" s="1270"/>
      <c r="AA1072" s="1270"/>
      <c r="AB1072" s="1270"/>
      <c r="AC1072" s="1270"/>
      <c r="AD1072" s="1270"/>
      <c r="AE1072" s="1270"/>
      <c r="AF1072" s="1270"/>
      <c r="AG1072" s="1270"/>
      <c r="AH1072" s="1270"/>
      <c r="AI1072" s="1270"/>
      <c r="AJ1072" s="1270"/>
      <c r="AK1072" s="1270"/>
      <c r="AL1072" s="68"/>
      <c r="AM1072" s="68"/>
      <c r="AN1072" s="68"/>
      <c r="AO1072" s="68"/>
      <c r="AP1072" s="68"/>
      <c r="AQ1072" s="68"/>
      <c r="AR1072" s="68"/>
      <c r="AS1072" s="68"/>
      <c r="AT1072" s="68"/>
    </row>
    <row r="1073" spans="1:46" ht="12.95" customHeight="1">
      <c r="A1073" s="1"/>
      <c r="B1073" s="1"/>
      <c r="C1073" s="8"/>
      <c r="D1073" s="1270"/>
      <c r="E1073" s="1270"/>
      <c r="F1073" s="1270"/>
      <c r="G1073" s="1270"/>
      <c r="H1073" s="1270"/>
      <c r="I1073" s="1270"/>
      <c r="J1073" s="1270"/>
      <c r="K1073" s="1270"/>
      <c r="L1073" s="1270"/>
      <c r="M1073" s="1270"/>
      <c r="N1073" s="1270"/>
      <c r="O1073" s="1270"/>
      <c r="P1073" s="1270"/>
      <c r="Q1073" s="1270"/>
      <c r="R1073" s="1270"/>
      <c r="S1073" s="1270"/>
      <c r="T1073" s="1270"/>
      <c r="U1073" s="1270"/>
      <c r="V1073" s="1270"/>
      <c r="W1073" s="1270"/>
      <c r="X1073" s="1270"/>
      <c r="Y1073" s="1270"/>
      <c r="Z1073" s="1270"/>
      <c r="AA1073" s="1270"/>
      <c r="AB1073" s="1270"/>
      <c r="AC1073" s="1270"/>
      <c r="AD1073" s="1270"/>
      <c r="AE1073" s="1270"/>
      <c r="AF1073" s="1270"/>
      <c r="AG1073" s="1270"/>
      <c r="AH1073" s="1270"/>
      <c r="AI1073" s="1270"/>
      <c r="AJ1073" s="1270"/>
      <c r="AK1073" s="1270"/>
      <c r="AL1073" s="68"/>
      <c r="AM1073" s="68"/>
      <c r="AN1073" s="68"/>
      <c r="AO1073" s="68"/>
      <c r="AP1073" s="68"/>
      <c r="AQ1073" s="68"/>
      <c r="AR1073" s="68"/>
      <c r="AS1073" s="68"/>
      <c r="AT1073" s="68"/>
    </row>
    <row r="1074" spans="1:46" ht="12.95" hidden="1" customHeight="1">
      <c r="A1074" s="1"/>
      <c r="B1074" s="1"/>
      <c r="C1074" s="8"/>
      <c r="D1074" s="1270"/>
      <c r="E1074" s="1270"/>
      <c r="F1074" s="1270"/>
      <c r="G1074" s="1270"/>
      <c r="H1074" s="1270"/>
      <c r="I1074" s="1270"/>
      <c r="J1074" s="1270"/>
      <c r="K1074" s="1270"/>
      <c r="L1074" s="1270"/>
      <c r="M1074" s="1270"/>
      <c r="N1074" s="1270"/>
      <c r="O1074" s="1270"/>
      <c r="P1074" s="1270"/>
      <c r="Q1074" s="1270"/>
      <c r="R1074" s="1270"/>
      <c r="S1074" s="1270"/>
      <c r="T1074" s="1270"/>
      <c r="U1074" s="1270"/>
      <c r="V1074" s="1270"/>
      <c r="W1074" s="1270"/>
      <c r="X1074" s="1270"/>
      <c r="Y1074" s="1270"/>
      <c r="Z1074" s="1270"/>
      <c r="AA1074" s="1270"/>
      <c r="AB1074" s="1270"/>
      <c r="AC1074" s="1270"/>
      <c r="AD1074" s="1270"/>
      <c r="AE1074" s="1270"/>
      <c r="AF1074" s="1270"/>
      <c r="AG1074" s="1270"/>
      <c r="AH1074" s="1270"/>
      <c r="AI1074" s="1270"/>
      <c r="AJ1074" s="1270"/>
      <c r="AK1074" s="1270"/>
      <c r="AL1074" s="68"/>
      <c r="AM1074" s="68"/>
      <c r="AN1074" s="68"/>
      <c r="AO1074" s="68"/>
      <c r="AP1074" s="68"/>
      <c r="AQ1074" s="68"/>
      <c r="AR1074" s="68"/>
      <c r="AS1074" s="68"/>
      <c r="AT1074" s="68"/>
    </row>
    <row r="1075" spans="1:46" ht="12.95" customHeight="1">
      <c r="A1075" s="1"/>
      <c r="B1075" s="1"/>
      <c r="C1075" s="8"/>
      <c r="D1075" s="1270"/>
      <c r="E1075" s="1270"/>
      <c r="F1075" s="1270"/>
      <c r="G1075" s="1270"/>
      <c r="H1075" s="1270"/>
      <c r="I1075" s="1270"/>
      <c r="J1075" s="1270"/>
      <c r="K1075" s="1270"/>
      <c r="L1075" s="1270"/>
      <c r="M1075" s="1270"/>
      <c r="N1075" s="1270"/>
      <c r="O1075" s="1270"/>
      <c r="P1075" s="1270"/>
      <c r="Q1075" s="1270"/>
      <c r="R1075" s="1270"/>
      <c r="S1075" s="1270"/>
      <c r="T1075" s="1270"/>
      <c r="U1075" s="1270"/>
      <c r="V1075" s="1270"/>
      <c r="W1075" s="1270"/>
      <c r="X1075" s="1270"/>
      <c r="Y1075" s="1270"/>
      <c r="Z1075" s="1270"/>
      <c r="AA1075" s="1270"/>
      <c r="AB1075" s="1270"/>
      <c r="AC1075" s="1270"/>
      <c r="AD1075" s="1270"/>
      <c r="AE1075" s="1270"/>
      <c r="AF1075" s="1270"/>
      <c r="AG1075" s="1270"/>
      <c r="AH1075" s="1270"/>
      <c r="AI1075" s="1270"/>
      <c r="AJ1075" s="1270"/>
      <c r="AK1075" s="1270"/>
    </row>
    <row r="1076" spans="1:46" ht="12.95" customHeight="1">
      <c r="A1076" s="1383" t="s">
        <v>599</v>
      </c>
      <c r="B1076" s="1383"/>
      <c r="C1076" s="8">
        <v>3</v>
      </c>
      <c r="D1076" s="1270" t="s">
        <v>2456</v>
      </c>
      <c r="E1076" s="1270"/>
      <c r="F1076" s="1270"/>
      <c r="G1076" s="1270"/>
      <c r="H1076" s="1270"/>
      <c r="I1076" s="1270"/>
      <c r="J1076" s="1270"/>
      <c r="K1076" s="1270"/>
      <c r="L1076" s="1270"/>
      <c r="M1076" s="1270"/>
      <c r="N1076" s="1270"/>
      <c r="O1076" s="1270"/>
      <c r="P1076" s="1270"/>
      <c r="Q1076" s="1270"/>
      <c r="R1076" s="1270"/>
      <c r="S1076" s="1270"/>
      <c r="T1076" s="1270"/>
      <c r="U1076" s="1270"/>
      <c r="V1076" s="1270"/>
      <c r="W1076" s="1270"/>
      <c r="X1076" s="1270"/>
      <c r="Y1076" s="1270"/>
      <c r="Z1076" s="1270"/>
      <c r="AA1076" s="1270"/>
      <c r="AB1076" s="1270"/>
      <c r="AC1076" s="1270"/>
      <c r="AD1076" s="1270"/>
      <c r="AE1076" s="1270"/>
      <c r="AF1076" s="1270"/>
      <c r="AG1076" s="1270"/>
      <c r="AH1076" s="1270"/>
      <c r="AI1076" s="1270"/>
      <c r="AJ1076" s="1270"/>
      <c r="AK1076" s="1270"/>
    </row>
    <row r="1077" spans="1:46" ht="12.95" customHeight="1">
      <c r="A1077" s="4"/>
      <c r="B1077" s="4"/>
      <c r="C1077" s="8"/>
      <c r="D1077" s="1270"/>
      <c r="E1077" s="1270"/>
      <c r="F1077" s="1270"/>
      <c r="G1077" s="1270"/>
      <c r="H1077" s="1270"/>
      <c r="I1077" s="1270"/>
      <c r="J1077" s="1270"/>
      <c r="K1077" s="1270"/>
      <c r="L1077" s="1270"/>
      <c r="M1077" s="1270"/>
      <c r="N1077" s="1270"/>
      <c r="O1077" s="1270"/>
      <c r="P1077" s="1270"/>
      <c r="Q1077" s="1270"/>
      <c r="R1077" s="1270"/>
      <c r="S1077" s="1270"/>
      <c r="T1077" s="1270"/>
      <c r="U1077" s="1270"/>
      <c r="V1077" s="1270"/>
      <c r="W1077" s="1270"/>
      <c r="X1077" s="1270"/>
      <c r="Y1077" s="1270"/>
      <c r="Z1077" s="1270"/>
      <c r="AA1077" s="1270"/>
      <c r="AB1077" s="1270"/>
      <c r="AC1077" s="1270"/>
      <c r="AD1077" s="1270"/>
      <c r="AE1077" s="1270"/>
      <c r="AF1077" s="1270"/>
      <c r="AG1077" s="1270"/>
      <c r="AH1077" s="1270"/>
      <c r="AI1077" s="1270"/>
      <c r="AJ1077" s="1270"/>
      <c r="AK1077" s="1270"/>
    </row>
    <row r="1078" spans="1:46" ht="12.95" customHeight="1">
      <c r="A1078" s="4"/>
      <c r="B1078" s="4"/>
      <c r="C1078" s="8"/>
      <c r="D1078" s="1270"/>
      <c r="E1078" s="1270"/>
      <c r="F1078" s="1270"/>
      <c r="G1078" s="1270"/>
      <c r="H1078" s="1270"/>
      <c r="I1078" s="1270"/>
      <c r="J1078" s="1270"/>
      <c r="K1078" s="1270"/>
      <c r="L1078" s="1270"/>
      <c r="M1078" s="1270"/>
      <c r="N1078" s="1270"/>
      <c r="O1078" s="1270"/>
      <c r="P1078" s="1270"/>
      <c r="Q1078" s="1270"/>
      <c r="R1078" s="1270"/>
      <c r="S1078" s="1270"/>
      <c r="T1078" s="1270"/>
      <c r="U1078" s="1270"/>
      <c r="V1078" s="1270"/>
      <c r="W1078" s="1270"/>
      <c r="X1078" s="1270"/>
      <c r="Y1078" s="1270"/>
      <c r="Z1078" s="1270"/>
      <c r="AA1078" s="1270"/>
      <c r="AB1078" s="1270"/>
      <c r="AC1078" s="1270"/>
      <c r="AD1078" s="1270"/>
      <c r="AE1078" s="1270"/>
      <c r="AF1078" s="1270"/>
      <c r="AG1078" s="1270"/>
      <c r="AH1078" s="1270"/>
      <c r="AI1078" s="1270"/>
      <c r="AJ1078" s="1270"/>
      <c r="AK1078" s="1270"/>
    </row>
    <row r="1079" spans="1:46" ht="12.95" customHeight="1">
      <c r="A1079" s="35"/>
      <c r="B1079" s="25"/>
      <c r="C1079" s="8"/>
      <c r="D1079" s="1270"/>
      <c r="E1079" s="1270"/>
      <c r="F1079" s="1270"/>
      <c r="G1079" s="1270"/>
      <c r="H1079" s="1270"/>
      <c r="I1079" s="1270"/>
      <c r="J1079" s="1270"/>
      <c r="K1079" s="1270"/>
      <c r="L1079" s="1270"/>
      <c r="M1079" s="1270"/>
      <c r="N1079" s="1270"/>
      <c r="O1079" s="1270"/>
      <c r="P1079" s="1270"/>
      <c r="Q1079" s="1270"/>
      <c r="R1079" s="1270"/>
      <c r="S1079" s="1270"/>
      <c r="T1079" s="1270"/>
      <c r="U1079" s="1270"/>
      <c r="V1079" s="1270"/>
      <c r="W1079" s="1270"/>
      <c r="X1079" s="1270"/>
      <c r="Y1079" s="1270"/>
      <c r="Z1079" s="1270"/>
      <c r="AA1079" s="1270"/>
      <c r="AB1079" s="1270"/>
      <c r="AC1079" s="1270"/>
      <c r="AD1079" s="1270"/>
      <c r="AE1079" s="1270"/>
      <c r="AF1079" s="1270"/>
      <c r="AG1079" s="1270"/>
      <c r="AH1079" s="1270"/>
      <c r="AI1079" s="1270"/>
      <c r="AJ1079" s="1270"/>
      <c r="AK1079" s="1270"/>
    </row>
    <row r="1080" spans="1:46" ht="12.95" customHeight="1">
      <c r="A1080" s="35"/>
      <c r="B1080" s="25"/>
      <c r="C1080" s="8"/>
      <c r="D1080" s="1270"/>
      <c r="E1080" s="1270"/>
      <c r="F1080" s="1270"/>
      <c r="G1080" s="1270"/>
      <c r="H1080" s="1270"/>
      <c r="I1080" s="1270"/>
      <c r="J1080" s="1270"/>
      <c r="K1080" s="1270"/>
      <c r="L1080" s="1270"/>
      <c r="M1080" s="1270"/>
      <c r="N1080" s="1270"/>
      <c r="O1080" s="1270"/>
      <c r="P1080" s="1270"/>
      <c r="Q1080" s="1270"/>
      <c r="R1080" s="1270"/>
      <c r="S1080" s="1270"/>
      <c r="T1080" s="1270"/>
      <c r="U1080" s="1270"/>
      <c r="V1080" s="1270"/>
      <c r="W1080" s="1270"/>
      <c r="X1080" s="1270"/>
      <c r="Y1080" s="1270"/>
      <c r="Z1080" s="1270"/>
      <c r="AA1080" s="1270"/>
      <c r="AB1080" s="1270"/>
      <c r="AC1080" s="1270"/>
      <c r="AD1080" s="1270"/>
      <c r="AE1080" s="1270"/>
      <c r="AF1080" s="1270"/>
      <c r="AG1080" s="1270"/>
      <c r="AH1080" s="1270"/>
      <c r="AI1080" s="1270"/>
      <c r="AJ1080" s="1270"/>
      <c r="AK1080" s="1270"/>
    </row>
    <row r="1081" spans="1:46" ht="12.95" customHeight="1">
      <c r="A1081" s="35"/>
      <c r="B1081" s="25"/>
      <c r="C1081" s="8"/>
      <c r="D1081" s="1270"/>
      <c r="E1081" s="1270"/>
      <c r="F1081" s="1270"/>
      <c r="G1081" s="1270"/>
      <c r="H1081" s="1270"/>
      <c r="I1081" s="1270"/>
      <c r="J1081" s="1270"/>
      <c r="K1081" s="1270"/>
      <c r="L1081" s="1270"/>
      <c r="M1081" s="1270"/>
      <c r="N1081" s="1270"/>
      <c r="O1081" s="1270"/>
      <c r="P1081" s="1270"/>
      <c r="Q1081" s="1270"/>
      <c r="R1081" s="1270"/>
      <c r="S1081" s="1270"/>
      <c r="T1081" s="1270"/>
      <c r="U1081" s="1270"/>
      <c r="V1081" s="1270"/>
      <c r="W1081" s="1270"/>
      <c r="X1081" s="1270"/>
      <c r="Y1081" s="1270"/>
      <c r="Z1081" s="1270"/>
      <c r="AA1081" s="1270"/>
      <c r="AB1081" s="1270"/>
      <c r="AC1081" s="1270"/>
      <c r="AD1081" s="1270"/>
      <c r="AE1081" s="1270"/>
      <c r="AF1081" s="1270"/>
      <c r="AG1081" s="1270"/>
      <c r="AH1081" s="1270"/>
      <c r="AI1081" s="1270"/>
      <c r="AJ1081" s="1270"/>
      <c r="AK1081" s="1270"/>
    </row>
    <row r="1082" spans="1:46" ht="12.95" customHeight="1">
      <c r="A1082" s="35"/>
      <c r="B1082" s="25"/>
      <c r="C1082" s="8"/>
      <c r="D1082" s="1270"/>
      <c r="E1082" s="1270"/>
      <c r="F1082" s="1270"/>
      <c r="G1082" s="1270"/>
      <c r="H1082" s="1270"/>
      <c r="I1082" s="1270"/>
      <c r="J1082" s="1270"/>
      <c r="K1082" s="1270"/>
      <c r="L1082" s="1270"/>
      <c r="M1082" s="1270"/>
      <c r="N1082" s="1270"/>
      <c r="O1082" s="1270"/>
      <c r="P1082" s="1270"/>
      <c r="Q1082" s="1270"/>
      <c r="R1082" s="1270"/>
      <c r="S1082" s="1270"/>
      <c r="T1082" s="1270"/>
      <c r="U1082" s="1270"/>
      <c r="V1082" s="1270"/>
      <c r="W1082" s="1270"/>
      <c r="X1082" s="1270"/>
      <c r="Y1082" s="1270"/>
      <c r="Z1082" s="1270"/>
      <c r="AA1082" s="1270"/>
      <c r="AB1082" s="1270"/>
      <c r="AC1082" s="1270"/>
      <c r="AD1082" s="1270"/>
      <c r="AE1082" s="1270"/>
      <c r="AF1082" s="1270"/>
      <c r="AG1082" s="1270"/>
      <c r="AH1082" s="1270"/>
      <c r="AI1082" s="1270"/>
      <c r="AJ1082" s="1270"/>
      <c r="AK1082" s="1270"/>
    </row>
    <row r="1083" spans="1:46" ht="12.95" customHeight="1">
      <c r="A1083" s="1383" t="s">
        <v>599</v>
      </c>
      <c r="B1083" s="1383"/>
      <c r="C1083" s="8">
        <v>4</v>
      </c>
      <c r="D1083" s="1270" t="s">
        <v>1118</v>
      </c>
      <c r="E1083" s="1270"/>
      <c r="F1083" s="1270"/>
      <c r="G1083" s="1270"/>
      <c r="H1083" s="1270"/>
      <c r="I1083" s="1270"/>
      <c r="J1083" s="1270"/>
      <c r="K1083" s="1270"/>
      <c r="L1083" s="1270"/>
      <c r="M1083" s="1270"/>
      <c r="N1083" s="1270"/>
      <c r="O1083" s="1270"/>
      <c r="P1083" s="1270"/>
      <c r="Q1083" s="1270"/>
      <c r="R1083" s="1270"/>
      <c r="S1083" s="1270"/>
      <c r="T1083" s="1270"/>
      <c r="U1083" s="1270"/>
      <c r="V1083" s="1270"/>
      <c r="W1083" s="1270"/>
      <c r="X1083" s="1270"/>
      <c r="Y1083" s="1270"/>
      <c r="Z1083" s="1270"/>
      <c r="AA1083" s="1270"/>
      <c r="AB1083" s="1270"/>
      <c r="AC1083" s="1270"/>
      <c r="AD1083" s="1270"/>
      <c r="AE1083" s="1270"/>
      <c r="AF1083" s="1270"/>
      <c r="AG1083" s="1270"/>
      <c r="AH1083" s="1270"/>
      <c r="AI1083" s="1270"/>
      <c r="AJ1083" s="1270"/>
      <c r="AK1083" s="1270"/>
    </row>
    <row r="1084" spans="1:46" ht="12.95" customHeight="1">
      <c r="A1084" s="1"/>
      <c r="B1084" s="1"/>
      <c r="C1084" s="8"/>
      <c r="D1084" s="1270"/>
      <c r="E1084" s="1270"/>
      <c r="F1084" s="1270"/>
      <c r="G1084" s="1270"/>
      <c r="H1084" s="1270"/>
      <c r="I1084" s="1270"/>
      <c r="J1084" s="1270"/>
      <c r="K1084" s="1270"/>
      <c r="L1084" s="1270"/>
      <c r="M1084" s="1270"/>
      <c r="N1084" s="1270"/>
      <c r="O1084" s="1270"/>
      <c r="P1084" s="1270"/>
      <c r="Q1084" s="1270"/>
      <c r="R1084" s="1270"/>
      <c r="S1084" s="1270"/>
      <c r="T1084" s="1270"/>
      <c r="U1084" s="1270"/>
      <c r="V1084" s="1270"/>
      <c r="W1084" s="1270"/>
      <c r="X1084" s="1270"/>
      <c r="Y1084" s="1270"/>
      <c r="Z1084" s="1270"/>
      <c r="AA1084" s="1270"/>
      <c r="AB1084" s="1270"/>
      <c r="AC1084" s="1270"/>
      <c r="AD1084" s="1270"/>
      <c r="AE1084" s="1270"/>
      <c r="AF1084" s="1270"/>
      <c r="AG1084" s="1270"/>
      <c r="AH1084" s="1270"/>
      <c r="AI1084" s="1270"/>
      <c r="AJ1084" s="1270"/>
      <c r="AK1084" s="1270"/>
    </row>
    <row r="1085" spans="1:46" ht="12.95" customHeight="1">
      <c r="A1085" s="35"/>
      <c r="B1085" s="25"/>
      <c r="C1085" s="8"/>
      <c r="D1085" s="1270"/>
      <c r="E1085" s="1270"/>
      <c r="F1085" s="1270"/>
      <c r="G1085" s="1270"/>
      <c r="H1085" s="1270"/>
      <c r="I1085" s="1270"/>
      <c r="J1085" s="1270"/>
      <c r="K1085" s="1270"/>
      <c r="L1085" s="1270"/>
      <c r="M1085" s="1270"/>
      <c r="N1085" s="1270"/>
      <c r="O1085" s="1270"/>
      <c r="P1085" s="1270"/>
      <c r="Q1085" s="1270"/>
      <c r="R1085" s="1270"/>
      <c r="S1085" s="1270"/>
      <c r="T1085" s="1270"/>
      <c r="U1085" s="1270"/>
      <c r="V1085" s="1270"/>
      <c r="W1085" s="1270"/>
      <c r="X1085" s="1270"/>
      <c r="Y1085" s="1270"/>
      <c r="Z1085" s="1270"/>
      <c r="AA1085" s="1270"/>
      <c r="AB1085" s="1270"/>
      <c r="AC1085" s="1270"/>
      <c r="AD1085" s="1270"/>
      <c r="AE1085" s="1270"/>
      <c r="AF1085" s="1270"/>
      <c r="AG1085" s="1270"/>
      <c r="AH1085" s="1270"/>
      <c r="AI1085" s="1270"/>
      <c r="AJ1085" s="1270"/>
      <c r="AK1085" s="1270"/>
    </row>
    <row r="1086" spans="1:46" ht="12.95" customHeight="1">
      <c r="A1086" s="1383" t="s">
        <v>599</v>
      </c>
      <c r="B1086" s="1383"/>
      <c r="C1086" s="8">
        <v>5</v>
      </c>
      <c r="D1086" s="1270" t="s">
        <v>2457</v>
      </c>
      <c r="E1086" s="1270"/>
      <c r="F1086" s="1270"/>
      <c r="G1086" s="1270"/>
      <c r="H1086" s="1270"/>
      <c r="I1086" s="1270"/>
      <c r="J1086" s="1270"/>
      <c r="K1086" s="1270"/>
      <c r="L1086" s="1270"/>
      <c r="M1086" s="1270"/>
      <c r="N1086" s="1270"/>
      <c r="O1086" s="1270"/>
      <c r="P1086" s="1270"/>
      <c r="Q1086" s="1270"/>
      <c r="R1086" s="1270"/>
      <c r="S1086" s="1270"/>
      <c r="T1086" s="1270"/>
      <c r="U1086" s="1270"/>
      <c r="V1086" s="1270"/>
      <c r="W1086" s="1270"/>
      <c r="X1086" s="1270"/>
      <c r="Y1086" s="1270"/>
      <c r="Z1086" s="1270"/>
      <c r="AA1086" s="1270"/>
      <c r="AB1086" s="1270"/>
      <c r="AC1086" s="1270"/>
      <c r="AD1086" s="1270"/>
      <c r="AE1086" s="1270"/>
      <c r="AF1086" s="1270"/>
      <c r="AG1086" s="1270"/>
      <c r="AH1086" s="1270"/>
      <c r="AI1086" s="1270"/>
      <c r="AJ1086" s="1270"/>
      <c r="AK1086" s="1270"/>
    </row>
    <row r="1087" spans="1:46" ht="12.95" customHeight="1">
      <c r="A1087" s="1"/>
      <c r="B1087" s="1"/>
      <c r="C1087" s="8"/>
      <c r="D1087" s="1270"/>
      <c r="E1087" s="1270"/>
      <c r="F1087" s="1270"/>
      <c r="G1087" s="1270"/>
      <c r="H1087" s="1270"/>
      <c r="I1087" s="1270"/>
      <c r="J1087" s="1270"/>
      <c r="K1087" s="1270"/>
      <c r="L1087" s="1270"/>
      <c r="M1087" s="1270"/>
      <c r="N1087" s="1270"/>
      <c r="O1087" s="1270"/>
      <c r="P1087" s="1270"/>
      <c r="Q1087" s="1270"/>
      <c r="R1087" s="1270"/>
      <c r="S1087" s="1270"/>
      <c r="T1087" s="1270"/>
      <c r="U1087" s="1270"/>
      <c r="V1087" s="1270"/>
      <c r="W1087" s="1270"/>
      <c r="X1087" s="1270"/>
      <c r="Y1087" s="1270"/>
      <c r="Z1087" s="1270"/>
      <c r="AA1087" s="1270"/>
      <c r="AB1087" s="1270"/>
      <c r="AC1087" s="1270"/>
      <c r="AD1087" s="1270"/>
      <c r="AE1087" s="1270"/>
      <c r="AF1087" s="1270"/>
      <c r="AG1087" s="1270"/>
      <c r="AH1087" s="1270"/>
      <c r="AI1087" s="1270"/>
      <c r="AJ1087" s="1270"/>
      <c r="AK1087" s="1270"/>
    </row>
    <row r="1088" spans="1:46" ht="12.95" customHeight="1">
      <c r="A1088" s="1"/>
      <c r="B1088" s="1"/>
      <c r="C1088" s="8"/>
      <c r="D1088" s="1270"/>
      <c r="E1088" s="1270"/>
      <c r="F1088" s="1270"/>
      <c r="G1088" s="1270"/>
      <c r="H1088" s="1270"/>
      <c r="I1088" s="1270"/>
      <c r="J1088" s="1270"/>
      <c r="K1088" s="1270"/>
      <c r="L1088" s="1270"/>
      <c r="M1088" s="1270"/>
      <c r="N1088" s="1270"/>
      <c r="O1088" s="1270"/>
      <c r="P1088" s="1270"/>
      <c r="Q1088" s="1270"/>
      <c r="R1088" s="1270"/>
      <c r="S1088" s="1270"/>
      <c r="T1088" s="1270"/>
      <c r="U1088" s="1270"/>
      <c r="V1088" s="1270"/>
      <c r="W1088" s="1270"/>
      <c r="X1088" s="1270"/>
      <c r="Y1088" s="1270"/>
      <c r="Z1088" s="1270"/>
      <c r="AA1088" s="1270"/>
      <c r="AB1088" s="1270"/>
      <c r="AC1088" s="1270"/>
      <c r="AD1088" s="1270"/>
      <c r="AE1088" s="1270"/>
      <c r="AF1088" s="1270"/>
      <c r="AG1088" s="1270"/>
      <c r="AH1088" s="1270"/>
      <c r="AI1088" s="1270"/>
      <c r="AJ1088" s="1270"/>
      <c r="AK1088" s="1270"/>
    </row>
    <row r="1089" spans="1:37" ht="12.95" hidden="1" customHeight="1">
      <c r="A1089" s="1"/>
      <c r="B1089" s="1"/>
      <c r="C1089" s="8"/>
      <c r="D1089" s="1270"/>
      <c r="E1089" s="1270"/>
      <c r="F1089" s="1270"/>
      <c r="G1089" s="1270"/>
      <c r="H1089" s="1270"/>
      <c r="I1089" s="1270"/>
      <c r="J1089" s="1270"/>
      <c r="K1089" s="1270"/>
      <c r="L1089" s="1270"/>
      <c r="M1089" s="1270"/>
      <c r="N1089" s="1270"/>
      <c r="O1089" s="1270"/>
      <c r="P1089" s="1270"/>
      <c r="Q1089" s="1270"/>
      <c r="R1089" s="1270"/>
      <c r="S1089" s="1270"/>
      <c r="T1089" s="1270"/>
      <c r="U1089" s="1270"/>
      <c r="V1089" s="1270"/>
      <c r="W1089" s="1270"/>
      <c r="X1089" s="1270"/>
      <c r="Y1089" s="1270"/>
      <c r="Z1089" s="1270"/>
      <c r="AA1089" s="1270"/>
      <c r="AB1089" s="1270"/>
      <c r="AC1089" s="1270"/>
      <c r="AD1089" s="1270"/>
      <c r="AE1089" s="1270"/>
      <c r="AF1089" s="1270"/>
      <c r="AG1089" s="1270"/>
      <c r="AH1089" s="1270"/>
      <c r="AI1089" s="1270"/>
      <c r="AJ1089" s="1270"/>
      <c r="AK1089" s="1270"/>
    </row>
    <row r="1090" spans="1:37" ht="12.95" customHeight="1">
      <c r="A1090" s="35"/>
      <c r="B1090" s="25"/>
      <c r="C1090" s="8"/>
      <c r="D1090" s="1270"/>
      <c r="E1090" s="1270"/>
      <c r="F1090" s="1270"/>
      <c r="G1090" s="1270"/>
      <c r="H1090" s="1270"/>
      <c r="I1090" s="1270"/>
      <c r="J1090" s="1270"/>
      <c r="K1090" s="1270"/>
      <c r="L1090" s="1270"/>
      <c r="M1090" s="1270"/>
      <c r="N1090" s="1270"/>
      <c r="O1090" s="1270"/>
      <c r="P1090" s="1270"/>
      <c r="Q1090" s="1270"/>
      <c r="R1090" s="1270"/>
      <c r="S1090" s="1270"/>
      <c r="T1090" s="1270"/>
      <c r="U1090" s="1270"/>
      <c r="V1090" s="1270"/>
      <c r="W1090" s="1270"/>
      <c r="X1090" s="1270"/>
      <c r="Y1090" s="1270"/>
      <c r="Z1090" s="1270"/>
      <c r="AA1090" s="1270"/>
      <c r="AB1090" s="1270"/>
      <c r="AC1090" s="1270"/>
      <c r="AD1090" s="1270"/>
      <c r="AE1090" s="1270"/>
      <c r="AF1090" s="1270"/>
      <c r="AG1090" s="1270"/>
      <c r="AH1090" s="1270"/>
      <c r="AI1090" s="1270"/>
      <c r="AJ1090" s="1270"/>
      <c r="AK1090" s="1270"/>
    </row>
    <row r="1091" spans="1:37" ht="12.95" customHeight="1">
      <c r="A1091" s="1383" t="s">
        <v>599</v>
      </c>
      <c r="B1091" s="1383"/>
      <c r="C1091" s="8">
        <v>6</v>
      </c>
      <c r="D1091" s="1270" t="s">
        <v>1119</v>
      </c>
      <c r="E1091" s="1270"/>
      <c r="F1091" s="1270"/>
      <c r="G1091" s="1270"/>
      <c r="H1091" s="1270"/>
      <c r="I1091" s="1270"/>
      <c r="J1091" s="1270"/>
      <c r="K1091" s="1270"/>
      <c r="L1091" s="1270"/>
      <c r="M1091" s="1270"/>
      <c r="N1091" s="1270"/>
      <c r="O1091" s="1270"/>
      <c r="P1091" s="1270"/>
      <c r="Q1091" s="1270"/>
      <c r="R1091" s="1270"/>
      <c r="S1091" s="1270"/>
      <c r="T1091" s="1270"/>
      <c r="U1091" s="1270"/>
      <c r="V1091" s="1270"/>
      <c r="W1091" s="1270"/>
      <c r="X1091" s="1270"/>
      <c r="Y1091" s="1270"/>
      <c r="Z1091" s="1270"/>
      <c r="AA1091" s="1270"/>
      <c r="AB1091" s="1270"/>
      <c r="AC1091" s="1270"/>
      <c r="AD1091" s="1270"/>
      <c r="AE1091" s="1270"/>
      <c r="AF1091" s="1270"/>
      <c r="AG1091" s="1270"/>
      <c r="AH1091" s="1270"/>
      <c r="AI1091" s="1270"/>
      <c r="AJ1091" s="1270"/>
      <c r="AK1091" s="1270"/>
    </row>
    <row r="1092" spans="1:37" ht="12.95" customHeight="1">
      <c r="A1092" s="35"/>
      <c r="B1092" s="25"/>
      <c r="C1092" s="8"/>
      <c r="D1092" s="1270"/>
      <c r="E1092" s="1270"/>
      <c r="F1092" s="1270"/>
      <c r="G1092" s="1270"/>
      <c r="H1092" s="1270"/>
      <c r="I1092" s="1270"/>
      <c r="J1092" s="1270"/>
      <c r="K1092" s="1270"/>
      <c r="L1092" s="1270"/>
      <c r="M1092" s="1270"/>
      <c r="N1092" s="1270"/>
      <c r="O1092" s="1270"/>
      <c r="P1092" s="1270"/>
      <c r="Q1092" s="1270"/>
      <c r="R1092" s="1270"/>
      <c r="S1092" s="1270"/>
      <c r="T1092" s="1270"/>
      <c r="U1092" s="1270"/>
      <c r="V1092" s="1270"/>
      <c r="W1092" s="1270"/>
      <c r="X1092" s="1270"/>
      <c r="Y1092" s="1270"/>
      <c r="Z1092" s="1270"/>
      <c r="AA1092" s="1270"/>
      <c r="AB1092" s="1270"/>
      <c r="AC1092" s="1270"/>
      <c r="AD1092" s="1270"/>
      <c r="AE1092" s="1270"/>
      <c r="AF1092" s="1270"/>
      <c r="AG1092" s="1270"/>
      <c r="AH1092" s="1270"/>
      <c r="AI1092" s="1270"/>
      <c r="AJ1092" s="1270"/>
      <c r="AK1092" s="1270"/>
    </row>
    <row r="1093" spans="1:37" ht="12.95" customHeight="1">
      <c r="A1093" s="35"/>
      <c r="B1093" s="25"/>
      <c r="C1093" s="8"/>
      <c r="D1093" s="1270"/>
      <c r="E1093" s="1270"/>
      <c r="F1093" s="1270"/>
      <c r="G1093" s="1270"/>
      <c r="H1093" s="1270"/>
      <c r="I1093" s="1270"/>
      <c r="J1093" s="1270"/>
      <c r="K1093" s="1270"/>
      <c r="L1093" s="1270"/>
      <c r="M1093" s="1270"/>
      <c r="N1093" s="1270"/>
      <c r="O1093" s="1270"/>
      <c r="P1093" s="1270"/>
      <c r="Q1093" s="1270"/>
      <c r="R1093" s="1270"/>
      <c r="S1093" s="1270"/>
      <c r="T1093" s="1270"/>
      <c r="U1093" s="1270"/>
      <c r="V1093" s="1270"/>
      <c r="W1093" s="1270"/>
      <c r="X1093" s="1270"/>
      <c r="Y1093" s="1270"/>
      <c r="Z1093" s="1270"/>
      <c r="AA1093" s="1270"/>
      <c r="AB1093" s="1270"/>
      <c r="AC1093" s="1270"/>
      <c r="AD1093" s="1270"/>
      <c r="AE1093" s="1270"/>
      <c r="AF1093" s="1270"/>
      <c r="AG1093" s="1270"/>
      <c r="AH1093" s="1270"/>
      <c r="AI1093" s="1270"/>
      <c r="AJ1093" s="1270"/>
      <c r="AK1093" s="1270"/>
    </row>
    <row r="1094" spans="1:37" ht="12.95" customHeight="1">
      <c r="A1094" s="1383" t="s">
        <v>599</v>
      </c>
      <c r="B1094" s="1383"/>
      <c r="C1094" s="212">
        <v>7</v>
      </c>
      <c r="D1094" s="1270" t="s">
        <v>1121</v>
      </c>
      <c r="E1094" s="1270"/>
      <c r="F1094" s="1270"/>
      <c r="G1094" s="1270"/>
      <c r="H1094" s="1270"/>
      <c r="I1094" s="1270"/>
      <c r="J1094" s="1270"/>
      <c r="K1094" s="1270"/>
      <c r="L1094" s="1270"/>
      <c r="M1094" s="1270"/>
      <c r="N1094" s="1270"/>
      <c r="O1094" s="1270"/>
      <c r="P1094" s="1270"/>
      <c r="Q1094" s="1270"/>
      <c r="R1094" s="1270"/>
      <c r="S1094" s="1270"/>
      <c r="T1094" s="1270"/>
      <c r="U1094" s="1270"/>
      <c r="V1094" s="1270"/>
      <c r="W1094" s="1270"/>
      <c r="X1094" s="1270"/>
      <c r="Y1094" s="1270"/>
      <c r="Z1094" s="1270"/>
      <c r="AA1094" s="1270"/>
      <c r="AB1094" s="1270"/>
      <c r="AC1094" s="1270"/>
      <c r="AD1094" s="1270"/>
      <c r="AE1094" s="1270"/>
      <c r="AF1094" s="1270"/>
      <c r="AG1094" s="1270"/>
      <c r="AH1094" s="1270"/>
      <c r="AI1094" s="1270"/>
      <c r="AJ1094" s="1270"/>
      <c r="AK1094" s="1270"/>
    </row>
    <row r="1095" spans="1:37" ht="12.95" customHeight="1">
      <c r="A1095" s="1"/>
      <c r="B1095" s="1"/>
      <c r="C1095" s="212"/>
      <c r="D1095" s="1270"/>
      <c r="E1095" s="1270"/>
      <c r="F1095" s="1270"/>
      <c r="G1095" s="1270"/>
      <c r="H1095" s="1270"/>
      <c r="I1095" s="1270"/>
      <c r="J1095" s="1270"/>
      <c r="K1095" s="1270"/>
      <c r="L1095" s="1270"/>
      <c r="M1095" s="1270"/>
      <c r="N1095" s="1270"/>
      <c r="O1095" s="1270"/>
      <c r="P1095" s="1270"/>
      <c r="Q1095" s="1270"/>
      <c r="R1095" s="1270"/>
      <c r="S1095" s="1270"/>
      <c r="T1095" s="1270"/>
      <c r="U1095" s="1270"/>
      <c r="V1095" s="1270"/>
      <c r="W1095" s="1270"/>
      <c r="X1095" s="1270"/>
      <c r="Y1095" s="1270"/>
      <c r="Z1095" s="1270"/>
      <c r="AA1095" s="1270"/>
      <c r="AB1095" s="1270"/>
      <c r="AC1095" s="1270"/>
      <c r="AD1095" s="1270"/>
      <c r="AE1095" s="1270"/>
      <c r="AF1095" s="1270"/>
      <c r="AG1095" s="1270"/>
      <c r="AH1095" s="1270"/>
      <c r="AI1095" s="1270"/>
      <c r="AJ1095" s="1270"/>
      <c r="AK1095" s="1270"/>
    </row>
    <row r="1096" spans="1:37" ht="12.95" customHeight="1">
      <c r="A1096" s="1"/>
      <c r="B1096" s="1"/>
      <c r="C1096" s="212"/>
      <c r="D1096" s="1270"/>
      <c r="E1096" s="1270"/>
      <c r="F1096" s="1270"/>
      <c r="G1096" s="1270"/>
      <c r="H1096" s="1270"/>
      <c r="I1096" s="1270"/>
      <c r="J1096" s="1270"/>
      <c r="K1096" s="1270"/>
      <c r="L1096" s="1270"/>
      <c r="M1096" s="1270"/>
      <c r="N1096" s="1270"/>
      <c r="O1096" s="1270"/>
      <c r="P1096" s="1270"/>
      <c r="Q1096" s="1270"/>
      <c r="R1096" s="1270"/>
      <c r="S1096" s="1270"/>
      <c r="T1096" s="1270"/>
      <c r="U1096" s="1270"/>
      <c r="V1096" s="1270"/>
      <c r="W1096" s="1270"/>
      <c r="X1096" s="1270"/>
      <c r="Y1096" s="1270"/>
      <c r="Z1096" s="1270"/>
      <c r="AA1096" s="1270"/>
      <c r="AB1096" s="1270"/>
      <c r="AC1096" s="1270"/>
      <c r="AD1096" s="1270"/>
      <c r="AE1096" s="1270"/>
      <c r="AF1096" s="1270"/>
      <c r="AG1096" s="1270"/>
      <c r="AH1096" s="1270"/>
      <c r="AI1096" s="1270"/>
      <c r="AJ1096" s="1270"/>
      <c r="AK1096" s="1270"/>
    </row>
    <row r="1097" spans="1:37" ht="12.95" customHeight="1">
      <c r="A1097" s="35"/>
      <c r="B1097" s="25"/>
      <c r="C1097" s="212"/>
      <c r="D1097" s="1270"/>
      <c r="E1097" s="1270"/>
      <c r="F1097" s="1270"/>
      <c r="G1097" s="1270"/>
      <c r="H1097" s="1270"/>
      <c r="I1097" s="1270"/>
      <c r="J1097" s="1270"/>
      <c r="K1097" s="1270"/>
      <c r="L1097" s="1270"/>
      <c r="M1097" s="1270"/>
      <c r="N1097" s="1270"/>
      <c r="O1097" s="1270"/>
      <c r="P1097" s="1270"/>
      <c r="Q1097" s="1270"/>
      <c r="R1097" s="1270"/>
      <c r="S1097" s="1270"/>
      <c r="T1097" s="1270"/>
      <c r="U1097" s="1270"/>
      <c r="V1097" s="1270"/>
      <c r="W1097" s="1270"/>
      <c r="X1097" s="1270"/>
      <c r="Y1097" s="1270"/>
      <c r="Z1097" s="1270"/>
      <c r="AA1097" s="1270"/>
      <c r="AB1097" s="1270"/>
      <c r="AC1097" s="1270"/>
      <c r="AD1097" s="1270"/>
      <c r="AE1097" s="1270"/>
      <c r="AF1097" s="1270"/>
      <c r="AG1097" s="1270"/>
      <c r="AH1097" s="1270"/>
      <c r="AI1097" s="1270"/>
      <c r="AJ1097" s="1270"/>
      <c r="AK1097" s="1270"/>
    </row>
    <row r="1098" spans="1:37" ht="12.95" customHeight="1">
      <c r="A1098" s="1383" t="s">
        <v>599</v>
      </c>
      <c r="B1098" s="1383"/>
      <c r="C1098" s="212">
        <v>8</v>
      </c>
      <c r="D1098" s="1330" t="s">
        <v>1870</v>
      </c>
      <c r="E1098" s="1330"/>
      <c r="F1098" s="1330"/>
      <c r="G1098" s="1330"/>
      <c r="H1098" s="1330"/>
      <c r="I1098" s="1330"/>
      <c r="J1098" s="1330"/>
      <c r="K1098" s="1330"/>
      <c r="L1098" s="1330"/>
      <c r="M1098" s="1330"/>
      <c r="N1098" s="1330"/>
      <c r="O1098" s="1330"/>
      <c r="P1098" s="1330"/>
      <c r="Q1098" s="1330"/>
      <c r="R1098" s="1330"/>
      <c r="S1098" s="1330"/>
      <c r="T1098" s="1330"/>
      <c r="U1098" s="1330"/>
      <c r="V1098" s="1330"/>
      <c r="W1098" s="1330"/>
      <c r="X1098" s="1330"/>
      <c r="Y1098" s="1330"/>
      <c r="Z1098" s="1330"/>
      <c r="AA1098" s="1330"/>
      <c r="AB1098" s="1330"/>
      <c r="AC1098" s="1330"/>
      <c r="AD1098" s="1330"/>
      <c r="AE1098" s="1330"/>
      <c r="AF1098" s="1330"/>
      <c r="AG1098" s="1330"/>
      <c r="AH1098" s="1330"/>
      <c r="AI1098" s="1330"/>
      <c r="AJ1098" s="1330"/>
      <c r="AK1098" s="1330"/>
    </row>
    <row r="1099" spans="1:37" ht="12.95" customHeight="1">
      <c r="A1099" s="1"/>
      <c r="B1099" s="1"/>
      <c r="C1099" s="212"/>
      <c r="D1099" s="1330"/>
      <c r="E1099" s="1330"/>
      <c r="F1099" s="1330"/>
      <c r="G1099" s="1330"/>
      <c r="H1099" s="1330"/>
      <c r="I1099" s="1330"/>
      <c r="J1099" s="1330"/>
      <c r="K1099" s="1330"/>
      <c r="L1099" s="1330"/>
      <c r="M1099" s="1330"/>
      <c r="N1099" s="1330"/>
      <c r="O1099" s="1330"/>
      <c r="P1099" s="1330"/>
      <c r="Q1099" s="1330"/>
      <c r="R1099" s="1330"/>
      <c r="S1099" s="1330"/>
      <c r="T1099" s="1330"/>
      <c r="U1099" s="1330"/>
      <c r="V1099" s="1330"/>
      <c r="W1099" s="1330"/>
      <c r="X1099" s="1330"/>
      <c r="Y1099" s="1330"/>
      <c r="Z1099" s="1330"/>
      <c r="AA1099" s="1330"/>
      <c r="AB1099" s="1330"/>
      <c r="AC1099" s="1330"/>
      <c r="AD1099" s="1330"/>
      <c r="AE1099" s="1330"/>
      <c r="AF1099" s="1330"/>
      <c r="AG1099" s="1330"/>
      <c r="AH1099" s="1330"/>
      <c r="AI1099" s="1330"/>
      <c r="AJ1099" s="1330"/>
      <c r="AK1099" s="1330"/>
    </row>
    <row r="1100" spans="1:37" ht="12.95" customHeight="1">
      <c r="A1100" s="1"/>
      <c r="B1100" s="1"/>
      <c r="C1100" s="212"/>
      <c r="D1100" s="1330"/>
      <c r="E1100" s="1330"/>
      <c r="F1100" s="1330"/>
      <c r="G1100" s="1330"/>
      <c r="H1100" s="1330"/>
      <c r="I1100" s="1330"/>
      <c r="J1100" s="1330"/>
      <c r="K1100" s="1330"/>
      <c r="L1100" s="1330"/>
      <c r="M1100" s="1330"/>
      <c r="N1100" s="1330"/>
      <c r="O1100" s="1330"/>
      <c r="P1100" s="1330"/>
      <c r="Q1100" s="1330"/>
      <c r="R1100" s="1330"/>
      <c r="S1100" s="1330"/>
      <c r="T1100" s="1330"/>
      <c r="U1100" s="1330"/>
      <c r="V1100" s="1330"/>
      <c r="W1100" s="1330"/>
      <c r="X1100" s="1330"/>
      <c r="Y1100" s="1330"/>
      <c r="Z1100" s="1330"/>
      <c r="AA1100" s="1330"/>
      <c r="AB1100" s="1330"/>
      <c r="AC1100" s="1330"/>
      <c r="AD1100" s="1330"/>
      <c r="AE1100" s="1330"/>
      <c r="AF1100" s="1330"/>
      <c r="AG1100" s="1330"/>
      <c r="AH1100" s="1330"/>
      <c r="AI1100" s="1330"/>
      <c r="AJ1100" s="1330"/>
      <c r="AK1100" s="1330"/>
    </row>
    <row r="1101" spans="1:37" ht="0" hidden="1" customHeight="1">
      <c r="A1101" s="1"/>
      <c r="B1101" s="1"/>
      <c r="C1101" s="212"/>
      <c r="D1101" s="1330"/>
      <c r="E1101" s="1330"/>
      <c r="F1101" s="1330"/>
      <c r="G1101" s="1330"/>
      <c r="H1101" s="1330"/>
      <c r="I1101" s="1330"/>
      <c r="J1101" s="1330"/>
      <c r="K1101" s="1330"/>
      <c r="L1101" s="1330"/>
      <c r="M1101" s="1330"/>
      <c r="N1101" s="1330"/>
      <c r="O1101" s="1330"/>
      <c r="P1101" s="1330"/>
      <c r="Q1101" s="1330"/>
      <c r="R1101" s="1330"/>
      <c r="S1101" s="1330"/>
      <c r="T1101" s="1330"/>
      <c r="U1101" s="1330"/>
      <c r="V1101" s="1330"/>
      <c r="W1101" s="1330"/>
      <c r="X1101" s="1330"/>
      <c r="Y1101" s="1330"/>
      <c r="Z1101" s="1330"/>
      <c r="AA1101" s="1330"/>
      <c r="AB1101" s="1330"/>
      <c r="AC1101" s="1330"/>
      <c r="AD1101" s="1330"/>
      <c r="AE1101" s="1330"/>
      <c r="AF1101" s="1330"/>
      <c r="AG1101" s="1330"/>
      <c r="AH1101" s="1330"/>
      <c r="AI1101" s="1330"/>
      <c r="AJ1101" s="1330"/>
      <c r="AK1101" s="1330"/>
    </row>
    <row r="1102" spans="1:37" ht="0" hidden="1" customHeight="1">
      <c r="A1102" s="35"/>
      <c r="B1102" s="25"/>
      <c r="C1102" s="212"/>
      <c r="D1102" s="1330"/>
      <c r="E1102" s="1330"/>
      <c r="F1102" s="1330"/>
      <c r="G1102" s="1330"/>
      <c r="H1102" s="1330"/>
      <c r="I1102" s="1330"/>
      <c r="J1102" s="1330"/>
      <c r="K1102" s="1330"/>
      <c r="L1102" s="1330"/>
      <c r="M1102" s="1330"/>
      <c r="N1102" s="1330"/>
      <c r="O1102" s="1330"/>
      <c r="P1102" s="1330"/>
      <c r="Q1102" s="1330"/>
      <c r="R1102" s="1330"/>
      <c r="S1102" s="1330"/>
      <c r="T1102" s="1330"/>
      <c r="U1102" s="1330"/>
      <c r="V1102" s="1330"/>
      <c r="W1102" s="1330"/>
      <c r="X1102" s="1330"/>
      <c r="Y1102" s="1330"/>
      <c r="Z1102" s="1330"/>
      <c r="AA1102" s="1330"/>
      <c r="AB1102" s="1330"/>
      <c r="AC1102" s="1330"/>
      <c r="AD1102" s="1330"/>
      <c r="AE1102" s="1330"/>
      <c r="AF1102" s="1330"/>
      <c r="AG1102" s="1330"/>
      <c r="AH1102" s="1330"/>
      <c r="AI1102" s="1330"/>
      <c r="AJ1102" s="1330"/>
      <c r="AK1102" s="1330"/>
    </row>
    <row r="1103" spans="1:37" ht="0" hidden="1" customHeight="1">
      <c r="A1103" s="1383" t="s">
        <v>599</v>
      </c>
      <c r="B1103" s="1383"/>
      <c r="C1103" s="212">
        <v>9</v>
      </c>
      <c r="D1103" s="1270" t="s">
        <v>1120</v>
      </c>
      <c r="E1103" s="1270"/>
      <c r="F1103" s="1270"/>
      <c r="G1103" s="1270"/>
      <c r="H1103" s="1270"/>
      <c r="I1103" s="1270"/>
      <c r="J1103" s="1270"/>
      <c r="K1103" s="1270"/>
      <c r="L1103" s="1270"/>
      <c r="M1103" s="1270"/>
      <c r="N1103" s="1270"/>
      <c r="O1103" s="1270"/>
      <c r="P1103" s="1270"/>
      <c r="Q1103" s="1270"/>
      <c r="R1103" s="1270"/>
      <c r="S1103" s="1270"/>
      <c r="T1103" s="1270"/>
      <c r="U1103" s="1270"/>
      <c r="V1103" s="1270"/>
      <c r="W1103" s="1270"/>
      <c r="X1103" s="1270"/>
      <c r="Y1103" s="1270"/>
      <c r="Z1103" s="1270"/>
      <c r="AA1103" s="1270"/>
      <c r="AB1103" s="1270"/>
      <c r="AC1103" s="1270"/>
      <c r="AD1103" s="1270"/>
      <c r="AE1103" s="1270"/>
      <c r="AF1103" s="1270"/>
      <c r="AG1103" s="1270"/>
      <c r="AH1103" s="1270"/>
      <c r="AI1103" s="1270"/>
      <c r="AJ1103" s="1270"/>
      <c r="AK1103" s="1270"/>
    </row>
    <row r="1104" spans="1:37" ht="0" hidden="1" customHeight="1">
      <c r="A1104" s="35"/>
      <c r="B1104" s="25"/>
      <c r="C1104" s="212"/>
      <c r="D1104" s="1270"/>
      <c r="E1104" s="1270"/>
      <c r="F1104" s="1270"/>
      <c r="G1104" s="1270"/>
      <c r="H1104" s="1270"/>
      <c r="I1104" s="1270"/>
      <c r="J1104" s="1270"/>
      <c r="K1104" s="1270"/>
      <c r="L1104" s="1270"/>
      <c r="M1104" s="1270"/>
      <c r="N1104" s="1270"/>
      <c r="O1104" s="1270"/>
      <c r="P1104" s="1270"/>
      <c r="Q1104" s="1270"/>
      <c r="R1104" s="1270"/>
      <c r="S1104" s="1270"/>
      <c r="T1104" s="1270"/>
      <c r="U1104" s="1270"/>
      <c r="V1104" s="1270"/>
      <c r="W1104" s="1270"/>
      <c r="X1104" s="1270"/>
      <c r="Y1104" s="1270"/>
      <c r="Z1104" s="1270"/>
      <c r="AA1104" s="1270"/>
      <c r="AB1104" s="1270"/>
      <c r="AC1104" s="1270"/>
      <c r="AD1104" s="1270"/>
      <c r="AE1104" s="1270"/>
      <c r="AF1104" s="1270"/>
      <c r="AG1104" s="1270"/>
      <c r="AH1104" s="1270"/>
      <c r="AI1104" s="1270"/>
      <c r="AJ1104" s="1270"/>
      <c r="AK1104" s="1270"/>
    </row>
    <row r="1105" spans="4:37" ht="0" hidden="1" customHeight="1">
      <c r="D1105" s="1270"/>
      <c r="E1105" s="1270"/>
      <c r="F1105" s="1270"/>
      <c r="G1105" s="1270"/>
      <c r="H1105" s="1270"/>
      <c r="I1105" s="1270"/>
      <c r="J1105" s="1270"/>
      <c r="K1105" s="1270"/>
      <c r="L1105" s="1270"/>
      <c r="M1105" s="1270"/>
      <c r="N1105" s="1270"/>
      <c r="O1105" s="1270"/>
      <c r="P1105" s="1270"/>
      <c r="Q1105" s="1270"/>
      <c r="R1105" s="1270"/>
      <c r="S1105" s="1270"/>
      <c r="T1105" s="1270"/>
      <c r="U1105" s="1270"/>
      <c r="V1105" s="1270"/>
      <c r="W1105" s="1270"/>
      <c r="X1105" s="1270"/>
      <c r="Y1105" s="1270"/>
      <c r="Z1105" s="1270"/>
      <c r="AA1105" s="1270"/>
      <c r="AB1105" s="1270"/>
      <c r="AC1105" s="1270"/>
      <c r="AD1105" s="1270"/>
      <c r="AE1105" s="1270"/>
      <c r="AF1105" s="1270"/>
      <c r="AG1105" s="1270"/>
      <c r="AH1105" s="1270"/>
      <c r="AI1105" s="1270"/>
      <c r="AJ1105" s="1270"/>
      <c r="AK1105" s="127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28">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H525:AK525"/>
    <mergeCell ref="AH529:AK529"/>
    <mergeCell ref="AH534:AK534"/>
    <mergeCell ref="AC510:AF510"/>
    <mergeCell ref="AH510:AK510"/>
    <mergeCell ref="AC512:AF512"/>
    <mergeCell ref="AH512:AK512"/>
    <mergeCell ref="AC538:AF538"/>
    <mergeCell ref="AC454:AF454"/>
    <mergeCell ref="Q488:AK488"/>
    <mergeCell ref="Q493:AK493"/>
    <mergeCell ref="AC502:AF502"/>
    <mergeCell ref="AC456:AF456"/>
    <mergeCell ref="D442:AF442"/>
    <mergeCell ref="AH521:AK521"/>
    <mergeCell ref="AC530:AF530"/>
    <mergeCell ref="O526:AA526"/>
    <mergeCell ref="AC529:AF529"/>
    <mergeCell ref="AH530:AK530"/>
    <mergeCell ref="AH506:AK506"/>
    <mergeCell ref="AH508:AK508"/>
    <mergeCell ref="Q494:AK494"/>
    <mergeCell ref="AG450:AJ450"/>
    <mergeCell ref="AC455:AF455"/>
    <mergeCell ref="F457:AB458"/>
    <mergeCell ref="D466:V466"/>
    <mergeCell ref="Q491:AK491"/>
    <mergeCell ref="AG447:AJ447"/>
    <mergeCell ref="AH495:AK495"/>
    <mergeCell ref="D465:V465"/>
    <mergeCell ref="B514:H516"/>
    <mergeCell ref="AC522:AF522"/>
    <mergeCell ref="AI323:AK323"/>
    <mergeCell ref="AA320:AK320"/>
    <mergeCell ref="AA337:AK337"/>
    <mergeCell ref="H327:R327"/>
    <mergeCell ref="AM554:AS554"/>
    <mergeCell ref="M495:P495"/>
    <mergeCell ref="AC501:AF501"/>
    <mergeCell ref="AH526:AK526"/>
    <mergeCell ref="T557:V557"/>
    <mergeCell ref="AC518:AF518"/>
    <mergeCell ref="Q551:S553"/>
    <mergeCell ref="T551:V553"/>
    <mergeCell ref="W551:Y553"/>
    <mergeCell ref="AH507:AK507"/>
    <mergeCell ref="AI558:AL558"/>
    <mergeCell ref="AC526:AF526"/>
    <mergeCell ref="AH531:AK531"/>
    <mergeCell ref="AH540:AK540"/>
    <mergeCell ref="AC515:AF515"/>
    <mergeCell ref="AC514:AF514"/>
    <mergeCell ref="AH538:AK538"/>
    <mergeCell ref="Z551:AD553"/>
    <mergeCell ref="AH513:AK513"/>
    <mergeCell ref="AC509:AF509"/>
    <mergeCell ref="AC525:AF525"/>
    <mergeCell ref="AE556:AH556"/>
    <mergeCell ref="Q558:S558"/>
    <mergeCell ref="AM555:AS555"/>
    <mergeCell ref="AH532:AK532"/>
    <mergeCell ref="AH515:AK515"/>
    <mergeCell ref="AC516:AF516"/>
    <mergeCell ref="AC521:AF521"/>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AF430:AG430"/>
    <mergeCell ref="AG437:AJ437"/>
    <mergeCell ref="D441:AF441"/>
    <mergeCell ref="M356:N356"/>
    <mergeCell ref="W469:Y469"/>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J387:U387"/>
    <mergeCell ref="AG607:AH607"/>
    <mergeCell ref="BG603:BH603"/>
    <mergeCell ref="BS605:BW605"/>
    <mergeCell ref="BX605:CB605"/>
    <mergeCell ref="BI601:BJ601"/>
    <mergeCell ref="BI600:BJ600"/>
    <mergeCell ref="BN603:BR603"/>
    <mergeCell ref="BN606:BR606"/>
    <mergeCell ref="BK606:BL606"/>
    <mergeCell ref="BI605:BJ605"/>
    <mergeCell ref="BX603:CB603"/>
    <mergeCell ref="S401:U401"/>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D468:V468"/>
    <mergeCell ref="W558:Y558"/>
    <mergeCell ref="AE558:AH558"/>
    <mergeCell ref="C557:L557"/>
    <mergeCell ref="L508:AB508"/>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H503:AK503"/>
    <mergeCell ref="AC500:AF500"/>
    <mergeCell ref="Q485:AK485"/>
    <mergeCell ref="AH509:AK509"/>
    <mergeCell ref="AC503:AF503"/>
    <mergeCell ref="AC513:AF513"/>
    <mergeCell ref="Q557:S557"/>
    <mergeCell ref="T554:V554"/>
    <mergeCell ref="B517:H519"/>
    <mergeCell ref="AC524:AF524"/>
    <mergeCell ref="AH516:AK516"/>
    <mergeCell ref="Q554:S554"/>
    <mergeCell ref="AH524:AK524"/>
    <mergeCell ref="G721:J721"/>
    <mergeCell ref="G722:J722"/>
    <mergeCell ref="O714:S717"/>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T720:W720"/>
    <mergeCell ref="Z671:AE671"/>
    <mergeCell ref="Z668:AK66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P581:R581"/>
    <mergeCell ref="AI572:AK572"/>
    <mergeCell ref="AA582:AK582"/>
    <mergeCell ref="AM559:AS559"/>
    <mergeCell ref="T565:V56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0:AK290"/>
    <mergeCell ref="AA301:AK301"/>
    <mergeCell ref="H301:R301"/>
    <mergeCell ref="H300:M300"/>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62:AE262"/>
    <mergeCell ref="AA299:AF299"/>
    <mergeCell ref="AA287:AK287"/>
    <mergeCell ref="T267:X267"/>
    <mergeCell ref="P291:R291"/>
    <mergeCell ref="L274:AJ274"/>
    <mergeCell ref="H289:R289"/>
    <mergeCell ref="H291:M291"/>
    <mergeCell ref="H299:M299"/>
    <mergeCell ref="AA257:AK257"/>
    <mergeCell ref="M260:AE260"/>
    <mergeCell ref="AA265:AK265"/>
    <mergeCell ref="H295:R295"/>
    <mergeCell ref="AF251:AK251"/>
    <mergeCell ref="M261:T261"/>
    <mergeCell ref="AH262:AK262"/>
    <mergeCell ref="A86:AT87"/>
    <mergeCell ref="A89:AT90"/>
    <mergeCell ref="A92:AT98"/>
    <mergeCell ref="A100:AT103"/>
    <mergeCell ref="I184:AE184"/>
    <mergeCell ref="X176:Y176"/>
    <mergeCell ref="X180:Y180"/>
    <mergeCell ref="AP205:AQ205"/>
    <mergeCell ref="AI229:AJ229"/>
    <mergeCell ref="U175:V175"/>
    <mergeCell ref="R177:S177"/>
    <mergeCell ref="U236:W236"/>
    <mergeCell ref="M243:AE243"/>
    <mergeCell ref="D204:M204"/>
    <mergeCell ref="I190:N190"/>
    <mergeCell ref="A75:AT77"/>
    <mergeCell ref="A79:AT81"/>
    <mergeCell ref="AB215:AL215"/>
    <mergeCell ref="T198:U198"/>
    <mergeCell ref="Y212:Z212"/>
    <mergeCell ref="D214:Z214"/>
    <mergeCell ref="AB216:AL216"/>
    <mergeCell ref="Z236:AE236"/>
    <mergeCell ref="G113:H113"/>
    <mergeCell ref="C115:K115"/>
    <mergeCell ref="D164:AH164"/>
    <mergeCell ref="P204:U204"/>
    <mergeCell ref="AH195:AI195"/>
    <mergeCell ref="AH196:AI196"/>
    <mergeCell ref="U176:V176"/>
    <mergeCell ref="O155:AH155"/>
    <mergeCell ref="O156:AH156"/>
    <mergeCell ref="E187:AE188"/>
    <mergeCell ref="Z199:AA199"/>
    <mergeCell ref="AC234:AE234"/>
    <mergeCell ref="AH197:AI197"/>
    <mergeCell ref="Z247:AE247"/>
    <mergeCell ref="W245:X245"/>
    <mergeCell ref="U247:W247"/>
    <mergeCell ref="AC245:AE245"/>
    <mergeCell ref="M246:AE246"/>
    <mergeCell ref="Y120:AK120"/>
    <mergeCell ref="AI178:AK178"/>
    <mergeCell ref="W234:X234"/>
    <mergeCell ref="AB212:AC212"/>
    <mergeCell ref="AF243:AK243"/>
    <mergeCell ref="T196:U196"/>
    <mergeCell ref="D220:Z220"/>
    <mergeCell ref="T193:AI193"/>
    <mergeCell ref="O157:X157"/>
    <mergeCell ref="O159:T159"/>
    <mergeCell ref="O160:T160"/>
    <mergeCell ref="O161:AH161"/>
    <mergeCell ref="I185:AE185"/>
    <mergeCell ref="I189:P189"/>
    <mergeCell ref="T190:AE190"/>
    <mergeCell ref="N191:AE192"/>
    <mergeCell ref="M233:AE233"/>
    <mergeCell ref="M234:T234"/>
    <mergeCell ref="M235:AE235"/>
    <mergeCell ref="M236:R236"/>
    <mergeCell ref="AI227:AJ227"/>
    <mergeCell ref="Y123:AK123"/>
    <mergeCell ref="AH246:AK246"/>
    <mergeCell ref="H330:R330"/>
    <mergeCell ref="M26:Q26"/>
    <mergeCell ref="H16:AJ16"/>
    <mergeCell ref="A21:AL21"/>
    <mergeCell ref="F150:T150"/>
    <mergeCell ref="M254:AE254"/>
    <mergeCell ref="J173:S173"/>
    <mergeCell ref="O153:AH153"/>
    <mergeCell ref="O154:AH154"/>
    <mergeCell ref="O158:R158"/>
    <mergeCell ref="W159:X159"/>
    <mergeCell ref="AH254:AK254"/>
    <mergeCell ref="P113:S113"/>
    <mergeCell ref="D205:M205"/>
    <mergeCell ref="J174:AB174"/>
    <mergeCell ref="M238:T238"/>
    <mergeCell ref="T197:U197"/>
    <mergeCell ref="P205:U205"/>
    <mergeCell ref="M239:AE239"/>
    <mergeCell ref="AF178:AG178"/>
    <mergeCell ref="M27:Q27"/>
    <mergeCell ref="A83:AT84"/>
    <mergeCell ref="M247:R247"/>
    <mergeCell ref="M245:T245"/>
    <mergeCell ref="D208:M208"/>
    <mergeCell ref="Y117:AK117"/>
    <mergeCell ref="M232:AK232"/>
    <mergeCell ref="D211:M211"/>
    <mergeCell ref="AI228:AJ228"/>
    <mergeCell ref="AI226:AJ226"/>
    <mergeCell ref="A222:AT223"/>
    <mergeCell ref="T189:AE189"/>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Z205:AN205"/>
    <mergeCell ref="M249:T249"/>
    <mergeCell ref="W253:X253"/>
    <mergeCell ref="T195:U195"/>
    <mergeCell ref="M251:AE251"/>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H340:M340"/>
    <mergeCell ref="A282:AT283"/>
    <mergeCell ref="AI339:AK339"/>
    <mergeCell ref="H329:R329"/>
    <mergeCell ref="H288:R288"/>
    <mergeCell ref="AA335:AK335"/>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E696:AI696"/>
    <mergeCell ref="K718:N718"/>
    <mergeCell ref="K719:N71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AH724:AJ724"/>
    <mergeCell ref="Z662:AK662"/>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G727:J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61:AC861"/>
    <mergeCell ref="C894:AB894"/>
    <mergeCell ref="Z898:AE898"/>
    <mergeCell ref="W872:AC872"/>
    <mergeCell ref="AC884:AH884"/>
    <mergeCell ref="AC888:AH888"/>
    <mergeCell ref="M875:V875"/>
    <mergeCell ref="W877:AC877"/>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8:AF938"/>
    <mergeCell ref="BD905:BF905"/>
    <mergeCell ref="BD904:BF904"/>
    <mergeCell ref="U923:Z923"/>
    <mergeCell ref="BD909:BE909"/>
    <mergeCell ref="AB956:AK956"/>
    <mergeCell ref="U948:Z948"/>
    <mergeCell ref="AA927:AF927"/>
    <mergeCell ref="U922:Z922"/>
    <mergeCell ref="AA968:AG968"/>
    <mergeCell ref="AA935:AF935"/>
    <mergeCell ref="U942:Z942"/>
    <mergeCell ref="AA948:AF948"/>
    <mergeCell ref="U940:Z940"/>
    <mergeCell ref="AA942:AF942"/>
    <mergeCell ref="AC885:AH885"/>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U924:Z924"/>
    <mergeCell ref="AA934:AF934"/>
    <mergeCell ref="AA917:AF917"/>
    <mergeCell ref="M961:S961"/>
    <mergeCell ref="AA970:AG970"/>
    <mergeCell ref="AA924:AF924"/>
    <mergeCell ref="AE957:AK957"/>
    <mergeCell ref="F915:T916"/>
    <mergeCell ref="AA930:AF930"/>
    <mergeCell ref="U931:Z931"/>
    <mergeCell ref="AA931:AF931"/>
    <mergeCell ref="F937:T937"/>
    <mergeCell ref="F938:T938"/>
    <mergeCell ref="F939:T939"/>
    <mergeCell ref="U938:Z938"/>
    <mergeCell ref="U939:Z939"/>
    <mergeCell ref="F935:T935"/>
    <mergeCell ref="U935:Z935"/>
    <mergeCell ref="F943:T943"/>
    <mergeCell ref="U943:Z943"/>
    <mergeCell ref="AA939:AF939"/>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M562:P562"/>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C633:L633"/>
    <mergeCell ref="C634:L634"/>
    <mergeCell ref="M624:P626"/>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M871:V871"/>
    <mergeCell ref="M878:V878"/>
    <mergeCell ref="Q825:T825"/>
    <mergeCell ref="W870:AC87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C832:L832"/>
    <mergeCell ref="AE955:AK955"/>
    <mergeCell ref="AA946:AF946"/>
    <mergeCell ref="AH734:AJ73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O783:S786"/>
    <mergeCell ref="AC752:AG752"/>
    <mergeCell ref="O788:S788"/>
    <mergeCell ref="G736:J736"/>
    <mergeCell ref="AC739:AG739"/>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W630:Y630"/>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T971:Z971"/>
    <mergeCell ref="AA940:AF940"/>
    <mergeCell ref="AA943:AF943"/>
    <mergeCell ref="F929:T929"/>
    <mergeCell ref="F930:T930"/>
    <mergeCell ref="F931:T931"/>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AB984:AI984"/>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DX656:EB656"/>
    <mergeCell ref="EC656:EG656"/>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AK629:AN629"/>
    <mergeCell ref="V381:W381"/>
    <mergeCell ref="T555:V555"/>
    <mergeCell ref="W559:Y55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Z686:AK686"/>
    <mergeCell ref="Z605:AE605"/>
    <mergeCell ref="Z609:AK609"/>
    <mergeCell ref="G609:R609"/>
    <mergeCell ref="AF636:AJ636"/>
    <mergeCell ref="AF637:AJ637"/>
    <mergeCell ref="AF638:AJ638"/>
    <mergeCell ref="AK624:AN626"/>
    <mergeCell ref="A169:AT170"/>
    <mergeCell ref="Q627:S627"/>
    <mergeCell ref="Q628:S628"/>
    <mergeCell ref="Q629:S629"/>
    <mergeCell ref="Q630:S630"/>
    <mergeCell ref="Q631:S631"/>
    <mergeCell ref="Q632:S632"/>
    <mergeCell ref="Q633:S633"/>
    <mergeCell ref="Q634:S634"/>
    <mergeCell ref="AK633:AN633"/>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AI331:AK331"/>
    <mergeCell ref="P339:R339"/>
    <mergeCell ref="N363:O363"/>
    <mergeCell ref="I392:N392"/>
    <mergeCell ref="M357:N357"/>
    <mergeCell ref="J385:U385"/>
    <mergeCell ref="Q635:S635"/>
    <mergeCell ref="Z593:AK593"/>
    <mergeCell ref="M627:P627"/>
    <mergeCell ref="M628:P628"/>
    <mergeCell ref="M629:P629"/>
    <mergeCell ref="W624:Y626"/>
    <mergeCell ref="T634:V634"/>
    <mergeCell ref="W628:Y628"/>
    <mergeCell ref="W629:Y629"/>
    <mergeCell ref="M630:P630"/>
    <mergeCell ref="M631:P631"/>
    <mergeCell ref="M632:P632"/>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G611:R611"/>
    <mergeCell ref="Z602:AK602"/>
    <mergeCell ref="Z612:AK612"/>
    <mergeCell ref="AC627:AE627"/>
    <mergeCell ref="A69:AT70"/>
    <mergeCell ref="A72:AT73"/>
    <mergeCell ref="A544:AT545"/>
    <mergeCell ref="A480:AT481"/>
    <mergeCell ref="A351:AT352"/>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D1031:AE103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53" workbookViewId="0">
      <selection activeCell="C75" sqref="C7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68" t="s">
        <v>629</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375</v>
      </c>
      <c r="D2" s="138" t="s">
        <v>374</v>
      </c>
      <c r="E2" s="138" t="s">
        <v>24</v>
      </c>
      <c r="F2" s="139" t="str">
        <f>Application!B627&amp;Application!C627</f>
        <v>1)CSCDA (Freddie Mac)</v>
      </c>
      <c r="G2" s="139" t="str">
        <f>Application!B628&amp;Application!C628</f>
        <v>2)Special Limited Partner Equity</v>
      </c>
      <c r="H2" s="139" t="str">
        <f>Application!B629&amp;Application!C629</f>
        <v>3)General Partner Equity</v>
      </c>
      <c r="I2" s="139" t="str">
        <f>Application!B630&amp;Application!C630</f>
        <v>4)GP Subordinate Note</v>
      </c>
      <c r="J2" s="139" t="str">
        <f>Application!B631&amp;Application!C631</f>
        <v>5)Cashflow During Operations</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2889112</v>
      </c>
      <c r="C4" s="147">
        <f>ROUND((2900000/37290000)*37150000,)</f>
        <v>2889112</v>
      </c>
      <c r="D4" s="147"/>
      <c r="E4" s="147"/>
      <c r="F4" s="147">
        <f>C4</f>
        <v>2889112</v>
      </c>
      <c r="G4" s="147"/>
      <c r="H4" s="147"/>
      <c r="I4" s="147"/>
      <c r="J4" s="147"/>
      <c r="K4" s="147"/>
      <c r="L4" s="147"/>
      <c r="M4" s="147"/>
      <c r="N4" s="147"/>
      <c r="O4" s="147"/>
      <c r="P4" s="147"/>
      <c r="Q4" s="147"/>
      <c r="R4" s="550">
        <f>SUM(E4:Q4)</f>
        <v>2889112</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2889112</v>
      </c>
      <c r="C8" s="146">
        <f t="shared" ref="C8:Q8" si="0">SUM(C4:C7)</f>
        <v>2889112</v>
      </c>
      <c r="D8" s="146">
        <f t="shared" si="0"/>
        <v>0</v>
      </c>
      <c r="E8" s="146">
        <f t="shared" si="0"/>
        <v>0</v>
      </c>
      <c r="F8" s="146">
        <f t="shared" si="0"/>
        <v>2889112</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2889112</v>
      </c>
      <c r="S8" s="148"/>
      <c r="T8" s="148"/>
      <c r="U8" s="143"/>
    </row>
    <row r="9" spans="1:21" s="144" customFormat="1">
      <c r="A9" s="145" t="s">
        <v>602</v>
      </c>
      <c r="B9" s="146">
        <f>SUM(C9+D9)</f>
        <v>34260888</v>
      </c>
      <c r="C9" s="147">
        <f>37150000-C4</f>
        <v>34260888</v>
      </c>
      <c r="D9" s="147"/>
      <c r="E9" s="147">
        <f>C9-F9-G9-H9-I9</f>
        <v>8860319</v>
      </c>
      <c r="F9" s="147">
        <f>F108-F4</f>
        <v>21360888</v>
      </c>
      <c r="G9" s="147">
        <v>100</v>
      </c>
      <c r="H9" s="147">
        <v>100</v>
      </c>
      <c r="I9" s="147">
        <f>I108</f>
        <v>4039481</v>
      </c>
      <c r="J9" s="147"/>
      <c r="K9" s="147"/>
      <c r="L9" s="147"/>
      <c r="M9" s="147"/>
      <c r="N9" s="147"/>
      <c r="O9" s="147"/>
      <c r="P9" s="147"/>
      <c r="Q9" s="147"/>
      <c r="R9" s="550">
        <f>SUM(E9:Q9)</f>
        <v>34260888</v>
      </c>
      <c r="S9" s="148"/>
      <c r="T9" s="147">
        <f>C9</f>
        <v>34260888</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34260888</v>
      </c>
      <c r="C11" s="146">
        <f t="shared" ref="C11:Q11" si="1">SUM(C9:C10)</f>
        <v>34260888</v>
      </c>
      <c r="D11" s="146">
        <f t="shared" si="1"/>
        <v>0</v>
      </c>
      <c r="E11" s="146">
        <f t="shared" si="1"/>
        <v>8860319</v>
      </c>
      <c r="F11" s="146">
        <f t="shared" si="1"/>
        <v>21360888</v>
      </c>
      <c r="G11" s="146">
        <f t="shared" si="1"/>
        <v>100</v>
      </c>
      <c r="H11" s="146">
        <f t="shared" si="1"/>
        <v>100</v>
      </c>
      <c r="I11" s="146">
        <f t="shared" si="1"/>
        <v>4039481</v>
      </c>
      <c r="J11" s="146">
        <f t="shared" si="1"/>
        <v>0</v>
      </c>
      <c r="K11" s="146">
        <f t="shared" si="1"/>
        <v>0</v>
      </c>
      <c r="L11" s="146">
        <f t="shared" si="1"/>
        <v>0</v>
      </c>
      <c r="M11" s="146">
        <f t="shared" si="1"/>
        <v>0</v>
      </c>
      <c r="N11" s="146">
        <f t="shared" si="1"/>
        <v>0</v>
      </c>
      <c r="O11" s="146">
        <f t="shared" si="1"/>
        <v>0</v>
      </c>
      <c r="P11" s="146"/>
      <c r="Q11" s="146">
        <f t="shared" si="1"/>
        <v>0</v>
      </c>
      <c r="R11" s="370">
        <f>SUM(R9:R10)</f>
        <v>34260888</v>
      </c>
      <c r="S11" s="148"/>
      <c r="T11" s="150">
        <f>SUM(T9:T10)</f>
        <v>34260888</v>
      </c>
      <c r="U11" s="143"/>
    </row>
    <row r="12" spans="1:21" s="144" customFormat="1">
      <c r="A12" s="149" t="s">
        <v>84</v>
      </c>
      <c r="B12" s="146">
        <f t="shared" ref="B12:Q12" si="2">SUM(B8+B11)</f>
        <v>37150000</v>
      </c>
      <c r="C12" s="146">
        <f t="shared" si="2"/>
        <v>37150000</v>
      </c>
      <c r="D12" s="146">
        <f t="shared" si="2"/>
        <v>0</v>
      </c>
      <c r="E12" s="146">
        <f t="shared" si="2"/>
        <v>8860319</v>
      </c>
      <c r="F12" s="146">
        <f t="shared" si="2"/>
        <v>24250000</v>
      </c>
      <c r="G12" s="146">
        <f t="shared" si="2"/>
        <v>100</v>
      </c>
      <c r="H12" s="146">
        <f t="shared" si="2"/>
        <v>100</v>
      </c>
      <c r="I12" s="146">
        <f t="shared" si="2"/>
        <v>4039481</v>
      </c>
      <c r="J12" s="146">
        <f t="shared" si="2"/>
        <v>0</v>
      </c>
      <c r="K12" s="146">
        <f t="shared" si="2"/>
        <v>0</v>
      </c>
      <c r="L12" s="146">
        <f t="shared" si="2"/>
        <v>0</v>
      </c>
      <c r="M12" s="146">
        <f t="shared" si="2"/>
        <v>0</v>
      </c>
      <c r="N12" s="146">
        <f t="shared" si="2"/>
        <v>0</v>
      </c>
      <c r="O12" s="146">
        <f t="shared" si="2"/>
        <v>0</v>
      </c>
      <c r="P12" s="146"/>
      <c r="Q12" s="146">
        <f t="shared" si="2"/>
        <v>0</v>
      </c>
      <c r="R12" s="370">
        <f>SUM(R8+R11)</f>
        <v>37150000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6857190</v>
      </c>
      <c r="C18" s="147">
        <v>6857190</v>
      </c>
      <c r="D18" s="147"/>
      <c r="E18" s="147">
        <f>C18</f>
        <v>6857190</v>
      </c>
      <c r="F18" s="147"/>
      <c r="G18" s="147"/>
      <c r="H18" s="147"/>
      <c r="I18" s="147"/>
      <c r="J18" s="147"/>
      <c r="K18" s="147"/>
      <c r="L18" s="147"/>
      <c r="M18" s="147"/>
      <c r="N18" s="147"/>
      <c r="O18" s="147"/>
      <c r="P18" s="147"/>
      <c r="Q18" s="147"/>
      <c r="R18" s="550">
        <f>SUM(E18:Q18)</f>
        <v>6857190</v>
      </c>
      <c r="S18" s="147">
        <f>C18</f>
        <v>6857190</v>
      </c>
      <c r="T18" s="147"/>
      <c r="U18" s="143"/>
    </row>
    <row r="19" spans="1:21" s="144" customFormat="1">
      <c r="A19" s="145" t="s">
        <v>608</v>
      </c>
      <c r="B19" s="146">
        <f t="shared" si="3"/>
        <v>411431</v>
      </c>
      <c r="C19" s="147">
        <v>411431</v>
      </c>
      <c r="D19" s="147"/>
      <c r="E19" s="147">
        <f>C19</f>
        <v>411431</v>
      </c>
      <c r="F19" s="147"/>
      <c r="G19" s="147"/>
      <c r="H19" s="147"/>
      <c r="I19" s="147"/>
      <c r="J19" s="147"/>
      <c r="K19" s="147"/>
      <c r="L19" s="147"/>
      <c r="M19" s="147"/>
      <c r="N19" s="147"/>
      <c r="O19" s="147"/>
      <c r="P19" s="147"/>
      <c r="Q19" s="147"/>
      <c r="R19" s="550">
        <f>SUM(E19:Q19)</f>
        <v>411431</v>
      </c>
      <c r="S19" s="147">
        <f>C19</f>
        <v>411431</v>
      </c>
      <c r="T19" s="147"/>
      <c r="U19" s="143"/>
    </row>
    <row r="20" spans="1:21" s="144" customFormat="1">
      <c r="A20" s="145" t="s">
        <v>137</v>
      </c>
      <c r="B20" s="146">
        <f t="shared" si="3"/>
        <v>137143</v>
      </c>
      <c r="C20" s="147">
        <v>137143</v>
      </c>
      <c r="D20" s="147"/>
      <c r="E20" s="147">
        <f>C20</f>
        <v>137143</v>
      </c>
      <c r="F20" s="147"/>
      <c r="G20" s="147"/>
      <c r="H20" s="147"/>
      <c r="I20" s="147"/>
      <c r="J20" s="147"/>
      <c r="K20" s="147"/>
      <c r="L20" s="147"/>
      <c r="M20" s="147"/>
      <c r="N20" s="147"/>
      <c r="O20" s="147"/>
      <c r="P20" s="147"/>
      <c r="Q20" s="147"/>
      <c r="R20" s="550">
        <f t="shared" ref="R20:R27" si="4">SUM(E20:Q20)</f>
        <v>137143</v>
      </c>
      <c r="S20" s="147">
        <f>C20</f>
        <v>137143</v>
      </c>
      <c r="T20" s="147"/>
      <c r="U20" s="143"/>
    </row>
    <row r="21" spans="1:21" s="144" customFormat="1">
      <c r="A21" s="145" t="s">
        <v>138</v>
      </c>
      <c r="B21" s="146">
        <f t="shared" si="3"/>
        <v>411431</v>
      </c>
      <c r="C21" s="147">
        <v>411431</v>
      </c>
      <c r="D21" s="147"/>
      <c r="E21" s="147">
        <f>C21</f>
        <v>411431</v>
      </c>
      <c r="F21" s="147"/>
      <c r="G21" s="147"/>
      <c r="H21" s="147"/>
      <c r="I21" s="147"/>
      <c r="J21" s="147"/>
      <c r="K21" s="147"/>
      <c r="L21" s="147"/>
      <c r="M21" s="147"/>
      <c r="N21" s="147"/>
      <c r="O21" s="147"/>
      <c r="P21" s="147"/>
      <c r="Q21" s="147"/>
      <c r="R21" s="550">
        <f t="shared" si="4"/>
        <v>411431</v>
      </c>
      <c r="S21" s="147">
        <f>C21</f>
        <v>411431</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78858</v>
      </c>
      <c r="C23" s="147">
        <v>78858</v>
      </c>
      <c r="D23" s="147"/>
      <c r="E23" s="147">
        <f>C23</f>
        <v>78858</v>
      </c>
      <c r="F23" s="147"/>
      <c r="G23" s="147"/>
      <c r="H23" s="147"/>
      <c r="I23" s="147"/>
      <c r="J23" s="147"/>
      <c r="K23" s="147"/>
      <c r="L23" s="147"/>
      <c r="M23" s="147"/>
      <c r="N23" s="147"/>
      <c r="O23" s="147"/>
      <c r="P23" s="147"/>
      <c r="Q23" s="147"/>
      <c r="R23" s="550">
        <f t="shared" si="4"/>
        <v>78858</v>
      </c>
      <c r="S23" s="147">
        <f>C23</f>
        <v>78858</v>
      </c>
      <c r="T23" s="147"/>
      <c r="U23" s="143"/>
    </row>
    <row r="24" spans="1:21" s="144" customFormat="1">
      <c r="A24" s="542" t="s">
        <v>1751</v>
      </c>
      <c r="B24" s="146">
        <f t="shared" si="3"/>
        <v>156000</v>
      </c>
      <c r="C24" s="147">
        <v>156000</v>
      </c>
      <c r="D24" s="147"/>
      <c r="E24" s="147">
        <f>C24</f>
        <v>156000</v>
      </c>
      <c r="F24" s="147"/>
      <c r="G24" s="147"/>
      <c r="H24" s="147"/>
      <c r="I24" s="147"/>
      <c r="J24" s="147"/>
      <c r="K24" s="147"/>
      <c r="L24" s="147"/>
      <c r="M24" s="147"/>
      <c r="N24" s="147"/>
      <c r="O24" s="147"/>
      <c r="P24" s="147"/>
      <c r="Q24" s="147"/>
      <c r="R24" s="550">
        <f t="shared" si="4"/>
        <v>156000</v>
      </c>
      <c r="S24" s="147">
        <f>C24</f>
        <v>156000</v>
      </c>
      <c r="T24" s="147"/>
      <c r="U24" s="143"/>
    </row>
    <row r="25" spans="1:21" s="144" customFormat="1" ht="24">
      <c r="A25" s="1193" t="s">
        <v>2753</v>
      </c>
      <c r="B25" s="146">
        <f t="shared" si="3"/>
        <v>92572</v>
      </c>
      <c r="C25" s="147">
        <v>92572</v>
      </c>
      <c r="D25" s="147"/>
      <c r="E25" s="147">
        <f>C25</f>
        <v>92572</v>
      </c>
      <c r="F25" s="147"/>
      <c r="G25" s="147"/>
      <c r="H25" s="147"/>
      <c r="I25" s="147"/>
      <c r="J25" s="147"/>
      <c r="K25" s="147"/>
      <c r="L25" s="147"/>
      <c r="M25" s="147"/>
      <c r="N25" s="147"/>
      <c r="O25" s="147"/>
      <c r="P25" s="147"/>
      <c r="Q25" s="147"/>
      <c r="R25" s="550">
        <f t="shared" si="4"/>
        <v>92572</v>
      </c>
      <c r="S25" s="147">
        <f>C25</f>
        <v>92572</v>
      </c>
      <c r="T25" s="147"/>
      <c r="U25" s="143"/>
    </row>
    <row r="26" spans="1:21" s="144" customFormat="1">
      <c r="A26" s="149" t="s">
        <v>133</v>
      </c>
      <c r="B26" s="146">
        <f t="shared" si="3"/>
        <v>8144625</v>
      </c>
      <c r="C26" s="146">
        <f>SUM(C17:C25)</f>
        <v>8144625</v>
      </c>
      <c r="D26" s="146">
        <f t="shared" ref="D26:Q26" si="5">SUM(D17:D25)</f>
        <v>0</v>
      </c>
      <c r="E26" s="146">
        <f t="shared" si="5"/>
        <v>8144625</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8144625</v>
      </c>
      <c r="S26" s="150">
        <f>SUM(S17:S25)</f>
        <v>8144625</v>
      </c>
      <c r="T26" s="150">
        <f>SUM(T17:T25)</f>
        <v>0</v>
      </c>
      <c r="U26" s="143"/>
    </row>
    <row r="27" spans="1:21" s="144" customFormat="1">
      <c r="A27" s="149" t="s">
        <v>141</v>
      </c>
      <c r="B27" s="146">
        <f>SUM(C27:D27)</f>
        <v>19700</v>
      </c>
      <c r="C27" s="147">
        <v>19700</v>
      </c>
      <c r="D27" s="147"/>
      <c r="E27" s="147">
        <v>19700</v>
      </c>
      <c r="F27" s="147"/>
      <c r="G27" s="147"/>
      <c r="H27" s="147"/>
      <c r="I27" s="147"/>
      <c r="J27" s="147"/>
      <c r="K27" s="147"/>
      <c r="L27" s="147"/>
      <c r="M27" s="147"/>
      <c r="N27" s="147"/>
      <c r="O27" s="147"/>
      <c r="P27" s="147"/>
      <c r="Q27" s="147"/>
      <c r="R27" s="550">
        <f t="shared" si="4"/>
        <v>19700</v>
      </c>
      <c r="S27" s="147">
        <f>C27</f>
        <v>19700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607</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608</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1751</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175000</v>
      </c>
      <c r="C40" s="147">
        <v>175000</v>
      </c>
      <c r="D40" s="147"/>
      <c r="E40" s="147">
        <f>C40</f>
        <v>175000</v>
      </c>
      <c r="F40" s="147"/>
      <c r="G40" s="147"/>
      <c r="H40" s="147"/>
      <c r="I40" s="147"/>
      <c r="J40" s="147"/>
      <c r="K40" s="147"/>
      <c r="L40" s="147"/>
      <c r="M40" s="147"/>
      <c r="N40" s="147"/>
      <c r="O40" s="147"/>
      <c r="P40" s="147"/>
      <c r="Q40" s="147"/>
      <c r="R40" s="550">
        <f>SUM(E40:Q40)</f>
        <v>175000</v>
      </c>
      <c r="S40" s="147">
        <f>C40</f>
        <v>175000</v>
      </c>
      <c r="T40" s="147"/>
      <c r="U40" s="143"/>
    </row>
    <row r="41" spans="1:21" s="144" customFormat="1">
      <c r="A41" s="145" t="s">
        <v>146</v>
      </c>
      <c r="B41" s="146">
        <f>SUM(C41+D41)</f>
        <v>50000</v>
      </c>
      <c r="C41" s="147">
        <v>50000</v>
      </c>
      <c r="D41" s="147"/>
      <c r="E41" s="147">
        <f>C41</f>
        <v>50000</v>
      </c>
      <c r="F41" s="147"/>
      <c r="G41" s="147"/>
      <c r="H41" s="147"/>
      <c r="I41" s="147"/>
      <c r="J41" s="147"/>
      <c r="K41" s="147"/>
      <c r="L41" s="147"/>
      <c r="M41" s="147"/>
      <c r="N41" s="147"/>
      <c r="O41" s="147"/>
      <c r="P41" s="147"/>
      <c r="Q41" s="147"/>
      <c r="R41" s="550">
        <f>SUM(E41:Q41)</f>
        <v>50000</v>
      </c>
      <c r="S41" s="147">
        <f>C41</f>
        <v>50000</v>
      </c>
      <c r="T41" s="147"/>
      <c r="U41" s="143"/>
    </row>
    <row r="42" spans="1:21" s="144" customFormat="1">
      <c r="A42" s="149" t="s">
        <v>147</v>
      </c>
      <c r="B42" s="146">
        <f>SUM(C42:D42)</f>
        <v>225000</v>
      </c>
      <c r="C42" s="146">
        <f>SUM(C39:C41)</f>
        <v>225000</v>
      </c>
      <c r="D42" s="146">
        <f>SUM(D39:D41)</f>
        <v>0</v>
      </c>
      <c r="E42" s="146">
        <f t="shared" ref="E42:T42" si="9">SUM(E40:E41)</f>
        <v>225000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225000</v>
      </c>
      <c r="S42" s="150">
        <f t="shared" si="9"/>
        <v>225000</v>
      </c>
      <c r="T42" s="150">
        <f t="shared" si="9"/>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1268275</v>
      </c>
      <c r="C45" s="147">
        <f>Application!AO627*Application!W627*(12/12)</f>
        <v>1268275</v>
      </c>
      <c r="D45" s="147"/>
      <c r="E45" s="147"/>
      <c r="F45" s="147"/>
      <c r="G45" s="147"/>
      <c r="H45" s="147"/>
      <c r="I45" s="147"/>
      <c r="J45" s="147">
        <f>C45</f>
        <v>1268275</v>
      </c>
      <c r="K45" s="147"/>
      <c r="L45" s="147"/>
      <c r="M45" s="147"/>
      <c r="N45" s="147"/>
      <c r="O45" s="147"/>
      <c r="P45" s="147"/>
      <c r="Q45" s="147"/>
      <c r="R45" s="550">
        <f t="shared" ref="R45:R53" si="11">SUM(E45:Q45)</f>
        <v>1268275</v>
      </c>
      <c r="S45" s="147">
        <f>C45</f>
        <v>1268275</v>
      </c>
      <c r="T45" s="147"/>
      <c r="U45" s="143"/>
    </row>
    <row r="46" spans="1:21" s="144" customFormat="1">
      <c r="A46" s="145" t="s">
        <v>151</v>
      </c>
      <c r="B46" s="146">
        <f t="shared" si="10"/>
        <v>242500</v>
      </c>
      <c r="C46" s="147">
        <f>Application!AO627*0.01</f>
        <v>242500</v>
      </c>
      <c r="D46" s="147"/>
      <c r="E46" s="147">
        <f>C46-J46</f>
        <v>242500</v>
      </c>
      <c r="F46" s="147"/>
      <c r="G46" s="147"/>
      <c r="H46" s="147"/>
      <c r="I46" s="147"/>
      <c r="J46" s="147"/>
      <c r="K46" s="147"/>
      <c r="L46" s="147"/>
      <c r="M46" s="147"/>
      <c r="N46" s="147"/>
      <c r="O46" s="147"/>
      <c r="P46" s="147"/>
      <c r="Q46" s="147"/>
      <c r="R46" s="550">
        <f t="shared" si="11"/>
        <v>242500</v>
      </c>
      <c r="S46" s="147"/>
      <c r="T46" s="147"/>
      <c r="U46" s="143"/>
    </row>
    <row r="47" spans="1:21" s="144" customFormat="1">
      <c r="A47" s="198" t="s">
        <v>152</v>
      </c>
      <c r="B47" s="146">
        <f t="shared" si="10"/>
        <v>4500</v>
      </c>
      <c r="C47" s="147">
        <v>4500</v>
      </c>
      <c r="D47" s="147"/>
      <c r="E47" s="147">
        <f>C47</f>
        <v>4500</v>
      </c>
      <c r="F47" s="147"/>
      <c r="G47" s="147"/>
      <c r="H47" s="147"/>
      <c r="I47" s="147"/>
      <c r="J47" s="147"/>
      <c r="K47" s="147"/>
      <c r="L47" s="147"/>
      <c r="M47" s="147"/>
      <c r="N47" s="147"/>
      <c r="O47" s="147"/>
      <c r="P47" s="147"/>
      <c r="Q47" s="147"/>
      <c r="R47" s="550">
        <f t="shared" si="11"/>
        <v>4500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611000</v>
      </c>
      <c r="C49" s="147">
        <v>611000</v>
      </c>
      <c r="D49" s="147"/>
      <c r="E49" s="147">
        <f>C49</f>
        <v>611000</v>
      </c>
      <c r="F49" s="147"/>
      <c r="G49" s="147"/>
      <c r="H49" s="147"/>
      <c r="I49" s="147"/>
      <c r="J49" s="147"/>
      <c r="K49" s="147"/>
      <c r="L49" s="147"/>
      <c r="M49" s="147"/>
      <c r="N49" s="147"/>
      <c r="O49" s="147"/>
      <c r="P49" s="147"/>
      <c r="Q49" s="147"/>
      <c r="R49" s="550">
        <f t="shared" si="11"/>
        <v>611000</v>
      </c>
      <c r="S49" s="147"/>
      <c r="T49" s="147"/>
      <c r="U49" s="143"/>
    </row>
    <row r="50" spans="1:21" s="144" customFormat="1">
      <c r="A50" s="145" t="s">
        <v>156</v>
      </c>
      <c r="B50" s="146">
        <f t="shared" si="10"/>
        <v>0</v>
      </c>
      <c r="C50" s="147"/>
      <c r="D50" s="147"/>
      <c r="E50" s="147"/>
      <c r="F50" s="147"/>
      <c r="G50" s="147"/>
      <c r="H50" s="147"/>
      <c r="I50" s="147"/>
      <c r="J50" s="147"/>
      <c r="K50" s="147"/>
      <c r="L50" s="147"/>
      <c r="M50" s="147"/>
      <c r="N50" s="147"/>
      <c r="O50" s="147"/>
      <c r="P50" s="147"/>
      <c r="Q50" s="147"/>
      <c r="R50" s="550">
        <f t="shared" si="11"/>
        <v>0</v>
      </c>
      <c r="S50" s="147">
        <f>R50</f>
        <v>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34</v>
      </c>
      <c r="B53" s="146">
        <f t="shared" si="10"/>
        <v>0</v>
      </c>
      <c r="C53" s="147"/>
      <c r="D53" s="147"/>
      <c r="E53" s="147"/>
      <c r="F53" s="147"/>
      <c r="G53" s="147"/>
      <c r="H53" s="147"/>
      <c r="I53" s="147"/>
      <c r="J53" s="147"/>
      <c r="K53" s="147"/>
      <c r="L53" s="147"/>
      <c r="M53" s="147"/>
      <c r="N53" s="147"/>
      <c r="O53" s="147"/>
      <c r="P53" s="147"/>
      <c r="Q53" s="147"/>
      <c r="R53" s="550">
        <f t="shared" si="11"/>
        <v>0</v>
      </c>
      <c r="S53" s="147"/>
      <c r="T53" s="147"/>
      <c r="U53" s="143"/>
    </row>
    <row r="54" spans="1:21" s="153" customFormat="1">
      <c r="A54" s="149" t="s">
        <v>157</v>
      </c>
      <c r="B54" s="150">
        <f>SUM(C54:D54)</f>
        <v>2126275</v>
      </c>
      <c r="C54" s="150">
        <f t="shared" ref="C54:T54" si="12">SUM(C45:C53)</f>
        <v>2126275</v>
      </c>
      <c r="D54" s="150">
        <f t="shared" si="12"/>
        <v>0</v>
      </c>
      <c r="E54" s="150">
        <f t="shared" si="12"/>
        <v>858000</v>
      </c>
      <c r="F54" s="150">
        <f t="shared" si="12"/>
        <v>0</v>
      </c>
      <c r="G54" s="150">
        <f t="shared" si="12"/>
        <v>0</v>
      </c>
      <c r="H54" s="150">
        <f t="shared" si="12"/>
        <v>0</v>
      </c>
      <c r="I54" s="150">
        <f t="shared" si="12"/>
        <v>0</v>
      </c>
      <c r="J54" s="150">
        <f t="shared" si="12"/>
        <v>1268275</v>
      </c>
      <c r="K54" s="150">
        <f t="shared" si="12"/>
        <v>0</v>
      </c>
      <c r="L54" s="150">
        <f t="shared" si="12"/>
        <v>0</v>
      </c>
      <c r="M54" s="150">
        <f t="shared" si="12"/>
        <v>0</v>
      </c>
      <c r="N54" s="150">
        <f t="shared" si="12"/>
        <v>0</v>
      </c>
      <c r="O54" s="150">
        <f t="shared" si="12"/>
        <v>0</v>
      </c>
      <c r="P54" s="150">
        <f t="shared" si="12"/>
        <v>0</v>
      </c>
      <c r="Q54" s="150">
        <f t="shared" si="12"/>
        <v>0</v>
      </c>
      <c r="R54" s="370">
        <f t="shared" si="12"/>
        <v>2126275</v>
      </c>
      <c r="S54" s="150">
        <f t="shared" si="12"/>
        <v>1268275</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0</v>
      </c>
      <c r="C56" s="147"/>
      <c r="D56" s="147"/>
      <c r="E56" s="147"/>
      <c r="F56" s="147"/>
      <c r="G56" s="147"/>
      <c r="H56" s="147"/>
      <c r="I56" s="147"/>
      <c r="J56" s="147"/>
      <c r="K56" s="147"/>
      <c r="L56" s="147"/>
      <c r="M56" s="147"/>
      <c r="N56" s="147"/>
      <c r="O56" s="147"/>
      <c r="P56" s="147"/>
      <c r="Q56" s="147"/>
      <c r="R56" s="550">
        <f t="shared" ref="R56:R61" si="14">SUM(E56:Q56)</f>
        <v>0</v>
      </c>
      <c r="S56" s="148"/>
      <c r="T56" s="148"/>
      <c r="U56" s="143"/>
    </row>
    <row r="57" spans="1:21" s="204" customFormat="1">
      <c r="A57" s="198" t="s">
        <v>152</v>
      </c>
      <c r="B57" s="205">
        <f t="shared" si="13"/>
        <v>68678</v>
      </c>
      <c r="C57" s="202">
        <v>68678</v>
      </c>
      <c r="D57" s="202"/>
      <c r="E57" s="202">
        <f>C57</f>
        <v>68678</v>
      </c>
      <c r="F57" s="202"/>
      <c r="G57" s="202"/>
      <c r="H57" s="202"/>
      <c r="I57" s="202"/>
      <c r="J57" s="202"/>
      <c r="K57" s="202"/>
      <c r="L57" s="202"/>
      <c r="M57" s="202"/>
      <c r="N57" s="202"/>
      <c r="O57" s="202"/>
      <c r="P57" s="202"/>
      <c r="Q57" s="202"/>
      <c r="R57" s="550">
        <f t="shared" si="14"/>
        <v>68678</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 customHeight="1">
      <c r="A62" s="149" t="s">
        <v>302</v>
      </c>
      <c r="B62" s="146">
        <f>SUM(C62:D62)</f>
        <v>68678</v>
      </c>
      <c r="C62" s="146">
        <f t="shared" ref="C62:R62" si="15">SUM(C56:C61)</f>
        <v>68678</v>
      </c>
      <c r="D62" s="146">
        <f t="shared" si="15"/>
        <v>0</v>
      </c>
      <c r="E62" s="146">
        <f t="shared" si="15"/>
        <v>68678</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68678</v>
      </c>
      <c r="S62" s="148"/>
      <c r="T62" s="148"/>
      <c r="U62" s="143"/>
    </row>
    <row r="63" spans="1:21" s="144" customFormat="1">
      <c r="A63" s="154" t="s">
        <v>303</v>
      </c>
      <c r="B63" s="146">
        <f t="shared" ref="B63:R63" si="16">SUM(B8+B11+B13+B14+B15+B26+B27+B38+B42+B43+B54+B62)</f>
        <v>47734278</v>
      </c>
      <c r="C63" s="146">
        <f t="shared" si="16"/>
        <v>47734278</v>
      </c>
      <c r="D63" s="146">
        <f t="shared" si="16"/>
        <v>0</v>
      </c>
      <c r="E63" s="146">
        <f t="shared" si="16"/>
        <v>18176322</v>
      </c>
      <c r="F63" s="146">
        <f t="shared" si="16"/>
        <v>24250000</v>
      </c>
      <c r="G63" s="146">
        <f t="shared" si="16"/>
        <v>100</v>
      </c>
      <c r="H63" s="146">
        <f t="shared" si="16"/>
        <v>100</v>
      </c>
      <c r="I63" s="146">
        <f t="shared" si="16"/>
        <v>4039481</v>
      </c>
      <c r="J63" s="146">
        <f t="shared" si="16"/>
        <v>1268275</v>
      </c>
      <c r="K63" s="146">
        <f t="shared" si="16"/>
        <v>0</v>
      </c>
      <c r="L63" s="146">
        <f t="shared" si="16"/>
        <v>0</v>
      </c>
      <c r="M63" s="146">
        <f t="shared" si="16"/>
        <v>0</v>
      </c>
      <c r="N63" s="146">
        <f t="shared" si="16"/>
        <v>0</v>
      </c>
      <c r="O63" s="146">
        <f t="shared" si="16"/>
        <v>0</v>
      </c>
      <c r="P63" s="146">
        <f t="shared" si="16"/>
        <v>0</v>
      </c>
      <c r="Q63" s="146">
        <f t="shared" si="16"/>
        <v>0</v>
      </c>
      <c r="R63" s="370">
        <f t="shared" si="16"/>
        <v>47734278</v>
      </c>
      <c r="S63" s="146">
        <f>SUM(S10+S13+S14+S15+S26+S27+S38+S42+S43+S54)</f>
        <v>9657600</v>
      </c>
      <c r="T63" s="146">
        <f>SUM(T11+T13+T14+T15+T26+T27+T38+T42+T43+T54)</f>
        <v>34260888</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65000</v>
      </c>
      <c r="C65" s="147">
        <v>65000</v>
      </c>
      <c r="D65" s="147"/>
      <c r="E65" s="147">
        <f>C65</f>
        <v>65000</v>
      </c>
      <c r="F65" s="147"/>
      <c r="G65" s="147"/>
      <c r="H65" s="147"/>
      <c r="I65" s="147"/>
      <c r="J65" s="147"/>
      <c r="K65" s="147"/>
      <c r="L65" s="147"/>
      <c r="M65" s="147"/>
      <c r="N65" s="147"/>
      <c r="O65" s="147"/>
      <c r="P65" s="147"/>
      <c r="Q65" s="147"/>
      <c r="R65" s="550">
        <f>SUM(E65:Q65)</f>
        <v>65000</v>
      </c>
      <c r="S65" s="147">
        <f>R65</f>
        <v>65000</v>
      </c>
      <c r="T65" s="147"/>
      <c r="U65" s="143"/>
    </row>
    <row r="66" spans="1:21" s="144" customFormat="1" ht="24" customHeight="1">
      <c r="A66" s="304" t="s">
        <v>1752</v>
      </c>
      <c r="B66" s="146">
        <f>SUM(C66+D66)</f>
        <v>55500</v>
      </c>
      <c r="C66" s="147">
        <v>55500</v>
      </c>
      <c r="D66" s="147"/>
      <c r="E66" s="147">
        <f>C66</f>
        <v>55500</v>
      </c>
      <c r="F66" s="147"/>
      <c r="G66" s="147"/>
      <c r="H66" s="147"/>
      <c r="I66" s="147"/>
      <c r="J66" s="147"/>
      <c r="K66" s="147"/>
      <c r="L66" s="147"/>
      <c r="M66" s="147"/>
      <c r="N66" s="147"/>
      <c r="O66" s="147"/>
      <c r="P66" s="147"/>
      <c r="Q66" s="147"/>
      <c r="R66" s="550">
        <f>SUM(E66:Q66)</f>
        <v>55500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1756</v>
      </c>
      <c r="B70" s="146">
        <f>SUM(C70:D70)</f>
        <v>120500</v>
      </c>
      <c r="C70" s="146">
        <f>SUM(C65:C69)</f>
        <v>120500</v>
      </c>
      <c r="D70" s="146">
        <f>SUM(D65:D69)</f>
        <v>0</v>
      </c>
      <c r="E70" s="146">
        <f t="shared" ref="E70:T70" si="17">SUM(E65:E69)</f>
        <v>120500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120500</v>
      </c>
      <c r="S70" s="150">
        <f t="shared" si="17"/>
        <v>65000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613385</v>
      </c>
      <c r="C75" s="147">
        <v>613385</v>
      </c>
      <c r="D75" s="147"/>
      <c r="E75" s="147">
        <f>C75</f>
        <v>613385</v>
      </c>
      <c r="F75" s="147"/>
      <c r="G75" s="147"/>
      <c r="H75" s="147"/>
      <c r="I75" s="147"/>
      <c r="J75" s="147"/>
      <c r="K75" s="147"/>
      <c r="L75" s="147"/>
      <c r="M75" s="147"/>
      <c r="N75" s="147"/>
      <c r="O75" s="147"/>
      <c r="P75" s="147"/>
      <c r="Q75" s="147"/>
      <c r="R75" s="550">
        <f>SUM(E75:Q75)</f>
        <v>613385</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613385</v>
      </c>
      <c r="C77" s="146">
        <f>SUM(C72:C76)</f>
        <v>613385</v>
      </c>
      <c r="D77" s="146">
        <f>SUM(D72:D76)</f>
        <v>0</v>
      </c>
      <c r="E77" s="146">
        <f t="shared" ref="E77:Q77" si="18">SUM(E72:E76)</f>
        <v>613385</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613385</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798862</v>
      </c>
      <c r="C79" s="147">
        <v>798862</v>
      </c>
      <c r="D79" s="147"/>
      <c r="E79" s="147">
        <f>C79-J79</f>
        <v>558385</v>
      </c>
      <c r="F79" s="147"/>
      <c r="G79" s="147"/>
      <c r="H79" s="147"/>
      <c r="I79" s="147"/>
      <c r="J79" s="147">
        <f>J108-J80-J45</f>
        <v>240477</v>
      </c>
      <c r="K79" s="147"/>
      <c r="L79" s="147"/>
      <c r="M79" s="147"/>
      <c r="N79" s="147"/>
      <c r="O79" s="147"/>
      <c r="P79" s="147"/>
      <c r="Q79" s="147"/>
      <c r="R79" s="550">
        <f>SUM(E79:Q79)</f>
        <v>798862</v>
      </c>
      <c r="S79" s="147">
        <f>C79</f>
        <v>798862</v>
      </c>
      <c r="T79" s="147"/>
      <c r="U79" s="143"/>
    </row>
    <row r="80" spans="1:21" s="144" customFormat="1">
      <c r="A80" s="304" t="s">
        <v>58</v>
      </c>
      <c r="B80" s="146">
        <f>SUM(C80:D80)</f>
        <v>94386</v>
      </c>
      <c r="C80" s="147">
        <v>94386</v>
      </c>
      <c r="D80" s="147"/>
      <c r="E80" s="147"/>
      <c r="F80" s="147"/>
      <c r="G80" s="147"/>
      <c r="H80" s="147"/>
      <c r="I80" s="147"/>
      <c r="J80" s="147">
        <f>C80</f>
        <v>94386</v>
      </c>
      <c r="K80" s="147"/>
      <c r="L80" s="147"/>
      <c r="M80" s="147"/>
      <c r="N80" s="147"/>
      <c r="O80" s="147"/>
      <c r="P80" s="147"/>
      <c r="Q80" s="147"/>
      <c r="R80" s="550">
        <f>SUM(E80:Q80)</f>
        <v>94386</v>
      </c>
      <c r="S80" s="147">
        <v>24775</v>
      </c>
      <c r="T80" s="147"/>
      <c r="U80" s="143"/>
    </row>
    <row r="81" spans="1:21" s="144" customFormat="1">
      <c r="A81" s="149" t="s">
        <v>1315</v>
      </c>
      <c r="B81" s="146">
        <f>SUM(C81:D81)</f>
        <v>893248</v>
      </c>
      <c r="C81" s="543">
        <f>SUM(C79:C80)</f>
        <v>893248</v>
      </c>
      <c r="D81" s="543">
        <f t="shared" ref="D81:T81" si="19">SUM(D79:D80)</f>
        <v>0</v>
      </c>
      <c r="E81" s="543">
        <f t="shared" si="19"/>
        <v>558385</v>
      </c>
      <c r="F81" s="543">
        <f t="shared" si="19"/>
        <v>0</v>
      </c>
      <c r="G81" s="543">
        <f t="shared" si="19"/>
        <v>0</v>
      </c>
      <c r="H81" s="543">
        <f t="shared" si="19"/>
        <v>0</v>
      </c>
      <c r="I81" s="543">
        <f t="shared" si="19"/>
        <v>0</v>
      </c>
      <c r="J81" s="543">
        <f t="shared" si="19"/>
        <v>334863</v>
      </c>
      <c r="K81" s="543">
        <f t="shared" si="19"/>
        <v>0</v>
      </c>
      <c r="L81" s="543">
        <f t="shared" si="19"/>
        <v>0</v>
      </c>
      <c r="M81" s="543">
        <f t="shared" si="19"/>
        <v>0</v>
      </c>
      <c r="N81" s="543">
        <f t="shared" si="19"/>
        <v>0</v>
      </c>
      <c r="O81" s="543">
        <f t="shared" si="19"/>
        <v>0</v>
      </c>
      <c r="P81" s="543">
        <f t="shared" si="19"/>
        <v>0</v>
      </c>
      <c r="Q81" s="543">
        <f t="shared" si="19"/>
        <v>0</v>
      </c>
      <c r="R81" s="543">
        <f t="shared" si="19"/>
        <v>893248</v>
      </c>
      <c r="S81" s="543">
        <f t="shared" si="19"/>
        <v>823637</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0">SUM(C83+D83)</f>
        <v>305738</v>
      </c>
      <c r="C83" s="147">
        <v>305738</v>
      </c>
      <c r="D83" s="147"/>
      <c r="E83" s="147">
        <f>C83-J83</f>
        <v>305738</v>
      </c>
      <c r="F83" s="147"/>
      <c r="G83" s="147"/>
      <c r="H83" s="147"/>
      <c r="I83" s="147"/>
      <c r="J83" s="147"/>
      <c r="K83" s="147"/>
      <c r="L83" s="147"/>
      <c r="M83" s="147"/>
      <c r="N83" s="147"/>
      <c r="O83" s="147"/>
      <c r="P83" s="147"/>
      <c r="Q83" s="147"/>
      <c r="R83" s="550">
        <f t="shared" ref="R83:R95" si="21">SUM(E83:Q83)</f>
        <v>305738</v>
      </c>
      <c r="S83" s="148"/>
      <c r="T83" s="148"/>
      <c r="U83" s="143"/>
    </row>
    <row r="84" spans="1:21" s="144" customFormat="1">
      <c r="A84" s="145" t="s">
        <v>776</v>
      </c>
      <c r="B84" s="146">
        <f t="shared" si="20"/>
        <v>2000</v>
      </c>
      <c r="C84" s="147">
        <v>2000</v>
      </c>
      <c r="D84" s="147"/>
      <c r="E84" s="147">
        <f>C84</f>
        <v>2000</v>
      </c>
      <c r="F84" s="147"/>
      <c r="G84" s="147"/>
      <c r="H84" s="147"/>
      <c r="I84" s="147"/>
      <c r="J84" s="147"/>
      <c r="K84" s="147"/>
      <c r="L84" s="147"/>
      <c r="M84" s="147"/>
      <c r="N84" s="147"/>
      <c r="O84" s="147"/>
      <c r="P84" s="147"/>
      <c r="Q84" s="147"/>
      <c r="R84" s="550">
        <f t="shared" si="21"/>
        <v>2000</v>
      </c>
      <c r="S84" s="147">
        <f>C84</f>
        <v>2000</v>
      </c>
      <c r="T84" s="147"/>
      <c r="U84" s="143"/>
    </row>
    <row r="85" spans="1:21" s="144" customFormat="1">
      <c r="A85" s="145" t="s">
        <v>777</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778</v>
      </c>
      <c r="B86" s="146">
        <f t="shared" si="20"/>
        <v>68572</v>
      </c>
      <c r="C86" s="147">
        <v>68572</v>
      </c>
      <c r="D86" s="147"/>
      <c r="E86" s="147">
        <f>C86</f>
        <v>68572</v>
      </c>
      <c r="F86" s="147"/>
      <c r="G86" s="147"/>
      <c r="H86" s="147"/>
      <c r="I86" s="147"/>
      <c r="J86" s="147"/>
      <c r="K86" s="147"/>
      <c r="L86" s="147"/>
      <c r="M86" s="147"/>
      <c r="N86" s="147"/>
      <c r="O86" s="147"/>
      <c r="P86" s="147"/>
      <c r="Q86" s="147"/>
      <c r="R86" s="550">
        <f t="shared" si="21"/>
        <v>68572</v>
      </c>
      <c r="S86" s="147">
        <f>C86</f>
        <v>68572</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781</v>
      </c>
      <c r="B89" s="146">
        <f t="shared" si="20"/>
        <v>0</v>
      </c>
      <c r="C89" s="147"/>
      <c r="D89" s="147"/>
      <c r="E89" s="147"/>
      <c r="F89" s="147"/>
      <c r="G89" s="147"/>
      <c r="H89" s="147"/>
      <c r="I89" s="147"/>
      <c r="J89" s="147"/>
      <c r="K89" s="147"/>
      <c r="L89" s="147"/>
      <c r="M89" s="147"/>
      <c r="N89" s="147"/>
      <c r="O89" s="147"/>
      <c r="P89" s="147"/>
      <c r="Q89" s="147"/>
      <c r="R89" s="550">
        <f t="shared" si="21"/>
        <v>0</v>
      </c>
      <c r="S89" s="147"/>
      <c r="T89" s="147"/>
      <c r="U89" s="143"/>
    </row>
    <row r="90" spans="1:21" s="144" customFormat="1">
      <c r="A90" s="145" t="s">
        <v>782</v>
      </c>
      <c r="B90" s="146">
        <f t="shared" si="20"/>
        <v>4100</v>
      </c>
      <c r="C90" s="147">
        <v>4100</v>
      </c>
      <c r="D90" s="147"/>
      <c r="E90" s="147">
        <f>C90</f>
        <v>4100</v>
      </c>
      <c r="F90" s="147"/>
      <c r="G90" s="147"/>
      <c r="H90" s="147"/>
      <c r="I90" s="147"/>
      <c r="J90" s="147"/>
      <c r="K90" s="147"/>
      <c r="L90" s="147"/>
      <c r="M90" s="147"/>
      <c r="N90" s="147"/>
      <c r="O90" s="147"/>
      <c r="P90" s="147"/>
      <c r="Q90" s="147"/>
      <c r="R90" s="550">
        <f t="shared" si="21"/>
        <v>4100</v>
      </c>
      <c r="S90" s="147">
        <f>C90</f>
        <v>4100</v>
      </c>
      <c r="T90" s="147"/>
      <c r="U90" s="143"/>
    </row>
    <row r="91" spans="1:21" s="144" customFormat="1">
      <c r="A91" s="145" t="s">
        <v>373</v>
      </c>
      <c r="B91" s="146">
        <f t="shared" si="20"/>
        <v>27500</v>
      </c>
      <c r="C91" s="147">
        <v>27500</v>
      </c>
      <c r="D91" s="147"/>
      <c r="E91" s="147">
        <f>C91</f>
        <v>27500</v>
      </c>
      <c r="F91" s="147"/>
      <c r="G91" s="147"/>
      <c r="H91" s="147"/>
      <c r="I91" s="147"/>
      <c r="J91" s="147"/>
      <c r="K91" s="147"/>
      <c r="L91" s="147"/>
      <c r="M91" s="147"/>
      <c r="N91" s="147"/>
      <c r="O91" s="147"/>
      <c r="P91" s="147"/>
      <c r="Q91" s="147"/>
      <c r="R91" s="550">
        <f t="shared" si="21"/>
        <v>27500</v>
      </c>
      <c r="S91" s="147">
        <f>C91</f>
        <v>27500</v>
      </c>
      <c r="T91" s="147"/>
      <c r="U91" s="143"/>
    </row>
    <row r="92" spans="1:21" s="144" customFormat="1">
      <c r="A92" s="304" t="s">
        <v>1317</v>
      </c>
      <c r="B92" s="146">
        <f t="shared" si="20"/>
        <v>6000</v>
      </c>
      <c r="C92" s="147">
        <v>6000</v>
      </c>
      <c r="D92" s="147"/>
      <c r="E92" s="147">
        <f>C92</f>
        <v>6000</v>
      </c>
      <c r="F92" s="147"/>
      <c r="G92" s="147"/>
      <c r="H92" s="147"/>
      <c r="I92" s="147"/>
      <c r="J92" s="147"/>
      <c r="K92" s="147"/>
      <c r="L92" s="147"/>
      <c r="M92" s="147"/>
      <c r="N92" s="147"/>
      <c r="O92" s="147"/>
      <c r="P92" s="147"/>
      <c r="Q92" s="147"/>
      <c r="R92" s="550">
        <f t="shared" si="21"/>
        <v>6000</v>
      </c>
      <c r="S92" s="147">
        <f>C92</f>
        <v>6000</v>
      </c>
      <c r="T92" s="147"/>
      <c r="U92" s="143"/>
    </row>
    <row r="93" spans="1:21" s="144" customFormat="1">
      <c r="A93" s="1193" t="s">
        <v>2754</v>
      </c>
      <c r="B93" s="146">
        <f t="shared" si="20"/>
        <v>34010</v>
      </c>
      <c r="C93" s="147">
        <v>34010</v>
      </c>
      <c r="D93" s="147"/>
      <c r="E93" s="147">
        <f>C93</f>
        <v>34010</v>
      </c>
      <c r="F93" s="147"/>
      <c r="G93" s="147"/>
      <c r="H93" s="147"/>
      <c r="I93" s="147"/>
      <c r="J93" s="147"/>
      <c r="K93" s="147"/>
      <c r="L93" s="147"/>
      <c r="M93" s="147"/>
      <c r="N93" s="147"/>
      <c r="O93" s="147"/>
      <c r="P93" s="147"/>
      <c r="Q93" s="147"/>
      <c r="R93" s="550">
        <f t="shared" si="21"/>
        <v>34010</v>
      </c>
      <c r="S93" s="147">
        <f>C93</f>
        <v>34010</v>
      </c>
      <c r="T93" s="147"/>
      <c r="U93" s="143"/>
    </row>
    <row r="94" spans="1:21" s="144" customFormat="1">
      <c r="A94" s="1193" t="s">
        <v>2755</v>
      </c>
      <c r="B94" s="146">
        <f t="shared" si="20"/>
        <v>20000</v>
      </c>
      <c r="C94" s="147">
        <v>20000</v>
      </c>
      <c r="D94" s="147"/>
      <c r="E94" s="147">
        <f>C94</f>
        <v>20000</v>
      </c>
      <c r="F94" s="147"/>
      <c r="G94" s="147"/>
      <c r="H94" s="147"/>
      <c r="I94" s="147"/>
      <c r="J94" s="147"/>
      <c r="K94" s="147"/>
      <c r="L94" s="147"/>
      <c r="M94" s="147"/>
      <c r="N94" s="147"/>
      <c r="O94" s="147"/>
      <c r="P94" s="147"/>
      <c r="Q94" s="147"/>
      <c r="R94" s="550">
        <f t="shared" si="21"/>
        <v>20000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467920</v>
      </c>
      <c r="C96" s="146">
        <f t="shared" ref="C96:R96" si="22">SUM(C83:C95)</f>
        <v>467920</v>
      </c>
      <c r="D96" s="146">
        <f t="shared" si="22"/>
        <v>0</v>
      </c>
      <c r="E96" s="146">
        <f t="shared" si="22"/>
        <v>467920</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467920</v>
      </c>
      <c r="S96" s="150">
        <f>SUM(S84:S87,S89:S95)</f>
        <v>142182</v>
      </c>
      <c r="T96" s="146">
        <f>SUM(T84:T87,T89:T95)</f>
        <v>0</v>
      </c>
      <c r="U96" s="143"/>
    </row>
    <row r="97" spans="1:21" s="144" customFormat="1">
      <c r="A97" s="149" t="s">
        <v>784</v>
      </c>
      <c r="B97" s="146">
        <f>SUM(C97:D97)</f>
        <v>49829331</v>
      </c>
      <c r="C97" s="146">
        <f t="shared" ref="C97:R97" si="23">SUM(C63+C70+C77+C81+C96)</f>
        <v>49829331</v>
      </c>
      <c r="D97" s="146">
        <f t="shared" si="23"/>
        <v>0</v>
      </c>
      <c r="E97" s="146">
        <f t="shared" si="23"/>
        <v>19936512</v>
      </c>
      <c r="F97" s="146">
        <f t="shared" si="23"/>
        <v>24250000</v>
      </c>
      <c r="G97" s="146">
        <f t="shared" si="23"/>
        <v>100</v>
      </c>
      <c r="H97" s="146">
        <f t="shared" si="23"/>
        <v>100</v>
      </c>
      <c r="I97" s="146">
        <f t="shared" si="23"/>
        <v>4039481</v>
      </c>
      <c r="J97" s="146">
        <f t="shared" si="23"/>
        <v>1603138</v>
      </c>
      <c r="K97" s="146">
        <f t="shared" si="23"/>
        <v>0</v>
      </c>
      <c r="L97" s="146">
        <f t="shared" si="23"/>
        <v>0</v>
      </c>
      <c r="M97" s="146">
        <f t="shared" si="23"/>
        <v>0</v>
      </c>
      <c r="N97" s="146">
        <f t="shared" si="23"/>
        <v>0</v>
      </c>
      <c r="O97" s="146">
        <f t="shared" si="23"/>
        <v>0</v>
      </c>
      <c r="P97" s="146">
        <f t="shared" si="23"/>
        <v>0</v>
      </c>
      <c r="Q97" s="146">
        <f t="shared" si="23"/>
        <v>0</v>
      </c>
      <c r="R97" s="146">
        <f t="shared" si="23"/>
        <v>49829331</v>
      </c>
      <c r="S97" s="146">
        <f>SUM(S63+S70+S81+S96)</f>
        <v>10688419</v>
      </c>
      <c r="T97" s="146">
        <f>SUM(T63+T70+T81+T96)</f>
        <v>34260888</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6742396.0499999998</v>
      </c>
      <c r="C99" s="1014">
        <f>S99+T99</f>
        <v>6742396.0499999998</v>
      </c>
      <c r="D99" s="1014"/>
      <c r="E99" s="1014">
        <f>C99-K99</f>
        <v>0</v>
      </c>
      <c r="F99" s="147"/>
      <c r="G99" s="147"/>
      <c r="H99" s="147"/>
      <c r="I99" s="147"/>
      <c r="J99" s="147"/>
      <c r="K99" s="147">
        <f>K108</f>
        <v>6742396.0499999998</v>
      </c>
      <c r="L99" s="147"/>
      <c r="M99" s="147"/>
      <c r="N99" s="147"/>
      <c r="O99" s="147"/>
      <c r="P99" s="147"/>
      <c r="Q99" s="147"/>
      <c r="R99" s="550">
        <f>SUM(E99:Q99)</f>
        <v>6742396.0499999998</v>
      </c>
      <c r="S99" s="147">
        <f>S97*0.15</f>
        <v>1603262.8499999999</v>
      </c>
      <c r="T99" s="147">
        <f>T97*0.15</f>
        <v>5139133.2</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6742396.0499999998</v>
      </c>
      <c r="C104" s="146">
        <f>SUM(C99:C103)</f>
        <v>6742396.0499999998</v>
      </c>
      <c r="D104" s="146">
        <f t="shared" ref="D104:T104" si="24">SUM(D99:D103)</f>
        <v>0</v>
      </c>
      <c r="E104" s="146">
        <f t="shared" si="24"/>
        <v>0</v>
      </c>
      <c r="F104" s="146">
        <f t="shared" si="24"/>
        <v>0</v>
      </c>
      <c r="G104" s="146">
        <f t="shared" si="24"/>
        <v>0</v>
      </c>
      <c r="H104" s="146">
        <f t="shared" si="24"/>
        <v>0</v>
      </c>
      <c r="I104" s="146">
        <f t="shared" si="24"/>
        <v>0</v>
      </c>
      <c r="J104" s="146">
        <f t="shared" si="24"/>
        <v>0</v>
      </c>
      <c r="K104" s="146">
        <f t="shared" si="24"/>
        <v>6742396.0499999998</v>
      </c>
      <c r="L104" s="146">
        <f t="shared" si="24"/>
        <v>0</v>
      </c>
      <c r="M104" s="146">
        <f t="shared" si="24"/>
        <v>0</v>
      </c>
      <c r="N104" s="146">
        <f t="shared" si="24"/>
        <v>0</v>
      </c>
      <c r="O104" s="146">
        <f t="shared" si="24"/>
        <v>0</v>
      </c>
      <c r="P104" s="146">
        <f t="shared" si="24"/>
        <v>0</v>
      </c>
      <c r="Q104" s="146">
        <f t="shared" si="24"/>
        <v>0</v>
      </c>
      <c r="R104" s="370">
        <f t="shared" si="24"/>
        <v>6742396.0499999998</v>
      </c>
      <c r="S104" s="150">
        <f t="shared" si="24"/>
        <v>1603262.8499999999</v>
      </c>
      <c r="T104" s="150">
        <f t="shared" si="24"/>
        <v>5139133.2</v>
      </c>
      <c r="U104" s="143"/>
    </row>
    <row r="105" spans="1:21" s="144" customFormat="1">
      <c r="A105" s="149" t="s">
        <v>789</v>
      </c>
      <c r="B105" s="150">
        <f>SUM(C105:D105)</f>
        <v>56571727.049999997</v>
      </c>
      <c r="C105" s="150">
        <f t="shared" ref="C105:R105" si="25">SUM(C97+C104)</f>
        <v>56571727.049999997</v>
      </c>
      <c r="D105" s="150">
        <f t="shared" si="25"/>
        <v>0</v>
      </c>
      <c r="E105" s="150">
        <f t="shared" si="25"/>
        <v>19936512</v>
      </c>
      <c r="F105" s="150">
        <f t="shared" si="25"/>
        <v>24250000</v>
      </c>
      <c r="G105" s="150">
        <f t="shared" si="25"/>
        <v>100</v>
      </c>
      <c r="H105" s="150">
        <f t="shared" si="25"/>
        <v>100</v>
      </c>
      <c r="I105" s="150">
        <f t="shared" si="25"/>
        <v>4039481</v>
      </c>
      <c r="J105" s="150">
        <f t="shared" si="25"/>
        <v>1603138</v>
      </c>
      <c r="K105" s="150">
        <f t="shared" si="25"/>
        <v>6742396.0499999998</v>
      </c>
      <c r="L105" s="150">
        <f t="shared" si="25"/>
        <v>0</v>
      </c>
      <c r="M105" s="150">
        <f t="shared" si="25"/>
        <v>0</v>
      </c>
      <c r="N105" s="150">
        <f t="shared" si="25"/>
        <v>0</v>
      </c>
      <c r="O105" s="150">
        <f t="shared" si="25"/>
        <v>0</v>
      </c>
      <c r="P105" s="150">
        <f t="shared" si="25"/>
        <v>0</v>
      </c>
      <c r="Q105" s="150">
        <f t="shared" si="25"/>
        <v>0</v>
      </c>
      <c r="R105" s="370">
        <f t="shared" si="25"/>
        <v>56571727.049999997</v>
      </c>
      <c r="S105" s="150">
        <f>S97+S104</f>
        <v>12291681.85</v>
      </c>
      <c r="T105" s="150">
        <f>T97+T104</f>
        <v>39400021.200000003</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12291681.85</v>
      </c>
      <c r="T107" s="150">
        <f>T105+T106</f>
        <v>39400021.200000003</v>
      </c>
    </row>
    <row r="108" spans="1:21" s="201" customFormat="1">
      <c r="A108" s="162" t="s">
        <v>891</v>
      </c>
      <c r="B108" s="157"/>
      <c r="C108" s="157"/>
      <c r="D108" s="157"/>
      <c r="E108" s="323">
        <f>Application!AO640</f>
        <v>19936512</v>
      </c>
      <c r="F108" s="323">
        <f>Application!AO627</f>
        <v>24250000</v>
      </c>
      <c r="G108" s="323">
        <f>Application!AO628</f>
        <v>100</v>
      </c>
      <c r="H108" s="323">
        <f>Application!AO629</f>
        <v>100</v>
      </c>
      <c r="I108" s="323">
        <f>Application!AO630</f>
        <v>4039481</v>
      </c>
      <c r="J108" s="323">
        <f>Application!AO631</f>
        <v>1603138</v>
      </c>
      <c r="K108" s="323">
        <f>Application!AO632</f>
        <v>6742396.0499999998</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2410</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4" t="s">
        <v>1014</v>
      </c>
      <c r="E122" s="1874"/>
      <c r="F122" s="1874"/>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76" t="s">
        <v>1331</v>
      </c>
      <c r="E123" s="1801"/>
      <c r="F123" s="1801"/>
      <c r="G123" s="1801"/>
      <c r="H123" s="1801"/>
      <c r="I123" s="1801"/>
      <c r="J123" s="1801"/>
      <c r="K123" s="1801"/>
      <c r="L123" s="1801"/>
      <c r="M123" s="1801"/>
      <c r="N123" s="1801"/>
      <c r="O123" s="1801"/>
      <c r="P123" s="1801"/>
      <c r="Q123" s="1801"/>
      <c r="R123" s="1801"/>
      <c r="S123" s="1801"/>
      <c r="T123" s="352"/>
      <c r="U123" s="354"/>
    </row>
    <row r="124" spans="1:21" ht="12.75">
      <c r="A124" s="117" t="s">
        <v>1016</v>
      </c>
      <c r="B124" s="361"/>
      <c r="C124" s="117"/>
      <c r="D124" s="1801"/>
      <c r="E124" s="1801"/>
      <c r="F124" s="1801"/>
      <c r="G124" s="1801"/>
      <c r="H124" s="1801"/>
      <c r="I124" s="1801"/>
      <c r="J124" s="1801"/>
      <c r="K124" s="1801"/>
      <c r="L124" s="1801"/>
      <c r="M124" s="1801"/>
      <c r="N124" s="1801"/>
      <c r="O124" s="1801"/>
      <c r="P124" s="1801"/>
      <c r="Q124" s="1801"/>
      <c r="R124" s="1801"/>
      <c r="S124" s="1801"/>
      <c r="T124" s="352"/>
      <c r="U124" s="354"/>
    </row>
    <row r="125" spans="1:21" ht="12.75">
      <c r="A125" s="117" t="s">
        <v>1017</v>
      </c>
      <c r="B125" s="361"/>
      <c r="C125" s="117"/>
      <c r="D125" s="1801"/>
      <c r="E125" s="1801"/>
      <c r="F125" s="1801"/>
      <c r="G125" s="1801"/>
      <c r="H125" s="1801"/>
      <c r="I125" s="1801"/>
      <c r="J125" s="1801"/>
      <c r="K125" s="1801"/>
      <c r="L125" s="1801"/>
      <c r="M125" s="1801"/>
      <c r="N125" s="1801"/>
      <c r="O125" s="1801"/>
      <c r="P125" s="1801"/>
      <c r="Q125" s="1801"/>
      <c r="R125" s="1801"/>
      <c r="S125" s="1801"/>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1"/>
      <c r="E128" s="1871"/>
      <c r="F128" s="1871"/>
      <c r="G128" s="1871"/>
      <c r="H128" s="1871"/>
      <c r="I128" s="117"/>
      <c r="J128" s="1872"/>
      <c r="K128" s="1872"/>
      <c r="L128" s="117"/>
      <c r="M128" s="117"/>
      <c r="N128" s="117"/>
      <c r="O128" s="117"/>
      <c r="P128" s="117"/>
      <c r="Q128" s="117"/>
      <c r="R128" s="117"/>
      <c r="S128" s="117"/>
      <c r="T128" s="352"/>
      <c r="U128" s="354"/>
    </row>
    <row r="129" spans="1:21" ht="12.75">
      <c r="A129" s="117" t="s">
        <v>301</v>
      </c>
      <c r="B129" s="361"/>
      <c r="C129" s="117"/>
      <c r="D129" s="1873" t="s">
        <v>1021</v>
      </c>
      <c r="E129" s="1873"/>
      <c r="F129" s="1873"/>
      <c r="G129" s="1873"/>
      <c r="H129" s="1873"/>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852"/>
      <c r="E131" s="1852"/>
      <c r="F131" s="1852"/>
      <c r="G131" s="1852"/>
      <c r="H131" s="1852"/>
      <c r="I131" s="117"/>
      <c r="J131" s="1852"/>
      <c r="K131" s="1852"/>
      <c r="L131" s="1852"/>
      <c r="M131" s="1852"/>
      <c r="N131" s="117"/>
      <c r="O131" s="117"/>
      <c r="P131" s="117"/>
      <c r="Q131" s="117"/>
      <c r="R131" s="117"/>
      <c r="S131" s="117"/>
      <c r="T131" s="352"/>
      <c r="U131" s="354"/>
    </row>
    <row r="132" spans="1:21" ht="12" customHeight="1">
      <c r="A132" s="364"/>
      <c r="B132" s="117"/>
      <c r="C132" s="117"/>
      <c r="D132" s="1877" t="s">
        <v>1024</v>
      </c>
      <c r="E132" s="1877"/>
      <c r="F132" s="1877"/>
      <c r="G132" s="1877"/>
      <c r="H132" s="1877"/>
      <c r="I132" s="117"/>
      <c r="J132" s="1877" t="s">
        <v>1025</v>
      </c>
      <c r="K132" s="1877"/>
      <c r="L132" s="1877"/>
      <c r="M132" s="1877"/>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8"/>
      <c r="B138" s="1871"/>
      <c r="C138" s="1871"/>
      <c r="D138" s="356"/>
      <c r="E138" s="1872"/>
      <c r="F138" s="1872"/>
      <c r="G138" s="117"/>
      <c r="H138" s="117"/>
      <c r="I138" s="117"/>
      <c r="J138" s="117"/>
      <c r="K138" s="117"/>
      <c r="L138" s="117"/>
      <c r="M138" s="117"/>
      <c r="N138" s="117"/>
      <c r="O138" s="117"/>
      <c r="P138" s="117"/>
      <c r="Q138" s="117"/>
      <c r="R138" s="117"/>
      <c r="S138" s="117"/>
      <c r="T138" s="358"/>
      <c r="U138" s="359"/>
    </row>
    <row r="139" spans="1:21" ht="12.75">
      <c r="A139" s="1875" t="s">
        <v>1028</v>
      </c>
      <c r="B139" s="1875"/>
      <c r="C139" s="1875"/>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8" workbookViewId="0">
      <selection activeCell="D101" sqref="D101"/>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1334</v>
      </c>
      <c r="B1" s="1882"/>
      <c r="C1" s="1882"/>
      <c r="D1" s="1882"/>
      <c r="E1" s="1882"/>
      <c r="F1" s="1882"/>
      <c r="G1" s="1882"/>
      <c r="H1" s="1882"/>
      <c r="I1" s="1882"/>
      <c r="J1" s="1883"/>
      <c r="K1" s="386"/>
    </row>
    <row r="2" spans="1:11" s="432" customFormat="1" ht="72">
      <c r="A2" s="429"/>
      <c r="B2" s="430" t="s">
        <v>1051</v>
      </c>
      <c r="C2" s="430" t="s">
        <v>1336</v>
      </c>
      <c r="D2" s="430" t="s">
        <v>1337</v>
      </c>
      <c r="E2" s="430" t="s">
        <v>1262</v>
      </c>
      <c r="F2" s="430" t="s">
        <v>1338</v>
      </c>
      <c r="G2" s="430" t="s">
        <v>1339</v>
      </c>
      <c r="H2" s="430" t="s">
        <v>1052</v>
      </c>
      <c r="I2" s="430" t="s">
        <v>1340</v>
      </c>
      <c r="J2" s="430" t="s">
        <v>1341</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2889112</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2889112</v>
      </c>
      <c r="C8" s="392">
        <f>SUM(C4:C7)</f>
        <v>0</v>
      </c>
      <c r="D8" s="392">
        <f>SUM(D4:D7)</f>
        <v>0</v>
      </c>
      <c r="E8" s="394"/>
      <c r="F8" s="394"/>
      <c r="G8" s="394"/>
      <c r="H8" s="394"/>
      <c r="I8" s="394"/>
      <c r="J8" s="394"/>
      <c r="K8" s="390"/>
    </row>
    <row r="9" spans="1:11" s="391" customFormat="1">
      <c r="A9" s="395" t="s">
        <v>602</v>
      </c>
      <c r="B9" s="392">
        <f>'Sources and Uses Budget'!C9</f>
        <v>34260888</v>
      </c>
      <c r="C9" s="393"/>
      <c r="D9" s="393"/>
      <c r="E9" s="394"/>
      <c r="F9" s="394"/>
      <c r="G9" s="394"/>
      <c r="H9" s="392">
        <f>'Sources and Uses Budget'!T9</f>
        <v>34260888</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34260888</v>
      </c>
      <c r="C11" s="392">
        <f>SUM(C9:C10)</f>
        <v>0</v>
      </c>
      <c r="D11" s="392">
        <f>SUM(D9:D10)</f>
        <v>0</v>
      </c>
      <c r="E11" s="394"/>
      <c r="F11" s="394"/>
      <c r="G11" s="394"/>
      <c r="H11" s="392">
        <f>'Sources and Uses Budget'!T11</f>
        <v>34260888</v>
      </c>
      <c r="I11" s="392">
        <f>SUM(I9:I10)</f>
        <v>0</v>
      </c>
      <c r="J11" s="392">
        <f>SUM(J9:J10)</f>
        <v>0</v>
      </c>
      <c r="K11" s="390"/>
    </row>
    <row r="12" spans="1:11" s="391" customFormat="1">
      <c r="A12" s="396" t="s">
        <v>84</v>
      </c>
      <c r="B12" s="392">
        <f>'Sources and Uses Budget'!C12</f>
        <v>37150000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6857190</v>
      </c>
      <c r="C18" s="393"/>
      <c r="D18" s="393"/>
      <c r="E18" s="392">
        <f>'Sources and Uses Budget'!S18</f>
        <v>6857190</v>
      </c>
      <c r="F18" s="393"/>
      <c r="G18" s="393"/>
      <c r="H18" s="392">
        <f>'Sources and Uses Budget'!T18</f>
        <v>0</v>
      </c>
      <c r="I18" s="393"/>
      <c r="J18" s="393"/>
      <c r="K18" s="390"/>
    </row>
    <row r="19" spans="1:11" s="391" customFormat="1">
      <c r="A19" s="395" t="s">
        <v>608</v>
      </c>
      <c r="B19" s="392">
        <f>'Sources and Uses Budget'!C19</f>
        <v>411431</v>
      </c>
      <c r="C19" s="393"/>
      <c r="D19" s="393"/>
      <c r="E19" s="392">
        <f>'Sources and Uses Budget'!S19</f>
        <v>411431</v>
      </c>
      <c r="F19" s="393"/>
      <c r="G19" s="393"/>
      <c r="H19" s="392">
        <f>'Sources and Uses Budget'!T19</f>
        <v>0</v>
      </c>
      <c r="I19" s="393"/>
      <c r="J19" s="393"/>
      <c r="K19" s="390"/>
    </row>
    <row r="20" spans="1:11" s="391" customFormat="1">
      <c r="A20" s="395" t="s">
        <v>137</v>
      </c>
      <c r="B20" s="392">
        <f>'Sources and Uses Budget'!C20</f>
        <v>137143</v>
      </c>
      <c r="C20" s="393"/>
      <c r="D20" s="393"/>
      <c r="E20" s="392">
        <f>'Sources and Uses Budget'!S20</f>
        <v>137143</v>
      </c>
      <c r="F20" s="393"/>
      <c r="G20" s="393"/>
      <c r="H20" s="392">
        <f>'Sources and Uses Budget'!T20</f>
        <v>0</v>
      </c>
      <c r="I20" s="393"/>
      <c r="J20" s="393"/>
      <c r="K20" s="390"/>
    </row>
    <row r="21" spans="1:11" s="391" customFormat="1">
      <c r="A21" s="395" t="s">
        <v>138</v>
      </c>
      <c r="B21" s="392">
        <f>'Sources and Uses Budget'!C21</f>
        <v>411431</v>
      </c>
      <c r="C21" s="393"/>
      <c r="D21" s="393"/>
      <c r="E21" s="392">
        <f>'Sources and Uses Budget'!S21</f>
        <v>411431</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78858</v>
      </c>
      <c r="C23" s="393"/>
      <c r="D23" s="393"/>
      <c r="E23" s="392">
        <f>'Sources and Uses Budget'!S23</f>
        <v>78858</v>
      </c>
      <c r="F23" s="393"/>
      <c r="G23" s="393"/>
      <c r="H23" s="392">
        <f>'Sources and Uses Budget'!T23</f>
        <v>0</v>
      </c>
      <c r="I23" s="393"/>
      <c r="J23" s="393"/>
      <c r="K23" s="390"/>
    </row>
    <row r="24" spans="1:11" s="391" customFormat="1">
      <c r="A24" s="542" t="s">
        <v>1751</v>
      </c>
      <c r="B24" s="392">
        <f>'Sources and Uses Budget'!C24</f>
        <v>156000</v>
      </c>
      <c r="C24" s="393"/>
      <c r="D24" s="393"/>
      <c r="E24" s="392">
        <f>'Sources and Uses Budget'!S24</f>
        <v>156000</v>
      </c>
      <c r="F24" s="393"/>
      <c r="G24" s="393"/>
      <c r="H24" s="392">
        <f>'Sources and Uses Budget'!T24</f>
        <v>0</v>
      </c>
      <c r="I24" s="393"/>
      <c r="J24" s="393"/>
      <c r="K24" s="390"/>
    </row>
    <row r="25" spans="1:11" s="391" customFormat="1" ht="24">
      <c r="A25" s="395" t="str">
        <f>'Sources and Uses Budget'!$A25</f>
        <v>Other: Other Construction and Performance Bond</v>
      </c>
      <c r="B25" s="392">
        <f>'Sources and Uses Budget'!C25</f>
        <v>92572</v>
      </c>
      <c r="C25" s="393"/>
      <c r="D25" s="393"/>
      <c r="E25" s="392">
        <f>'Sources and Uses Budget'!S25</f>
        <v>92572</v>
      </c>
      <c r="F25" s="393"/>
      <c r="G25" s="393"/>
      <c r="H25" s="392">
        <f>'Sources and Uses Budget'!T25</f>
        <v>0</v>
      </c>
      <c r="I25" s="393"/>
      <c r="J25" s="393"/>
      <c r="K25" s="390"/>
    </row>
    <row r="26" spans="1:11" s="391" customFormat="1">
      <c r="A26" s="396" t="s">
        <v>133</v>
      </c>
      <c r="B26" s="392">
        <f>'Sources and Uses Budget'!C26</f>
        <v>8144625</v>
      </c>
      <c r="C26" s="392">
        <f>SUM(C17:C25)</f>
        <v>0</v>
      </c>
      <c r="D26" s="392">
        <f>SUM(D17:D25)</f>
        <v>0</v>
      </c>
      <c r="E26" s="392">
        <f>'Sources and Uses Budget'!S26</f>
        <v>8144625</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19700</v>
      </c>
      <c r="C27" s="393"/>
      <c r="D27" s="393"/>
      <c r="E27" s="392">
        <f>'Sources and Uses Budget'!S27</f>
        <v>19700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175000</v>
      </c>
      <c r="C40" s="393"/>
      <c r="D40" s="393"/>
      <c r="E40" s="392">
        <f>'Sources and Uses Budget'!S40</f>
        <v>175000</v>
      </c>
      <c r="F40" s="393"/>
      <c r="G40" s="393"/>
      <c r="H40" s="392">
        <f>'Sources and Uses Budget'!T40</f>
        <v>0</v>
      </c>
      <c r="I40" s="393"/>
      <c r="J40" s="393"/>
      <c r="K40" s="390"/>
    </row>
    <row r="41" spans="1:11" s="391" customFormat="1">
      <c r="A41" s="395" t="s">
        <v>146</v>
      </c>
      <c r="B41" s="392">
        <f>'Sources and Uses Budget'!C41</f>
        <v>50000</v>
      </c>
      <c r="C41" s="393"/>
      <c r="D41" s="393"/>
      <c r="E41" s="392">
        <f>'Sources and Uses Budget'!S41</f>
        <v>50000</v>
      </c>
      <c r="F41" s="393"/>
      <c r="G41" s="393"/>
      <c r="H41" s="392">
        <f>'Sources and Uses Budget'!T41</f>
        <v>0</v>
      </c>
      <c r="I41" s="393"/>
      <c r="J41" s="393"/>
      <c r="K41" s="390"/>
    </row>
    <row r="42" spans="1:11" s="391" customFormat="1">
      <c r="A42" s="396" t="s">
        <v>147</v>
      </c>
      <c r="B42" s="392">
        <f>'Sources and Uses Budget'!C42</f>
        <v>225000</v>
      </c>
      <c r="C42" s="392">
        <f>SUM(C39:C41)</f>
        <v>0</v>
      </c>
      <c r="D42" s="392">
        <f>SUM(D39:D41)</f>
        <v>0</v>
      </c>
      <c r="E42" s="392">
        <f>'Sources and Uses Budget'!S42</f>
        <v>225000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1268275</v>
      </c>
      <c r="C45" s="393"/>
      <c r="D45" s="393"/>
      <c r="E45" s="392">
        <f>'Sources and Uses Budget'!S45</f>
        <v>1268275</v>
      </c>
      <c r="F45" s="393"/>
      <c r="G45" s="393"/>
      <c r="H45" s="392">
        <f>'Sources and Uses Budget'!T45</f>
        <v>0</v>
      </c>
      <c r="I45" s="393"/>
      <c r="J45" s="393"/>
      <c r="K45" s="390"/>
    </row>
    <row r="46" spans="1:11" s="391" customFormat="1">
      <c r="A46" s="395" t="s">
        <v>151</v>
      </c>
      <c r="B46" s="392">
        <f>'Sources and Uses Budget'!C46</f>
        <v>242500</v>
      </c>
      <c r="C46" s="393"/>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4500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611000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0</v>
      </c>
      <c r="C50" s="393"/>
      <c r="D50" s="393"/>
      <c r="E50" s="392">
        <f>'Sources and Uses Budget'!S50</f>
        <v>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2126275</v>
      </c>
      <c r="C54" s="398">
        <f>SUM(C45:C53)</f>
        <v>0</v>
      </c>
      <c r="D54" s="398">
        <f>SUM(D45:D53)</f>
        <v>0</v>
      </c>
      <c r="E54" s="392">
        <f>'Sources and Uses Budget'!S54</f>
        <v>1268275</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68678</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68678</v>
      </c>
      <c r="C62" s="392">
        <f>SUM(C56:C61)</f>
        <v>0</v>
      </c>
      <c r="D62" s="392">
        <f>SUM(D56:D61)</f>
        <v>0</v>
      </c>
      <c r="E62" s="394"/>
      <c r="F62" s="394"/>
      <c r="G62" s="394"/>
      <c r="H62" s="394"/>
      <c r="I62" s="394"/>
      <c r="J62" s="394"/>
      <c r="K62" s="390"/>
    </row>
    <row r="63" spans="1:11" s="391" customFormat="1">
      <c r="A63" s="401" t="s">
        <v>303</v>
      </c>
      <c r="B63" s="392">
        <f>'Sources and Uses Budget'!C63</f>
        <v>47734278</v>
      </c>
      <c r="C63" s="392">
        <f>SUM(C8+C11+C13+C14+C15+C26+C27+C38+C42+C43+C54+C62)</f>
        <v>0</v>
      </c>
      <c r="D63" s="392">
        <f>SUM(D8+D11+D13+D14+D15+D26+D27+D38+D42+D43+D54+D62)</f>
        <v>0</v>
      </c>
      <c r="E63" s="392">
        <f>'Sources and Uses Budget'!S63</f>
        <v>9657600</v>
      </c>
      <c r="F63" s="392">
        <f>SUM(F10+F13+F14+F15+F26+F27+F38+F42+F43+F54)</f>
        <v>0</v>
      </c>
      <c r="G63" s="392">
        <f>SUM(G10+G13+G14+G15+G26+G27+G38+G42+G43+G54)</f>
        <v>0</v>
      </c>
      <c r="H63" s="392">
        <f>'Sources and Uses Budget'!T63</f>
        <v>34260888</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65000</v>
      </c>
      <c r="C65" s="393"/>
      <c r="D65" s="393"/>
      <c r="E65" s="392">
        <f>'Sources and Uses Budget'!S65</f>
        <v>65000</v>
      </c>
      <c r="F65" s="393"/>
      <c r="G65" s="393"/>
      <c r="H65" s="392">
        <f>'Sources and Uses Budget'!T65</f>
        <v>0</v>
      </c>
      <c r="I65" s="393"/>
      <c r="J65" s="393"/>
      <c r="K65" s="390"/>
    </row>
    <row r="66" spans="1:11" s="391" customFormat="1" ht="24">
      <c r="A66" s="304" t="s">
        <v>1752</v>
      </c>
      <c r="B66" s="392">
        <f>'Sources and Uses Budget'!C66</f>
        <v>55500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609</v>
      </c>
      <c r="B70" s="392">
        <f>'Sources and Uses Budget'!C70</f>
        <v>120500</v>
      </c>
      <c r="C70" s="392">
        <f>SUM(C64:C69)</f>
        <v>0</v>
      </c>
      <c r="D70" s="392">
        <f>SUM(D64:D69)</f>
        <v>0</v>
      </c>
      <c r="E70" s="392">
        <f>'Sources and Uses Budget'!S70</f>
        <v>65000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613385</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613385</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798862</v>
      </c>
      <c r="C79" s="393"/>
      <c r="D79" s="393"/>
      <c r="E79" s="392">
        <f>'Sources and Uses Budget'!S79</f>
        <v>798862</v>
      </c>
      <c r="F79" s="393"/>
      <c r="G79" s="393"/>
      <c r="H79" s="392">
        <f>'Sources and Uses Budget'!T79</f>
        <v>0</v>
      </c>
      <c r="I79" s="393"/>
      <c r="J79" s="393"/>
      <c r="K79" s="390"/>
    </row>
    <row r="80" spans="1:11" s="391" customFormat="1">
      <c r="A80" s="395" t="s">
        <v>58</v>
      </c>
      <c r="B80" s="392">
        <f>'Sources and Uses Budget'!C80</f>
        <v>94386</v>
      </c>
      <c r="C80" s="393"/>
      <c r="D80" s="393"/>
      <c r="E80" s="392">
        <f>'Sources and Uses Budget'!S80</f>
        <v>24775</v>
      </c>
      <c r="F80" s="393"/>
      <c r="G80" s="393"/>
      <c r="H80" s="392">
        <f>'Sources and Uses Budget'!T80</f>
        <v>0</v>
      </c>
      <c r="I80" s="393"/>
      <c r="J80" s="393"/>
      <c r="K80" s="390"/>
    </row>
    <row r="81" spans="1:11" s="391" customFormat="1">
      <c r="A81" s="396" t="s">
        <v>1315</v>
      </c>
      <c r="B81" s="392">
        <f>'Sources and Uses Budget'!C81</f>
        <v>893248</v>
      </c>
      <c r="C81" s="392">
        <f>SUM(C79:C80)</f>
        <v>0</v>
      </c>
      <c r="D81" s="392">
        <f>SUM(D79:D80)</f>
        <v>0</v>
      </c>
      <c r="E81" s="392">
        <f>'Sources and Uses Budget'!S81</f>
        <v>823637</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2409</v>
      </c>
      <c r="B83" s="392">
        <f>'Sources and Uses Budget'!C83</f>
        <v>305738</v>
      </c>
      <c r="C83" s="393"/>
      <c r="D83" s="393"/>
      <c r="E83" s="394"/>
      <c r="F83" s="394"/>
      <c r="G83" s="394"/>
      <c r="H83" s="394"/>
      <c r="I83" s="394"/>
      <c r="J83" s="394"/>
      <c r="K83" s="390"/>
    </row>
    <row r="84" spans="1:11" s="391" customFormat="1">
      <c r="A84" s="145" t="s">
        <v>776</v>
      </c>
      <c r="B84" s="392">
        <f>'Sources and Uses Budget'!C84</f>
        <v>2000</v>
      </c>
      <c r="C84" s="393"/>
      <c r="D84" s="393"/>
      <c r="E84" s="392">
        <f>'Sources and Uses Budget'!S84</f>
        <v>2000</v>
      </c>
      <c r="F84" s="393"/>
      <c r="G84" s="393"/>
      <c r="H84" s="392">
        <f>'Sources and Uses Budget'!T84</f>
        <v>0</v>
      </c>
      <c r="I84" s="393"/>
      <c r="J84" s="393"/>
      <c r="K84" s="390"/>
    </row>
    <row r="85" spans="1:11" s="391" customFormat="1">
      <c r="A85" s="145" t="s">
        <v>777</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778</v>
      </c>
      <c r="B86" s="392">
        <f>'Sources and Uses Budget'!C86</f>
        <v>68572</v>
      </c>
      <c r="C86" s="393"/>
      <c r="D86" s="393"/>
      <c r="E86" s="392">
        <f>'Sources and Uses Budget'!S86</f>
        <v>68572</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0</v>
      </c>
      <c r="C88" s="393"/>
      <c r="D88" s="393"/>
      <c r="E88" s="394"/>
      <c r="F88" s="394"/>
      <c r="G88" s="394"/>
      <c r="H88" s="394"/>
      <c r="I88" s="394"/>
      <c r="J88" s="394"/>
      <c r="K88" s="390"/>
    </row>
    <row r="89" spans="1:11" s="391" customFormat="1">
      <c r="A89" s="145" t="s">
        <v>781</v>
      </c>
      <c r="B89" s="392">
        <f>'Sources and Uses Budget'!C89</f>
        <v>0</v>
      </c>
      <c r="C89" s="393"/>
      <c r="D89" s="393"/>
      <c r="E89" s="392">
        <f>'Sources and Uses Budget'!S89</f>
        <v>0</v>
      </c>
      <c r="F89" s="393"/>
      <c r="G89" s="393"/>
      <c r="H89" s="392">
        <f>'Sources and Uses Budget'!T89</f>
        <v>0</v>
      </c>
      <c r="I89" s="393"/>
      <c r="J89" s="393"/>
      <c r="K89" s="390"/>
    </row>
    <row r="90" spans="1:11" s="391" customFormat="1">
      <c r="A90" s="145" t="s">
        <v>782</v>
      </c>
      <c r="B90" s="392">
        <f>'Sources and Uses Budget'!C90</f>
        <v>4100</v>
      </c>
      <c r="C90" s="393"/>
      <c r="D90" s="393"/>
      <c r="E90" s="392">
        <f>'Sources and Uses Budget'!S90</f>
        <v>4100</v>
      </c>
      <c r="F90" s="393"/>
      <c r="G90" s="393"/>
      <c r="H90" s="392">
        <f>'Sources and Uses Budget'!T90</f>
        <v>0</v>
      </c>
      <c r="I90" s="393"/>
      <c r="J90" s="393"/>
      <c r="K90" s="390"/>
    </row>
    <row r="91" spans="1:11" s="391" customFormat="1">
      <c r="A91" s="155" t="s">
        <v>373</v>
      </c>
      <c r="B91" s="392">
        <f>'Sources and Uses Budget'!C91</f>
        <v>27500</v>
      </c>
      <c r="C91" s="393"/>
      <c r="D91" s="393"/>
      <c r="E91" s="392">
        <f>'Sources and Uses Budget'!S91</f>
        <v>27500</v>
      </c>
      <c r="F91" s="393"/>
      <c r="G91" s="393"/>
      <c r="H91" s="392">
        <f>'Sources and Uses Budget'!T91</f>
        <v>0</v>
      </c>
      <c r="I91" s="393"/>
      <c r="J91" s="393"/>
      <c r="K91" s="390"/>
    </row>
    <row r="92" spans="1:11" s="391" customFormat="1">
      <c r="A92" s="542" t="s">
        <v>1317</v>
      </c>
      <c r="B92" s="392">
        <f>'Sources and Uses Budget'!C92</f>
        <v>6000</v>
      </c>
      <c r="C92" s="393"/>
      <c r="D92" s="393"/>
      <c r="E92" s="392">
        <f>'Sources and Uses Budget'!S92</f>
        <v>6000</v>
      </c>
      <c r="F92" s="393"/>
      <c r="G92" s="393"/>
      <c r="H92" s="392">
        <f>'Sources and Uses Budget'!T92</f>
        <v>0</v>
      </c>
      <c r="I92" s="393"/>
      <c r="J92" s="393"/>
      <c r="K92" s="390"/>
    </row>
    <row r="93" spans="1:11" s="391" customFormat="1">
      <c r="A93" s="395" t="str">
        <f>'Sources and Uses Budget'!$A93</f>
        <v>Other: Due Dilligence</v>
      </c>
      <c r="B93" s="392">
        <f>'Sources and Uses Budget'!C93</f>
        <v>34010</v>
      </c>
      <c r="C93" s="393"/>
      <c r="D93" s="393"/>
      <c r="E93" s="392">
        <f>'Sources and Uses Budget'!S93</f>
        <v>34010</v>
      </c>
      <c r="F93" s="393"/>
      <c r="G93" s="393"/>
      <c r="H93" s="392">
        <f>'Sources and Uses Budget'!T93</f>
        <v>0</v>
      </c>
      <c r="I93" s="393"/>
      <c r="J93" s="393"/>
      <c r="K93" s="390"/>
    </row>
    <row r="94" spans="1:11" s="391" customFormat="1">
      <c r="A94" s="395" t="str">
        <f>'Sources and Uses Budget'!$A94</f>
        <v>Other: Other Closing Costs</v>
      </c>
      <c r="B94" s="392">
        <f>'Sources and Uses Budget'!C94</f>
        <v>20000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467920</v>
      </c>
      <c r="C96" s="392">
        <f>SUM(C83:C95)</f>
        <v>0</v>
      </c>
      <c r="D96" s="392">
        <f>SUM(D83:D95)</f>
        <v>0</v>
      </c>
      <c r="E96" s="392">
        <f>'Sources and Uses Budget'!S96</f>
        <v>142182</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49829331</v>
      </c>
      <c r="C97" s="392">
        <f>SUM(C63+C70+C77+C81+C96)</f>
        <v>0</v>
      </c>
      <c r="D97" s="392">
        <f>SUM(D63+D70+D77+D81+D96)</f>
        <v>0</v>
      </c>
      <c r="E97" s="392">
        <f>'Sources and Uses Budget'!S97</f>
        <v>10688419</v>
      </c>
      <c r="F97" s="398">
        <f>SUM(+F63+F70+F81+F96)</f>
        <v>0</v>
      </c>
      <c r="G97" s="398">
        <f>SUM(+G63+G70+G81+G96)</f>
        <v>0</v>
      </c>
      <c r="H97" s="392">
        <f>'Sources and Uses Budget'!T97</f>
        <v>34260888</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6742396.0499999998</v>
      </c>
      <c r="C99" s="393"/>
      <c r="D99" s="393"/>
      <c r="E99" s="392">
        <f>'Sources and Uses Budget'!S99</f>
        <v>1603262.8499999999</v>
      </c>
      <c r="F99" s="393"/>
      <c r="G99" s="393"/>
      <c r="H99" s="392">
        <f>'Sources and Uses Budget'!T99</f>
        <v>5139133.2</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6742396.0499999998</v>
      </c>
      <c r="C104" s="392">
        <f>SUM(C99:C103)</f>
        <v>0</v>
      </c>
      <c r="D104" s="392">
        <f>SUM(D99:D103)</f>
        <v>0</v>
      </c>
      <c r="E104" s="392">
        <f>'Sources and Uses Budget'!S104</f>
        <v>1603262.8499999999</v>
      </c>
      <c r="F104" s="398">
        <f>SUM(F99:F103)</f>
        <v>0</v>
      </c>
      <c r="G104" s="398">
        <f>SUM(G99:G103)</f>
        <v>0</v>
      </c>
      <c r="H104" s="392">
        <f>'Sources and Uses Budget'!T104</f>
        <v>5139133.2</v>
      </c>
      <c r="I104" s="398">
        <f>SUM(I99:I103)</f>
        <v>0</v>
      </c>
      <c r="J104" s="398">
        <f>SUM(J99:J103)</f>
        <v>0</v>
      </c>
      <c r="K104" s="390"/>
    </row>
    <row r="105" spans="1:11" s="391" customFormat="1">
      <c r="A105" s="396" t="s">
        <v>1054</v>
      </c>
      <c r="B105" s="392">
        <f>'Sources and Uses Budget'!C105</f>
        <v>56571727.049999997</v>
      </c>
      <c r="C105" s="398">
        <f>SUM(C97+C104)</f>
        <v>0</v>
      </c>
      <c r="D105" s="398">
        <f>SUM(D97+D104)</f>
        <v>0</v>
      </c>
      <c r="E105" s="392">
        <f>'Sources and Uses Budget'!S105</f>
        <v>12291681.85</v>
      </c>
      <c r="F105" s="398">
        <f>F97+F104</f>
        <v>0</v>
      </c>
      <c r="G105" s="398">
        <f>G97+G104</f>
        <v>0</v>
      </c>
      <c r="H105" s="392">
        <f>'Sources and Uses Budget'!T105</f>
        <v>39400021.200000003</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12291681.85</v>
      </c>
      <c r="F107" s="398">
        <f>F105+F106</f>
        <v>0</v>
      </c>
      <c r="G107" s="398">
        <f>G105+G106</f>
        <v>0</v>
      </c>
      <c r="H107" s="392">
        <f>'Sources and Uses Budget'!T107</f>
        <v>39400021.200000003</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37"/>
      <c r="F124" s="1337"/>
      <c r="G124" s="1337"/>
      <c r="H124" s="1337"/>
      <c r="I124" s="1337"/>
      <c r="J124" s="407"/>
      <c r="K124" s="390"/>
    </row>
    <row r="125" spans="1:11" s="391" customFormat="1" ht="12.75">
      <c r="A125" s="416"/>
      <c r="B125" s="415"/>
      <c r="C125" s="416"/>
      <c r="D125" s="1337"/>
      <c r="E125" s="1337"/>
      <c r="F125" s="1337"/>
      <c r="G125" s="1337"/>
      <c r="H125" s="1337"/>
      <c r="I125" s="1337"/>
      <c r="J125" s="407"/>
      <c r="K125" s="390"/>
    </row>
    <row r="126" spans="1:11" s="391" customFormat="1" ht="12.75">
      <c r="A126" s="416"/>
      <c r="B126" s="415"/>
      <c r="C126" s="416"/>
      <c r="D126" s="1337"/>
      <c r="E126" s="1337"/>
      <c r="F126" s="1337"/>
      <c r="G126" s="1337"/>
      <c r="H126" s="1337"/>
      <c r="I126" s="1337"/>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37"/>
      <c r="C139" s="1337"/>
      <c r="D139" s="387"/>
      <c r="E139" s="416"/>
      <c r="F139" s="416"/>
      <c r="G139" s="416"/>
    </row>
    <row r="140" spans="1:11" ht="12" customHeight="1">
      <c r="A140" s="1297"/>
      <c r="B140" s="1297"/>
      <c r="C140" s="1297"/>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55" workbookViewId="0">
      <selection activeCell="E97" sqref="E97:S97"/>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6" t="s">
        <v>1409</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1414</v>
      </c>
      <c r="AF7" s="1900"/>
      <c r="AG7" s="1900"/>
      <c r="AH7" s="1900"/>
      <c r="AI7" s="1900"/>
      <c r="AJ7" s="1900"/>
      <c r="AK7" s="1900"/>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0" t="s">
        <v>553</v>
      </c>
      <c r="C13" s="1890"/>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20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0" t="s">
        <v>599</v>
      </c>
      <c r="C16" s="1890"/>
      <c r="D16" s="581"/>
      <c r="E16" s="1901" t="s">
        <v>1416</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5"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20</v>
      </c>
      <c r="AP17" s="570" t="s">
        <v>1417</v>
      </c>
    </row>
    <row r="18" spans="1:42" s="570" customFormat="1" ht="12.75"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0" t="s">
        <v>599</v>
      </c>
      <c r="C22" s="1890"/>
      <c r="D22" s="581"/>
      <c r="E22" s="1923" t="s">
        <v>1419</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1417</v>
      </c>
    </row>
    <row r="23" spans="1:42" s="570" customFormat="1" ht="12.75"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0" t="s">
        <v>599</v>
      </c>
      <c r="C25" s="1890"/>
      <c r="D25" s="581"/>
      <c r="E25" s="1891" t="s">
        <v>2346</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1417</v>
      </c>
    </row>
    <row r="26" spans="1:42" s="570" customFormat="1" ht="12.75"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890" t="s">
        <v>599</v>
      </c>
      <c r="C30" s="1890"/>
      <c r="D30" s="581"/>
      <c r="E30" s="1923" t="s">
        <v>2318</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5"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0" t="s">
        <v>599</v>
      </c>
      <c r="C33" s="1890"/>
      <c r="D33" s="581"/>
      <c r="E33" s="1891" t="s">
        <v>2319</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5"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5"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0" t="s">
        <v>599</v>
      </c>
      <c r="C39" s="1890"/>
      <c r="D39" s="1186"/>
      <c r="E39" s="1891" t="s">
        <v>2320</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5"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5"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0" t="s">
        <v>599</v>
      </c>
      <c r="C46" s="1890"/>
      <c r="D46" s="574"/>
      <c r="E46" s="1891" t="s">
        <v>2325</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5"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5"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0" t="s">
        <v>599</v>
      </c>
      <c r="C50" s="1890"/>
      <c r="D50" s="574"/>
      <c r="E50" s="1911" t="s">
        <v>2326</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0" t="s">
        <v>599</v>
      </c>
      <c r="C52" s="1890"/>
      <c r="D52" s="574"/>
      <c r="E52" s="1891" t="s">
        <v>2327</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5"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20">
        <f>AO36</f>
        <v>20</v>
      </c>
      <c r="AL56" s="1921"/>
      <c r="AM56" s="192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1423</v>
      </c>
      <c r="AF59" s="1900"/>
      <c r="AG59" s="1900"/>
      <c r="AH59" s="1900"/>
      <c r="AI59" s="1900"/>
      <c r="AJ59" s="1900"/>
      <c r="AK59" s="1900"/>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0" t="s">
        <v>599</v>
      </c>
      <c r="C62" s="1890"/>
      <c r="D62" s="581" t="s">
        <v>1424</v>
      </c>
      <c r="E62" s="1901" t="s">
        <v>2328</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0</v>
      </c>
    </row>
    <row r="63" spans="1:50" s="570" customFormat="1" ht="12.75"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0</v>
      </c>
    </row>
    <row r="64" spans="1:50" s="570" customFormat="1" ht="12.75"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5"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0</v>
      </c>
      <c r="AP65" s="608" t="s">
        <v>1425</v>
      </c>
    </row>
    <row r="66" spans="1:42" s="570" customFormat="1" ht="12.75"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0" t="s">
        <v>599</v>
      </c>
      <c r="C68" s="1890"/>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0" t="s">
        <v>599</v>
      </c>
      <c r="F69" s="1890"/>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8" t="s">
        <v>599</v>
      </c>
      <c r="F70" s="1889"/>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8" t="s">
        <v>599</v>
      </c>
      <c r="F71" s="1889"/>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0" t="s">
        <v>599</v>
      </c>
      <c r="F73" s="1890"/>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0" t="s">
        <v>599</v>
      </c>
      <c r="C75" s="1890"/>
      <c r="D75" s="581" t="s">
        <v>1429</v>
      </c>
      <c r="E75" s="1891" t="s">
        <v>1928</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5"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20">
        <f>IF(AK56&gt;0,0,AO65)</f>
        <v>0</v>
      </c>
      <c r="AL78" s="1921"/>
      <c r="AM78" s="192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1414</v>
      </c>
      <c r="AF81" s="1900"/>
      <c r="AG81" s="1900"/>
      <c r="AH81" s="1900"/>
      <c r="AI81" s="1900"/>
      <c r="AJ81" s="1900"/>
      <c r="AK81" s="1900"/>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0" t="s">
        <v>599</v>
      </c>
      <c r="C84" s="1890"/>
      <c r="D84" s="581" t="s">
        <v>1424</v>
      </c>
      <c r="E84" s="1901" t="s">
        <v>1434</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5"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4">
        <f>Application!AC753</f>
        <v>0.55918367346938769</v>
      </c>
      <c r="F87" s="1885"/>
      <c r="G87" s="1885"/>
      <c r="H87" s="1885"/>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6">
        <f>0.6-ROUNDUP(E87,2)</f>
        <v>3.9999999999999925E-2</v>
      </c>
      <c r="F88" s="1887"/>
      <c r="G88" s="1887"/>
      <c r="H88" s="1887"/>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4">
        <f>IF(E88*200&gt;20,20,E88*200)</f>
        <v>7.9999999999999849</v>
      </c>
      <c r="F89" s="1915"/>
      <c r="G89" s="1915"/>
      <c r="H89" s="1915"/>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0" t="s">
        <v>553</v>
      </c>
      <c r="C92" s="1890"/>
      <c r="D92" s="581" t="s">
        <v>1426</v>
      </c>
      <c r="E92" s="1901" t="s">
        <v>1913</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5"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5"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5"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4">
        <f>Application!AC753</f>
        <v>0.55918367346938769</v>
      </c>
      <c r="F97" s="1885"/>
      <c r="G97" s="1885"/>
      <c r="H97" s="1885"/>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4">
        <f ca="1">SUMIF(Application!AC718:AG752,0.2,Application!G718:J752)/Application!G753+SUMIF(Application!AC718:AG752,0.25,Application!G718:J752)/Application!G753+SUMIF(Application!AC718:AG752,0.3,Application!G718:J752)/Application!G753</f>
        <v>0.10204081632653061</v>
      </c>
      <c r="F98" s="1885"/>
      <c r="G98" s="1885"/>
      <c r="H98" s="1885"/>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0.10204081632653061</v>
      </c>
      <c r="F99" s="1885"/>
      <c r="G99" s="1885"/>
      <c r="H99" s="1885"/>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9">
        <f ca="1">IF(AND(E97&lt;=0.6,OR(AND(E98&gt;=0.1,E99&gt;=0.1),AND(E98&gt;0.1,(E98+E99)&gt;=0.2))),20,0)</f>
        <v>20</v>
      </c>
      <c r="F100" s="1940"/>
      <c r="G100" s="1940"/>
      <c r="H100" s="1940"/>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20">
        <f ca="1">MAX(AP89,AP100)</f>
        <v>20</v>
      </c>
      <c r="AL103" s="1921"/>
      <c r="AM103" s="192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1423</v>
      </c>
      <c r="AF106" s="1900"/>
      <c r="AG106" s="1900"/>
      <c r="AH106" s="1900"/>
      <c r="AI106" s="1900"/>
      <c r="AJ106" s="1900"/>
      <c r="AK106" s="1900"/>
      <c r="AL106" s="574"/>
      <c r="AM106" s="574"/>
      <c r="AN106" s="569"/>
      <c r="AO106" s="570" t="str">
        <f>Application!B718</f>
        <v>1 Bedroom</v>
      </c>
      <c r="AQ106" s="570">
        <f>Application!O718</f>
        <v>576</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960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1153</v>
      </c>
    </row>
    <row r="109" spans="1:49" s="570" customFormat="1" ht="12.75" customHeight="1">
      <c r="A109" s="574"/>
      <c r="B109" s="1890" t="s">
        <v>599</v>
      </c>
      <c r="C109" s="1890"/>
      <c r="D109" s="581" t="s">
        <v>1424</v>
      </c>
      <c r="E109" s="1901" t="s">
        <v>2047</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2 Bedrooms</v>
      </c>
      <c r="AQ109" s="570">
        <f>Application!O721</f>
        <v>691</v>
      </c>
      <c r="AU109" s="570" t="s">
        <v>2029</v>
      </c>
      <c r="AV109" s="629" t="s">
        <v>2030</v>
      </c>
      <c r="AW109" s="570" t="s">
        <v>2031</v>
      </c>
    </row>
    <row r="110" spans="1:49" s="570" customFormat="1" ht="12.75"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t="str">
        <f>Application!B722</f>
        <v>2 Bedrooms</v>
      </c>
      <c r="AQ110" s="570">
        <f>Application!O722</f>
        <v>1152</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t="str">
        <f>Application!B723</f>
        <v>2 Bedrooms</v>
      </c>
      <c r="AQ111" s="570">
        <f>Application!O723</f>
        <v>1383</v>
      </c>
      <c r="AU111" s="890" t="str">
        <f>J118</f>
        <v>1-bedroom</v>
      </c>
      <c r="AV111" s="570">
        <f t="array" ref="AV111">SUM(IF(Application!B718:F752="1 Bedroom",Application!G718:J752))</f>
        <v>148</v>
      </c>
      <c r="AW111" s="1046">
        <f>AV111/AV116</f>
        <v>0.75510204081632648</v>
      </c>
    </row>
    <row r="112" spans="1:49" s="570" customFormat="1" ht="12.75"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t="str">
        <f>Application!B724</f>
        <v>2 Bedrooms</v>
      </c>
      <c r="AQ112" s="570">
        <f>Application!O724</f>
        <v>691</v>
      </c>
      <c r="AU112" s="890" t="str">
        <f>O118</f>
        <v>2-bedroom</v>
      </c>
      <c r="AV112" s="570">
        <f t="array" ref="AV112">SUM(IF(Application!B718:F752="2 Bedrooms",Application!G718:J752))</f>
        <v>48</v>
      </c>
      <c r="AW112" s="1046">
        <f>AV112/AV116</f>
        <v>0.24489795918367346</v>
      </c>
    </row>
    <row r="113" spans="1:52" s="570" customFormat="1" ht="12.75"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t="str">
        <f>Application!B725</f>
        <v>2 Bedrooms</v>
      </c>
      <c r="AQ113" s="570">
        <f>Application!O725</f>
        <v>1152</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t="str">
        <f>Application!B726</f>
        <v>2 Bedrooms</v>
      </c>
      <c r="AQ114" s="570">
        <f>Application!O726</f>
        <v>1383</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f>Application!B728</f>
        <v>0</v>
      </c>
      <c r="AQ116" s="570">
        <f>Application!O728</f>
        <v>0</v>
      </c>
      <c r="AV116" s="570">
        <f>SUM(AV110:AV115)</f>
        <v>196</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4" t="s">
        <v>1698</v>
      </c>
      <c r="F118" s="1885"/>
      <c r="G118" s="1885"/>
      <c r="H118" s="1885"/>
      <c r="I118" s="611"/>
      <c r="J118" s="1885" t="s">
        <v>1742</v>
      </c>
      <c r="K118" s="1885"/>
      <c r="L118" s="1885"/>
      <c r="M118" s="1885"/>
      <c r="N118" s="611"/>
      <c r="O118" s="1885" t="s">
        <v>1743</v>
      </c>
      <c r="P118" s="1885"/>
      <c r="Q118" s="1885"/>
      <c r="R118" s="1885"/>
      <c r="S118" s="611"/>
      <c r="T118" s="1885" t="s">
        <v>1443</v>
      </c>
      <c r="U118" s="1885"/>
      <c r="V118" s="1885"/>
      <c r="W118" s="1885"/>
      <c r="X118" s="611"/>
      <c r="Y118" s="1885" t="s">
        <v>1744</v>
      </c>
      <c r="Z118" s="1885"/>
      <c r="AA118" s="1885"/>
      <c r="AB118" s="1885"/>
      <c r="AC118" s="611"/>
      <c r="AD118" s="1885" t="s">
        <v>1745</v>
      </c>
      <c r="AE118" s="1885"/>
      <c r="AF118" s="1885"/>
      <c r="AG118" s="188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1"/>
      <c r="F121" s="1942"/>
      <c r="G121" s="1942"/>
      <c r="H121" s="1942"/>
      <c r="I121" s="898"/>
      <c r="J121" s="1942">
        <v>2211</v>
      </c>
      <c r="K121" s="1942"/>
      <c r="L121" s="1942"/>
      <c r="M121" s="1942"/>
      <c r="N121" s="898"/>
      <c r="O121" s="1942">
        <v>2545</v>
      </c>
      <c r="P121" s="1942"/>
      <c r="Q121" s="1942"/>
      <c r="R121" s="1942"/>
      <c r="S121" s="898"/>
      <c r="T121" s="1942"/>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4">
        <f>Application!DX670</f>
        <v>0</v>
      </c>
      <c r="F124" s="1935"/>
      <c r="G124" s="1935"/>
      <c r="H124" s="1935"/>
      <c r="I124" s="898"/>
      <c r="J124" s="1935">
        <f>Application!EC670</f>
        <v>1074.9594594594594</v>
      </c>
      <c r="K124" s="1935"/>
      <c r="L124" s="1935"/>
      <c r="M124" s="1935"/>
      <c r="N124" s="898"/>
      <c r="O124" s="1935">
        <f>Application!EH670</f>
        <v>1286.8541666666665</v>
      </c>
      <c r="P124" s="1935"/>
      <c r="Q124" s="1935"/>
      <c r="R124" s="1935"/>
      <c r="S124" s="902"/>
      <c r="T124" s="1935">
        <f>Application!EM670</f>
        <v>0</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2" t="e">
        <f>(E121-E124)/E121</f>
        <v>#DIV/0!</v>
      </c>
      <c r="F127" s="1887"/>
      <c r="G127" s="1887"/>
      <c r="H127" s="2133"/>
      <c r="I127" s="611"/>
      <c r="J127" s="2132">
        <f>(J121-J124)/J121</f>
        <v>0.51381299888762577</v>
      </c>
      <c r="K127" s="1887"/>
      <c r="L127" s="1887"/>
      <c r="M127" s="2133"/>
      <c r="N127" s="611"/>
      <c r="O127" s="2132">
        <f>(O121-O124)/O121</f>
        <v>0.4943598559266536</v>
      </c>
      <c r="P127" s="1887"/>
      <c r="Q127" s="1887"/>
      <c r="R127" s="2133"/>
      <c r="S127" s="611"/>
      <c r="T127" s="2132" t="e">
        <f>(T121-T124)/T121</f>
        <v>#DIV/0!</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6" t="e">
        <f>IF(((E127-0.1)*AW110)&gt;0,((E127-0.1)*AW110),0)</f>
        <v>#DIV/0!</v>
      </c>
      <c r="F130" s="1937"/>
      <c r="G130" s="1937"/>
      <c r="H130" s="1938"/>
      <c r="I130" s="611"/>
      <c r="J130" s="1936">
        <f>IF(((J127-0.1)*AW111)&gt;0,((J127-0.1)*AW111),0)</f>
        <v>0.31247103997637049</v>
      </c>
      <c r="K130" s="1937"/>
      <c r="L130" s="1937"/>
      <c r="M130" s="1938"/>
      <c r="N130" s="611"/>
      <c r="O130" s="1936">
        <f>IF(((O127-0.1)*AW112)&gt;0,((O127-0.1)*AW112),0)</f>
        <v>9.6577923900404955E-2</v>
      </c>
      <c r="P130" s="1937"/>
      <c r="Q130" s="1937"/>
      <c r="R130" s="1938"/>
      <c r="S130" s="611"/>
      <c r="T130" s="1936" t="e">
        <f>IF(((T127-0.1)*AW113)&gt;0,((T127-0.1)*AW113),0)</f>
        <v>#DIV/0!</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2">
        <f>ROUNDDOWN(SUMIF(E130:AG130,"&gt;0"),2)</f>
        <v>0.4</v>
      </c>
      <c r="F132" s="1887"/>
      <c r="G132" s="1887"/>
      <c r="H132" s="2133"/>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0">
        <f>IF((E132*100)&gt;10,10,E132*100)</f>
        <v>10</v>
      </c>
      <c r="F133" s="1921"/>
      <c r="G133" s="1921"/>
      <c r="H133" s="1922"/>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20">
        <f>E133</f>
        <v>10</v>
      </c>
      <c r="AL137" s="1921"/>
      <c r="AM137" s="192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00" t="s">
        <v>1423</v>
      </c>
      <c r="AF140" s="1900"/>
      <c r="AG140" s="1900"/>
      <c r="AH140" s="1900"/>
      <c r="AI140" s="1900"/>
      <c r="AJ140" s="1900"/>
      <c r="AK140" s="190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1447</v>
      </c>
      <c r="AG142" s="1932"/>
      <c r="AH142" s="1932"/>
      <c r="AI142" s="1932"/>
      <c r="AJ142" s="1932"/>
      <c r="AK142" s="1932"/>
      <c r="AL142" s="1932"/>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3" t="str">
        <f>Application!M251</f>
        <v>FFAH II BP Senior Apartments, LLC</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58" t="s">
        <v>1450</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59" t="s">
        <v>599</v>
      </c>
      <c r="AC149" s="1959"/>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58" t="s">
        <v>1452</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62">
        <f>IF($AB$149="N/A",VLOOKUP($B$147,$AO$145:$AP$148,2,FALSE),VLOOKUP($B$152,$AO$150:$AP$152,2,FALSE))</f>
        <v>7</v>
      </c>
      <c r="AK155" s="1962"/>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1461</v>
      </c>
      <c r="AG157" s="1932"/>
      <c r="AH157" s="1932"/>
      <c r="AI157" s="1932"/>
      <c r="AJ157" s="1932"/>
      <c r="AK157" s="1932"/>
      <c r="AL157" s="1932"/>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8" t="s">
        <v>1459</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599</v>
      </c>
      <c r="AG161" s="1959"/>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8" t="s">
        <v>1452</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60" t="str">
        <f>Application!AA335</f>
        <v>Aperto Property Management, Inc.</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61">
        <f>IF($AF$161="N/A",VLOOKUP($C$159,$AO$159:$AP$162,2,FALSE),VLOOKUP($C$163,$AO$166:$AP$168,2,FALSE))</f>
        <v>3</v>
      </c>
      <c r="AK169" s="1961"/>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20">
        <f>$AJ$155+$AJ$169</f>
        <v>10</v>
      </c>
      <c r="AL172" s="1921"/>
      <c r="AM172" s="192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1423</v>
      </c>
      <c r="AF175" s="1900"/>
      <c r="AG175" s="1900"/>
      <c r="AH175" s="1900"/>
      <c r="AI175" s="1900"/>
      <c r="AJ175" s="1900"/>
      <c r="AK175" s="1900"/>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56" t="s">
        <v>1469</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1472</v>
      </c>
      <c r="AG177" s="1932"/>
      <c r="AH177" s="1932"/>
      <c r="AI177" s="1932"/>
      <c r="AJ177" s="1932"/>
      <c r="AK177" s="1932"/>
      <c r="AL177" s="1932"/>
      <c r="AN177" s="631"/>
      <c r="AP177" s="584" t="s">
        <v>1067</v>
      </c>
      <c r="AQ177" s="584">
        <v>10</v>
      </c>
    </row>
    <row r="178" spans="1:45" s="584" customFormat="1" ht="12.75" customHeight="1">
      <c r="A178" s="570"/>
      <c r="B178" s="1957" t="s">
        <v>1914</v>
      </c>
      <c r="C178" s="1957"/>
      <c r="D178" s="1957"/>
      <c r="E178" s="1957"/>
      <c r="F178" s="1957"/>
      <c r="G178" s="1957"/>
      <c r="H178" s="1957"/>
      <c r="I178" s="1957"/>
      <c r="J178" s="1957"/>
      <c r="K178" s="1957"/>
      <c r="L178" s="1957"/>
      <c r="M178" s="1957"/>
      <c r="N178" s="1957"/>
      <c r="O178" s="1957"/>
      <c r="P178" s="1957"/>
      <c r="Q178" s="1957"/>
      <c r="R178" s="1957"/>
      <c r="S178" s="1957"/>
      <c r="T178" s="1933" t="s">
        <v>599</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1966">
        <f>IF(AK78&gt;0,VLOOKUP($B$177,AP174:AQ180,2,FALSE),0)</f>
        <v>0</v>
      </c>
      <c r="AL180" s="1967"/>
      <c r="AM180" s="1968"/>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1481</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t="s">
        <v>2757</v>
      </c>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v>5000000</v>
      </c>
      <c r="AE188" s="1945"/>
      <c r="AF188" s="1945"/>
      <c r="AG188" s="1945"/>
      <c r="AH188" s="1945"/>
      <c r="AI188" s="1945"/>
      <c r="AJ188" s="1945"/>
      <c r="AK188" s="644"/>
    </row>
    <row r="189" spans="1:45">
      <c r="A189" s="639"/>
      <c r="B189" s="1944"/>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c r="AE189" s="1945"/>
      <c r="AF189" s="1945"/>
      <c r="AG189" s="1945"/>
      <c r="AH189" s="1945"/>
      <c r="AI189" s="1945"/>
      <c r="AJ189" s="1945"/>
      <c r="AK189" s="644"/>
    </row>
    <row r="190" spans="1:45">
      <c r="A190" s="639"/>
      <c r="B190" s="1944"/>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1737</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0</v>
      </c>
      <c r="AE198" s="1973"/>
      <c r="AF198" s="1973"/>
      <c r="AG198" s="1973"/>
      <c r="AH198" s="1973"/>
      <c r="AI198" s="1973"/>
      <c r="AJ198" s="1973"/>
      <c r="AK198" s="644"/>
    </row>
    <row r="199" spans="1:37">
      <c r="A199" s="639"/>
      <c r="B199" s="2107" t="s">
        <v>1700</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1978">
        <f>SUM(AD188:AJ198)-AD199</f>
        <v>5000000</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1717</v>
      </c>
      <c r="J211" s="1948"/>
      <c r="K211" s="1948"/>
      <c r="L211" s="570"/>
      <c r="M211" s="570"/>
      <c r="N211" s="570"/>
      <c r="O211" s="570"/>
      <c r="P211" s="570"/>
      <c r="Q211" s="570"/>
      <c r="R211" s="570"/>
      <c r="S211" s="570"/>
      <c r="T211" s="2135" t="s">
        <v>1711</v>
      </c>
      <c r="U211" s="2135"/>
      <c r="V211" s="2135"/>
      <c r="W211" s="2135"/>
      <c r="X211" s="2135"/>
      <c r="Y211" s="2135"/>
      <c r="Z211" s="883"/>
      <c r="AA211" s="523"/>
      <c r="AB211" s="1943" t="s">
        <v>1712</v>
      </c>
      <c r="AC211" s="1943"/>
      <c r="AD211" s="1943"/>
      <c r="AE211" s="1943"/>
      <c r="AF211" s="1943"/>
      <c r="AG211" s="1943"/>
      <c r="AH211" s="861"/>
      <c r="AI211" s="861"/>
      <c r="AJ211" s="861"/>
      <c r="AK211" s="644"/>
    </row>
    <row r="212" spans="1:37">
      <c r="A212" s="639"/>
      <c r="B212" s="1946" t="s">
        <v>1697</v>
      </c>
      <c r="C212" s="1946"/>
      <c r="D212" s="1946"/>
      <c r="E212" s="1946"/>
      <c r="F212" s="1946"/>
      <c r="G212" s="1946"/>
      <c r="I212" s="1947" t="s">
        <v>1718</v>
      </c>
      <c r="J212" s="1947"/>
      <c r="K212" s="1947"/>
      <c r="L212" s="1043"/>
      <c r="N212" s="1953" t="s">
        <v>1713</v>
      </c>
      <c r="O212" s="1953"/>
      <c r="P212" s="1953"/>
      <c r="Q212" s="1953"/>
      <c r="R212" s="1953"/>
      <c r="T212" s="1953" t="s">
        <v>1714</v>
      </c>
      <c r="U212" s="1953"/>
      <c r="V212" s="1953"/>
      <c r="W212" s="1953"/>
      <c r="X212" s="1953"/>
      <c r="Y212" s="1953"/>
      <c r="Z212" s="884"/>
      <c r="AA212" s="523"/>
      <c r="AB212" s="2110" t="s">
        <v>1715</v>
      </c>
      <c r="AC212" s="2110"/>
      <c r="AD212" s="2110"/>
      <c r="AE212" s="2110"/>
      <c r="AF212" s="2110"/>
      <c r="AG212" s="2110"/>
      <c r="AH212" s="861"/>
      <c r="AI212" s="861"/>
      <c r="AJ212" s="861"/>
      <c r="AK212" s="644"/>
    </row>
    <row r="213" spans="1:37">
      <c r="A213" s="639"/>
      <c r="B213" s="1950" t="s">
        <v>1290</v>
      </c>
      <c r="C213" s="1950"/>
      <c r="D213" s="1950"/>
      <c r="E213" s="1950"/>
      <c r="F213" s="1950"/>
      <c r="G213" s="1950"/>
      <c r="H213" s="886"/>
      <c r="I213" s="1949"/>
      <c r="J213" s="1949"/>
      <c r="K213" s="1949"/>
      <c r="L213" s="1043"/>
      <c r="N213" s="1954"/>
      <c r="O213" s="1954"/>
      <c r="P213" s="1954"/>
      <c r="Q213" s="1954"/>
      <c r="R213" s="1954"/>
      <c r="T213" s="2108"/>
      <c r="U213" s="2108"/>
      <c r="V213" s="2108"/>
      <c r="W213" s="2108"/>
      <c r="X213" s="2108"/>
      <c r="Y213" s="2108"/>
      <c r="Z213" s="885"/>
      <c r="AA213" s="885"/>
      <c r="AB213" s="1951">
        <f t="shared" ref="AB213:AB222" si="0">MAX(($T213-$N213)*$I213*12,0)</f>
        <v>0</v>
      </c>
      <c r="AC213" s="1951"/>
      <c r="AD213" s="1951"/>
      <c r="AE213" s="1951"/>
      <c r="AF213" s="1951"/>
      <c r="AG213" s="1951"/>
      <c r="AH213" s="861"/>
      <c r="AI213" s="861"/>
      <c r="AJ213" s="861"/>
      <c r="AK213" s="644"/>
    </row>
    <row r="214" spans="1:37">
      <c r="A214" s="639"/>
      <c r="B214" s="1950" t="s">
        <v>1290</v>
      </c>
      <c r="C214" s="1950"/>
      <c r="D214" s="1950"/>
      <c r="E214" s="1950"/>
      <c r="F214" s="1950"/>
      <c r="G214" s="1950"/>
      <c r="I214" s="1949"/>
      <c r="J214" s="1949"/>
      <c r="K214" s="1949"/>
      <c r="L214" s="1043"/>
      <c r="N214" s="1954"/>
      <c r="O214" s="1954"/>
      <c r="P214" s="1954"/>
      <c r="Q214" s="1954"/>
      <c r="R214" s="1954"/>
      <c r="T214" s="2108"/>
      <c r="U214" s="2108"/>
      <c r="V214" s="2108"/>
      <c r="W214" s="2108"/>
      <c r="X214" s="2108"/>
      <c r="Y214" s="2108"/>
      <c r="Z214" s="885"/>
      <c r="AA214" s="885"/>
      <c r="AB214" s="1951">
        <f t="shared" si="0"/>
        <v>0</v>
      </c>
      <c r="AC214" s="1951"/>
      <c r="AD214" s="1951"/>
      <c r="AE214" s="1951"/>
      <c r="AF214" s="1951"/>
      <c r="AG214" s="1951"/>
      <c r="AH214" s="861"/>
      <c r="AI214" s="861"/>
      <c r="AJ214" s="861"/>
      <c r="AK214" s="644"/>
    </row>
    <row r="215" spans="1:37">
      <c r="A215" s="639"/>
      <c r="B215" s="1950" t="s">
        <v>1290</v>
      </c>
      <c r="C215" s="1950"/>
      <c r="D215" s="1950"/>
      <c r="E215" s="1950"/>
      <c r="F215" s="1950"/>
      <c r="G215" s="1950"/>
      <c r="I215" s="1949"/>
      <c r="J215" s="1949"/>
      <c r="K215" s="1949"/>
      <c r="L215" s="1043"/>
      <c r="N215" s="1954"/>
      <c r="O215" s="1954"/>
      <c r="P215" s="1954"/>
      <c r="Q215" s="1954"/>
      <c r="R215" s="1954"/>
      <c r="T215" s="2108"/>
      <c r="U215" s="2108"/>
      <c r="V215" s="2108"/>
      <c r="W215" s="2108"/>
      <c r="X215" s="2108"/>
      <c r="Y215" s="2108"/>
      <c r="Z215" s="885"/>
      <c r="AA215" s="885"/>
      <c r="AB215" s="1951">
        <f t="shared" si="0"/>
        <v>0</v>
      </c>
      <c r="AC215" s="1951"/>
      <c r="AD215" s="1951"/>
      <c r="AE215" s="1951"/>
      <c r="AF215" s="1951"/>
      <c r="AG215" s="1951"/>
      <c r="AH215" s="861"/>
      <c r="AI215" s="861"/>
      <c r="AJ215" s="861"/>
      <c r="AK215" s="644"/>
    </row>
    <row r="216" spans="1:37">
      <c r="A216" s="639"/>
      <c r="B216" s="1950" t="s">
        <v>1290</v>
      </c>
      <c r="C216" s="1950"/>
      <c r="D216" s="1950"/>
      <c r="E216" s="1950"/>
      <c r="F216" s="1950"/>
      <c r="G216" s="1950"/>
      <c r="I216" s="1949"/>
      <c r="J216" s="1949"/>
      <c r="K216" s="1949"/>
      <c r="L216" s="1043"/>
      <c r="N216" s="1954"/>
      <c r="O216" s="1954"/>
      <c r="P216" s="1954"/>
      <c r="Q216" s="1954"/>
      <c r="R216" s="1954"/>
      <c r="T216" s="2108"/>
      <c r="U216" s="2108"/>
      <c r="V216" s="2108"/>
      <c r="W216" s="2108"/>
      <c r="X216" s="2108"/>
      <c r="Y216" s="2108"/>
      <c r="Z216" s="885"/>
      <c r="AA216" s="885"/>
      <c r="AB216" s="1951">
        <f t="shared" si="0"/>
        <v>0</v>
      </c>
      <c r="AC216" s="1951"/>
      <c r="AD216" s="1951"/>
      <c r="AE216" s="1951"/>
      <c r="AF216" s="1951"/>
      <c r="AG216" s="1951"/>
      <c r="AH216" s="861"/>
      <c r="AI216" s="861"/>
      <c r="AJ216" s="861"/>
      <c r="AK216" s="644"/>
    </row>
    <row r="217" spans="1:37">
      <c r="A217" s="639"/>
      <c r="B217" s="1950" t="s">
        <v>1290</v>
      </c>
      <c r="C217" s="1950"/>
      <c r="D217" s="1950"/>
      <c r="E217" s="1950"/>
      <c r="F217" s="1950"/>
      <c r="G217" s="1950"/>
      <c r="I217" s="1949"/>
      <c r="J217" s="1949"/>
      <c r="K217" s="1949"/>
      <c r="L217" s="1050"/>
      <c r="N217" s="1954"/>
      <c r="O217" s="1954"/>
      <c r="P217" s="1954"/>
      <c r="Q217" s="1954"/>
      <c r="R217" s="1954"/>
      <c r="T217" s="2108"/>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1290</v>
      </c>
      <c r="C218" s="1950"/>
      <c r="D218" s="1950"/>
      <c r="E218" s="1950"/>
      <c r="F218" s="1950"/>
      <c r="G218" s="1950"/>
      <c r="I218" s="1949"/>
      <c r="J218" s="1949"/>
      <c r="K218" s="1949"/>
      <c r="L218" s="1050"/>
      <c r="N218" s="1954"/>
      <c r="O218" s="1954"/>
      <c r="P218" s="1954"/>
      <c r="Q218" s="1954"/>
      <c r="R218" s="1954"/>
      <c r="T218" s="2108"/>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1290</v>
      </c>
      <c r="C219" s="1950"/>
      <c r="D219" s="1950"/>
      <c r="E219" s="1950"/>
      <c r="F219" s="1950"/>
      <c r="G219" s="1950"/>
      <c r="I219" s="1949"/>
      <c r="J219" s="1949"/>
      <c r="K219" s="1949"/>
      <c r="L219" s="1050"/>
      <c r="N219" s="1954"/>
      <c r="O219" s="1954"/>
      <c r="P219" s="1954"/>
      <c r="Q219" s="1954"/>
      <c r="R219" s="1954"/>
      <c r="T219" s="2108"/>
      <c r="U219" s="2108"/>
      <c r="V219" s="2108"/>
      <c r="W219" s="2108"/>
      <c r="X219" s="2108"/>
      <c r="Y219" s="2108"/>
      <c r="Z219" s="885"/>
      <c r="AA219" s="885"/>
      <c r="AB219" s="1951">
        <f t="shared" si="0"/>
        <v>0</v>
      </c>
      <c r="AC219" s="1951"/>
      <c r="AD219" s="1951"/>
      <c r="AE219" s="1951"/>
      <c r="AF219" s="1951"/>
      <c r="AG219" s="1951"/>
      <c r="AH219" s="861"/>
      <c r="AI219" s="861"/>
      <c r="AJ219" s="861"/>
      <c r="AK219" s="644"/>
    </row>
    <row r="220" spans="1:37">
      <c r="A220" s="639"/>
      <c r="B220" s="1950" t="s">
        <v>1290</v>
      </c>
      <c r="C220" s="1950"/>
      <c r="D220" s="1950"/>
      <c r="E220" s="1950"/>
      <c r="F220" s="1950"/>
      <c r="G220" s="1950"/>
      <c r="I220" s="1949"/>
      <c r="J220" s="1949"/>
      <c r="K220" s="1949"/>
      <c r="L220" s="1050"/>
      <c r="N220" s="1954"/>
      <c r="O220" s="1954"/>
      <c r="P220" s="1954"/>
      <c r="Q220" s="1954"/>
      <c r="R220" s="1954"/>
      <c r="T220" s="2108"/>
      <c r="U220" s="2108"/>
      <c r="V220" s="2108"/>
      <c r="W220" s="2108"/>
      <c r="X220" s="2108"/>
      <c r="Y220" s="2108"/>
      <c r="Z220" s="885"/>
      <c r="AA220" s="885"/>
      <c r="AB220" s="1951">
        <f t="shared" si="0"/>
        <v>0</v>
      </c>
      <c r="AC220" s="1951"/>
      <c r="AD220" s="1951"/>
      <c r="AE220" s="1951"/>
      <c r="AF220" s="1951"/>
      <c r="AG220" s="1951"/>
      <c r="AH220" s="861"/>
      <c r="AI220" s="861"/>
      <c r="AJ220" s="861"/>
      <c r="AK220" s="644"/>
    </row>
    <row r="221" spans="1:37">
      <c r="A221" s="639"/>
      <c r="B221" s="1950" t="s">
        <v>1290</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1290</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51">
        <f>SUM(AB213:AB222)</f>
        <v>0</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c r="AC229" s="2111"/>
      <c r="AD229" s="2111"/>
      <c r="AE229" s="2111"/>
      <c r="AF229" s="2111"/>
      <c r="AG229" s="2111"/>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c r="AC232" s="2111"/>
      <c r="AD232" s="2111"/>
      <c r="AE232" s="2111"/>
      <c r="AF232" s="2111"/>
      <c r="AG232" s="2111"/>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c r="AC233" s="2134"/>
      <c r="AD233" s="2134"/>
      <c r="AE233" s="2134"/>
      <c r="AF233" s="2134"/>
      <c r="AG233" s="2134"/>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0</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0</v>
      </c>
      <c r="AC239" s="1951"/>
      <c r="AD239" s="1951"/>
      <c r="AE239" s="1951"/>
      <c r="AF239" s="1951"/>
      <c r="AG239" s="1951"/>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0</v>
      </c>
      <c r="AC241" s="1983"/>
      <c r="AD241" s="1983"/>
      <c r="AE241" s="1983"/>
      <c r="AF241" s="1983"/>
      <c r="AG241" s="1983"/>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0</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0</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IFERROR(('Sources and Uses Budget'!D105/'Sources and Uses Budget'!B105),0)</f>
        <v>0</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AD200*(1-AB255)</f>
        <v>5000000</v>
      </c>
      <c r="AH257" s="1969"/>
      <c r="AI257" s="1969"/>
      <c r="AJ257" s="1969"/>
      <c r="AK257" s="1969"/>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'Sources and Uses Budget'!C105</f>
        <v>56571727.049999997</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ROUNDDOWN(IF(AND(C281="Yes",AK78=10),((AG257*2)/AG258),AG257/AG258),2)</f>
        <v>0.08</v>
      </c>
      <c r="AH259" s="1970"/>
      <c r="AI259" s="1970"/>
      <c r="AJ259" s="1970"/>
      <c r="AK259" s="1970"/>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1971">
        <f>IFERROR(IF(AG259=0,0,IF((AG259*100)&gt;8,8,(AG259*100))),0)</f>
        <v>8</v>
      </c>
      <c r="AL262" s="1971"/>
      <c r="AM262" s="1972"/>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3" t="s">
        <v>553</v>
      </c>
      <c r="D267" s="1963"/>
      <c r="E267" s="581"/>
      <c r="F267" s="2120" t="s">
        <v>2337</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1472</v>
      </c>
      <c r="AH267" s="1964"/>
      <c r="AI267" s="1964"/>
      <c r="AJ267" s="1964"/>
      <c r="AK267" s="584"/>
      <c r="AL267" s="584"/>
      <c r="AM267" s="584"/>
      <c r="AO267" s="584"/>
    </row>
    <row r="268" spans="1:52" ht="13.7"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7"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1971">
        <f>IF($C$267="yes",10,0)</f>
        <v>10</v>
      </c>
      <c r="AL274" s="1971"/>
      <c r="AM274" s="1972"/>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72" t="s">
        <v>1491</v>
      </c>
      <c r="B281" s="1672"/>
      <c r="C281" s="1959" t="s">
        <v>599</v>
      </c>
      <c r="D281" s="1963"/>
      <c r="E281" s="581"/>
      <c r="F281" s="1991" t="s">
        <v>1492</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2330</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5" t="s">
        <v>2338</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5" t="s">
        <v>1493</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5" t="s">
        <v>1494</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72" t="s">
        <v>1495</v>
      </c>
      <c r="B291" s="1672"/>
      <c r="C291" s="1963" t="s">
        <v>599</v>
      </c>
      <c r="D291" s="1963"/>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897" t="s">
        <v>2332</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2" t="s">
        <v>1498</v>
      </c>
      <c r="B299" s="1672"/>
      <c r="C299" s="1963" t="s">
        <v>599</v>
      </c>
      <c r="D299" s="1963"/>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1985" t="s">
        <v>2339</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1290</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5" t="s">
        <v>1290</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01" t="s">
        <v>1290</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01" t="s">
        <v>1290</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72" t="s">
        <v>1501</v>
      </c>
      <c r="B322" s="1672"/>
      <c r="C322" s="1963" t="s">
        <v>599</v>
      </c>
      <c r="D322" s="1963"/>
      <c r="E322" s="581"/>
      <c r="F322" s="1891" t="s">
        <v>2340</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1966">
        <f>IF(NOT(OR(Application!M355="Yes",Application!M356="Yes")),0,AP284)</f>
        <v>0</v>
      </c>
      <c r="AL327" s="1967"/>
      <c r="AM327" s="1968"/>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856</v>
      </c>
      <c r="C330" s="570"/>
      <c r="AC330" s="573"/>
      <c r="AE330" s="1900" t="s">
        <v>1423</v>
      </c>
      <c r="AF330" s="1900"/>
      <c r="AG330" s="1900"/>
      <c r="AH330" s="1900"/>
      <c r="AI330" s="1900"/>
      <c r="AJ330" s="1900"/>
      <c r="AK330" s="1900"/>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5" t="s">
        <v>1563</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5"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5"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5"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2407</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5" t="s">
        <v>2569</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5"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5" customHeight="1">
      <c r="A342" s="637"/>
      <c r="B342" s="645"/>
      <c r="C342" s="2005" t="s">
        <v>1564</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5"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15"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5"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8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0</v>
      </c>
      <c r="AS346" s="573" t="s">
        <v>1565</v>
      </c>
    </row>
    <row r="347" spans="1:46" s="584" customFormat="1" ht="12.75"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0</v>
      </c>
      <c r="AS347" s="2026">
        <f>IF(Application!D211="Non-Targeted",(SUM(AQ355+AQ364)),AS351)</f>
        <v>10</v>
      </c>
      <c r="AT347" s="2026"/>
    </row>
    <row r="348" spans="1:46" s="584" customFormat="1" ht="12.75"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7</v>
      </c>
      <c r="AS348" s="573" t="s">
        <v>1566</v>
      </c>
    </row>
    <row r="349" spans="1:46" s="584" customFormat="1" ht="12.75"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0</v>
      </c>
      <c r="AS349" s="2026">
        <f>IF(AND(AQ355&gt;0,AQ364&gt;0),(AQ355+AQ364)/2,0)</f>
        <v>0</v>
      </c>
      <c r="AT349" s="2026"/>
    </row>
    <row r="350" spans="1:46" s="584" customFormat="1" ht="12.75"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589</v>
      </c>
      <c r="AP350" s="730">
        <f>IF(C396="Yes",5,0)</f>
        <v>0</v>
      </c>
      <c r="AS350" s="573" t="s">
        <v>2068</v>
      </c>
    </row>
    <row r="351" spans="1:46" s="584" customFormat="1" ht="12.75" customHeight="1">
      <c r="A351" s="637"/>
      <c r="B351" s="645"/>
      <c r="C351" s="2027" t="s">
        <v>1567</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3</v>
      </c>
      <c r="AS351" s="2026">
        <f>IF(AQ355=0,AQ364,AQ355)</f>
        <v>10</v>
      </c>
      <c r="AT351" s="2026"/>
    </row>
    <row r="352" spans="1:46" s="584" customFormat="1" ht="12.75"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772</v>
      </c>
      <c r="AP352" s="730">
        <f>IF(C401="Yes",5,0)</f>
        <v>0</v>
      </c>
    </row>
    <row r="353" spans="1:81" s="584" customFormat="1" ht="12.75"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592</v>
      </c>
      <c r="AP353" s="730">
        <f>IF(C410="Yes",5,0)</f>
        <v>0</v>
      </c>
    </row>
    <row r="354" spans="1:81" s="584" customFormat="1" ht="11.8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0</v>
      </c>
    </row>
    <row r="355" spans="1:81" s="584" customFormat="1" ht="12.4"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228</v>
      </c>
      <c r="AP355" s="734">
        <f>SUM(AP346:AP354)</f>
        <v>10</v>
      </c>
      <c r="AQ355" s="2028">
        <f>IF(AP355&gt;0,AP355,0)</f>
        <v>10</v>
      </c>
      <c r="AR355" s="2028"/>
    </row>
    <row r="356" spans="1:81" s="584" customFormat="1" ht="12.75"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05" t="s">
        <v>1568</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464</v>
      </c>
      <c r="AP358" s="730">
        <f>IF(C431="Yes",5,0)</f>
        <v>0</v>
      </c>
    </row>
    <row r="359" spans="1:81" s="584" customFormat="1" ht="12.75"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469</v>
      </c>
      <c r="AP359" s="730">
        <f>IF(C438="Yes",5,0)</f>
        <v>0</v>
      </c>
    </row>
    <row r="360" spans="1:81" s="584" customFormat="1" ht="68.099999999999994"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654</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4">
        <f>Application!CS660-U363</f>
        <v>244</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8">
        <f>IF(AP364&gt;0,AP364,0)</f>
        <v>0</v>
      </c>
      <c r="AR364" s="2028"/>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09" t="s">
        <v>1570</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6" t="s">
        <v>599</v>
      </c>
      <c r="D370" s="1963"/>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1572</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09" t="s">
        <v>1573</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5" customHeight="1">
      <c r="A378" s="570"/>
      <c r="B378" s="14"/>
      <c r="C378" s="2006" t="s">
        <v>599</v>
      </c>
      <c r="D378" s="1963"/>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1572</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09" t="s">
        <v>1575</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6" t="s">
        <v>553</v>
      </c>
      <c r="D386" s="1963"/>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1577</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6" t="s">
        <v>599</v>
      </c>
      <c r="D388" s="1963"/>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1572</v>
      </c>
      <c r="AG388" s="2007"/>
      <c r="AH388" s="2007"/>
      <c r="AI388" s="2007"/>
      <c r="AJ388" s="2007"/>
      <c r="AK388" s="2007"/>
      <c r="AL388" s="200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09" t="s">
        <v>1581</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6" t="s">
        <v>599</v>
      </c>
      <c r="D396" s="1963"/>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1572</v>
      </c>
      <c r="AG396" s="2007"/>
      <c r="AH396" s="2007"/>
      <c r="AI396" s="2007"/>
      <c r="AJ396" s="2007"/>
      <c r="AK396" s="2007"/>
      <c r="AL396" s="200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6" t="s">
        <v>553</v>
      </c>
      <c r="D398" s="1963"/>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1584</v>
      </c>
      <c r="AG398" s="2007"/>
      <c r="AH398" s="2007"/>
      <c r="AI398" s="2007"/>
      <c r="AJ398" s="2007"/>
      <c r="AK398" s="2007"/>
      <c r="AL398" s="200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6" t="s">
        <v>599</v>
      </c>
      <c r="D401" s="1963"/>
      <c r="E401" s="749" t="s">
        <v>1585</v>
      </c>
      <c r="F401" s="2009" t="s">
        <v>1586</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1572</v>
      </c>
      <c r="AG402" s="1932"/>
      <c r="AH402" s="1932"/>
      <c r="AI402" s="1932"/>
      <c r="AJ402" s="1932"/>
      <c r="AK402" s="1932"/>
      <c r="AL402" s="2011"/>
      <c r="AM402" s="604"/>
      <c r="AN402" s="631"/>
      <c r="BS402" s="604"/>
      <c r="BT402" s="604"/>
      <c r="BY402" s="604"/>
      <c r="BZ402" s="604"/>
      <c r="CA402" s="604"/>
      <c r="CB402" s="604"/>
      <c r="CC402" s="604"/>
    </row>
    <row r="403" spans="1:81" s="584" customFormat="1" ht="12.75"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09" t="s">
        <v>1588</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5"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5"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5" customHeight="1">
      <c r="A410" s="570"/>
      <c r="B410" s="14"/>
      <c r="C410" s="2006" t="s">
        <v>599</v>
      </c>
      <c r="D410" s="1963"/>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1572</v>
      </c>
      <c r="AG410" s="1932"/>
      <c r="AH410" s="1932"/>
      <c r="AI410" s="1932"/>
      <c r="AJ410" s="1932"/>
      <c r="AK410" s="1932"/>
      <c r="AL410" s="2011"/>
      <c r="AM410" s="604"/>
      <c r="AN410" s="631"/>
    </row>
    <row r="411" spans="1:81" s="584" customFormat="1" ht="12.75" customHeight="1">
      <c r="A411" s="570"/>
      <c r="B411" s="14"/>
      <c r="C411" s="773"/>
      <c r="AL411" s="766"/>
      <c r="AM411" s="604"/>
      <c r="AN411" s="631"/>
    </row>
    <row r="412" spans="1:81" s="584" customFormat="1" ht="12.75" customHeight="1">
      <c r="A412" s="570"/>
      <c r="B412" s="14"/>
      <c r="C412" s="2006" t="s">
        <v>599</v>
      </c>
      <c r="D412" s="1963"/>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1584</v>
      </c>
      <c r="AG412" s="1932"/>
      <c r="AH412" s="1932"/>
      <c r="AI412" s="1932"/>
      <c r="AJ412" s="1932"/>
      <c r="AK412" s="1932"/>
      <c r="AL412" s="201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09" t="s">
        <v>1592</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5"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5" customHeight="1">
      <c r="A419" s="570"/>
      <c r="B419" s="14"/>
      <c r="C419" s="2006" t="s">
        <v>599</v>
      </c>
      <c r="D419" s="1963"/>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1572</v>
      </c>
      <c r="AG419" s="1932"/>
      <c r="AH419" s="1932"/>
      <c r="AI419" s="1932"/>
      <c r="AJ419" s="1932"/>
      <c r="AK419" s="1932"/>
      <c r="AL419" s="201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09" t="s">
        <v>1595</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5"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5"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5"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5"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5"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5" customHeight="1">
      <c r="A431" s="570"/>
      <c r="B431" s="14"/>
      <c r="C431" s="2006" t="s">
        <v>599</v>
      </c>
      <c r="D431" s="1963"/>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1572</v>
      </c>
      <c r="AG431" s="1932"/>
      <c r="AH431" s="1932"/>
      <c r="AI431" s="1932"/>
      <c r="AJ431" s="1932"/>
      <c r="AK431" s="1932"/>
      <c r="AL431" s="201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09" t="s">
        <v>1598</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5"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5"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5"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5" customHeight="1">
      <c r="A438" s="570"/>
      <c r="B438" s="14"/>
      <c r="C438" s="2006" t="s">
        <v>599</v>
      </c>
      <c r="D438" s="1963"/>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1572</v>
      </c>
      <c r="AG438" s="1932"/>
      <c r="AH438" s="1932"/>
      <c r="AI438" s="1932"/>
      <c r="AJ438" s="1932"/>
      <c r="AK438" s="1932"/>
      <c r="AL438" s="201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2" t="s">
        <v>599</v>
      </c>
      <c r="D442" s="2013"/>
      <c r="E442" s="749" t="s">
        <v>1607</v>
      </c>
      <c r="F442" s="2009" t="s">
        <v>1608</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1572</v>
      </c>
      <c r="AG442" s="2030"/>
      <c r="AH442" s="2030"/>
      <c r="AI442" s="2030"/>
      <c r="AJ442" s="2030"/>
      <c r="AK442" s="2030"/>
      <c r="AL442" s="2031"/>
      <c r="AM442" s="604"/>
      <c r="AN442" s="787"/>
    </row>
    <row r="443" spans="1:40" s="584" customFormat="1" ht="12.75"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649999999999999"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6" t="s">
        <v>599</v>
      </c>
      <c r="D446" s="1963"/>
      <c r="E446" s="749" t="s">
        <v>1613</v>
      </c>
      <c r="F446" s="2009" t="s">
        <v>1614</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1572</v>
      </c>
      <c r="AG446" s="2030"/>
      <c r="AH446" s="2030"/>
      <c r="AI446" s="2030"/>
      <c r="AJ446" s="2030"/>
      <c r="AK446" s="2030"/>
      <c r="AL446" s="2031"/>
      <c r="AM446" s="604"/>
      <c r="AN446" s="569"/>
    </row>
    <row r="447" spans="1:40" s="584" customFormat="1" ht="12.75"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5"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5"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09" t="s">
        <v>1617</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5"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5"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5"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5" customHeight="1">
      <c r="A455" s="570"/>
      <c r="B455" s="14"/>
      <c r="C455" s="2006" t="s">
        <v>599</v>
      </c>
      <c r="D455" s="1963"/>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1572</v>
      </c>
      <c r="AG455" s="2007"/>
      <c r="AH455" s="2007"/>
      <c r="AI455" s="2007"/>
      <c r="AJ455" s="2007"/>
      <c r="AK455" s="2007"/>
      <c r="AL455" s="200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1966">
        <f>IF(Application!D214="N/A",AS347,AS349)</f>
        <v>10</v>
      </c>
      <c r="AL458" s="1967"/>
      <c r="AM458" s="1968"/>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07" t="s">
        <v>1621</v>
      </c>
      <c r="AF461" s="2007"/>
      <c r="AG461" s="2007"/>
      <c r="AH461" s="2007"/>
      <c r="AI461" s="2007"/>
      <c r="AJ461" s="2007"/>
      <c r="AK461" s="2007"/>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32" t="s">
        <v>599</v>
      </c>
      <c r="D467" s="2033"/>
      <c r="E467" s="795" t="s">
        <v>515</v>
      </c>
      <c r="F467" s="2034" t="s">
        <v>1627</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36" t="s">
        <v>599</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37" t="s">
        <v>553</v>
      </c>
      <c r="D471" s="2038"/>
      <c r="E471" s="795" t="s">
        <v>766</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44" t="s">
        <v>599</v>
      </c>
      <c r="W474" s="2044"/>
      <c r="X474" s="2044"/>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44" t="s">
        <v>599</v>
      </c>
      <c r="W476" s="2044"/>
      <c r="X476" s="2044"/>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44" t="s">
        <v>599</v>
      </c>
      <c r="W481" s="2044"/>
      <c r="X481" s="2044"/>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43"/>
      <c r="E484" s="2043"/>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44" t="s">
        <v>599</v>
      </c>
      <c r="W485" s="2044"/>
      <c r="X485" s="2044"/>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44" t="s">
        <v>599</v>
      </c>
      <c r="W487" s="2044"/>
      <c r="X487" s="2044"/>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2" t="s">
        <v>599</v>
      </c>
      <c r="D490" s="2033"/>
      <c r="E490" s="795" t="s">
        <v>515</v>
      </c>
      <c r="F490" s="2034" t="s">
        <v>1627</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9" t="s">
        <v>599</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2" t="s">
        <v>599</v>
      </c>
      <c r="D494" s="2033"/>
      <c r="E494" s="795" t="s">
        <v>766</v>
      </c>
      <c r="F494" s="2040" t="s">
        <v>1649</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599</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599</v>
      </c>
      <c r="D499" s="2033"/>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599</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7" t="s">
        <v>599</v>
      </c>
      <c r="D504" s="2058"/>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7" t="s">
        <v>599</v>
      </c>
      <c r="D508" s="2058"/>
      <c r="F508" s="829" t="s">
        <v>1657</v>
      </c>
      <c r="G508" s="2010" t="s">
        <v>1658</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5" t="s">
        <v>599</v>
      </c>
      <c r="D512" s="2046"/>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7" t="s">
        <v>599</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1670</v>
      </c>
      <c r="AF527" s="1900"/>
      <c r="AG527" s="1900"/>
      <c r="AH527" s="1900"/>
      <c r="AI527" s="1900"/>
      <c r="AJ527" s="1900"/>
      <c r="AK527" s="1900"/>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3" t="s">
        <v>553</v>
      </c>
      <c r="D530" s="1963"/>
      <c r="E530" s="585"/>
      <c r="F530" s="2049" t="s">
        <v>1671</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5"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3" t="s">
        <v>599</v>
      </c>
      <c r="D533" s="1963"/>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5" t="s">
        <v>1673</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5"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5" t="s">
        <v>1674</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5"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75132360</v>
      </c>
      <c r="AQ539" s="2113"/>
      <c r="AR539" s="2113"/>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'Sources and Uses Budget'!S107+'Sources and Uses Budget'!T107</f>
        <v>51691703.050000004</v>
      </c>
      <c r="AG540" s="1969"/>
      <c r="AH540" s="1969"/>
      <c r="AI540" s="1969"/>
      <c r="AJ540" s="1969"/>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97672068</v>
      </c>
      <c r="AG541" s="2118"/>
      <c r="AH541" s="2118"/>
      <c r="AI541" s="2118"/>
      <c r="AJ541" s="2118"/>
      <c r="AK541" s="629"/>
      <c r="AL541" s="629"/>
      <c r="AM541" s="629"/>
      <c r="AN541" s="631"/>
      <c r="AP541" s="2113">
        <f>Application!AJ1044</f>
        <v>7513236</v>
      </c>
      <c r="AQ541" s="2113"/>
      <c r="AR541" s="2113"/>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IFERROR(ROUNDDOWN(IF(C533="YES",((1-(AF540/AF541))*2),(1-(AF540/AF541))),2),0)</f>
        <v>0.47</v>
      </c>
      <c r="AG542" s="2119"/>
      <c r="AH542" s="2119"/>
      <c r="AI542" s="2119"/>
      <c r="AJ542" s="2119"/>
      <c r="AK542" s="629"/>
      <c r="AL542" s="629"/>
      <c r="AM542" s="629"/>
      <c r="AN542" s="631"/>
      <c r="AP542" s="2116">
        <f>Application!AJ1048</f>
        <v>15026472</v>
      </c>
      <c r="AQ542" s="2116"/>
      <c r="AR542" s="2116"/>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0.3</v>
      </c>
      <c r="AQ543" s="2112"/>
      <c r="AR543" s="2112"/>
      <c r="AS543" s="584" t="s">
        <v>2532</v>
      </c>
    </row>
    <row r="544" spans="1:49" s="584" customFormat="1" ht="12.75" customHeight="1">
      <c r="A544" s="658"/>
      <c r="B544" s="2065" t="s">
        <v>2344</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5"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75132360</v>
      </c>
      <c r="AQ545" s="2021"/>
      <c r="AR545" s="2021"/>
      <c r="AS545" s="584" t="s">
        <v>2534</v>
      </c>
    </row>
    <row r="546" spans="1:45" s="584" customFormat="1" ht="12.75"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97672068</v>
      </c>
      <c r="AQ546" s="2113"/>
      <c r="AR546" s="2113"/>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074">
        <f>IFERROR(IF(AND(C530="N/A",C533="N/A"),0,IF(AF542=0,0,IF((AF542*100)&gt;12,12,(AF542*100)))),0)</f>
        <v>12</v>
      </c>
      <c r="AL548" s="2074"/>
      <c r="AM548" s="2075"/>
      <c r="AN548" s="631"/>
      <c r="AP548" s="2129">
        <f>AP545+(AP539*AP543)</f>
        <v>97672068</v>
      </c>
      <c r="AQ548" s="2130"/>
      <c r="AR548" s="2131"/>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1423</v>
      </c>
      <c r="AF551" s="1900"/>
      <c r="AG551" s="1900"/>
      <c r="AH551" s="1900"/>
      <c r="AI551" s="1900"/>
      <c r="AJ551" s="1900"/>
      <c r="AK551" s="1900"/>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6" t="s">
        <v>2335</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5"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5"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5"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5"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5"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5"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5"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5"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1447</v>
      </c>
      <c r="AG567" s="1932"/>
      <c r="AH567" s="1932"/>
      <c r="AI567" s="1932"/>
      <c r="AJ567" s="1932"/>
      <c r="AK567" s="1932"/>
      <c r="AL567" s="1932"/>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1505</v>
      </c>
      <c r="AG574" s="1932"/>
      <c r="AH574" s="1932"/>
      <c r="AI574" s="1932"/>
      <c r="AJ574" s="1932"/>
      <c r="AK574" s="1932"/>
      <c r="AL574" s="1932"/>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1487</v>
      </c>
      <c r="AG580" s="1932"/>
      <c r="AH580" s="1932"/>
      <c r="AI580" s="1932"/>
      <c r="AJ580" s="1932"/>
      <c r="AK580" s="1932"/>
      <c r="AL580" s="1932"/>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1508</v>
      </c>
      <c r="AG586" s="1932"/>
      <c r="AH586" s="1932"/>
      <c r="AI586" s="1932"/>
      <c r="AJ586" s="1932"/>
      <c r="AK586" s="1932"/>
      <c r="AL586" s="1932"/>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17" t="s">
        <v>1290</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1461</v>
      </c>
      <c r="AG592" s="1932"/>
      <c r="AH592" s="1932"/>
      <c r="AI592" s="1932"/>
      <c r="AJ592" s="1932"/>
      <c r="AK592" s="1932"/>
      <c r="AL592" s="1932"/>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15" t="s">
        <v>696</v>
      </c>
      <c r="I595" s="2015"/>
      <c r="J595" s="971"/>
      <c r="K595" s="971"/>
      <c r="L595" s="971"/>
      <c r="N595" s="22"/>
      <c r="O595" s="22"/>
      <c r="P595" s="22"/>
      <c r="Q595" s="1195" t="s">
        <v>2537</v>
      </c>
      <c r="R595" s="2018"/>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16" t="s">
        <v>599</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59" t="s">
        <v>599</v>
      </c>
      <c r="C605" s="1959"/>
      <c r="D605" s="676"/>
      <c r="E605" s="1986" t="s">
        <v>1512</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5"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5"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5"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1966">
        <f>VLOOKUP($H$595,$AO$575:$AP$580,2,FALSE)+IF(R595=AO583,0,VLOOKUP($I$603,$AO$602:$AP$604,2,FALSE))</f>
        <v>7</v>
      </c>
      <c r="AK610" s="1968"/>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14" t="s">
        <v>1882</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1461</v>
      </c>
      <c r="AG614" s="1932"/>
      <c r="AH614" s="1932"/>
      <c r="AI614" s="1932"/>
      <c r="AJ614" s="1932"/>
      <c r="AK614" s="1932"/>
      <c r="AL614" s="1932"/>
      <c r="AM614" s="584"/>
      <c r="AN614" s="712"/>
    </row>
    <row r="615" spans="1:42" s="584" customFormat="1" ht="12.75"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5"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5"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5"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5"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5"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5"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59" t="s">
        <v>599</v>
      </c>
      <c r="Y623" s="1959"/>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1517</v>
      </c>
      <c r="AG625" s="1932"/>
      <c r="AH625" s="1932"/>
      <c r="AI625" s="1932"/>
      <c r="AJ625" s="1932"/>
      <c r="AK625" s="1932"/>
      <c r="AL625" s="1932"/>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15" t="s">
        <v>696</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1966">
        <f>VLOOKUP($H$627,$AO$594:$AP$596,2,FALSE)</f>
        <v>3</v>
      </c>
      <c r="AK629" s="1968"/>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86" t="s">
        <v>2414</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1461</v>
      </c>
      <c r="AG633" s="1932"/>
      <c r="AH633" s="1932"/>
      <c r="AI633" s="1932"/>
      <c r="AJ633" s="1932"/>
      <c r="AK633" s="1932"/>
      <c r="AL633" s="1932"/>
      <c r="AN633" s="631"/>
    </row>
    <row r="634" spans="1:42" s="584" customFormat="1" ht="12.75"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1517</v>
      </c>
      <c r="AG636" s="1932"/>
      <c r="AH636" s="1932"/>
      <c r="AI636" s="1932"/>
      <c r="AJ636" s="1932"/>
      <c r="AK636" s="1932"/>
      <c r="AL636" s="1932"/>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15" t="s">
        <v>517</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1966">
        <f>VLOOKUP(H639,AT594:AU596,2,FALSE)</f>
        <v>2</v>
      </c>
      <c r="AK641" s="1968"/>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86" t="s">
        <v>1527</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1487</v>
      </c>
      <c r="AG646" s="1932"/>
      <c r="AH646" s="1932"/>
      <c r="AI646" s="1932"/>
      <c r="AJ646" s="1932"/>
      <c r="AK646" s="1932"/>
      <c r="AL646" s="1932"/>
      <c r="AN646" s="631"/>
    </row>
    <row r="647" spans="1:42" s="584" customFormat="1" ht="12.75"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5"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86" t="s">
        <v>1528</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1508</v>
      </c>
      <c r="AG650" s="1932"/>
      <c r="AH650" s="1932"/>
      <c r="AI650" s="1932"/>
      <c r="AJ650" s="1932"/>
      <c r="AK650" s="1932"/>
      <c r="AL650" s="1932"/>
      <c r="AN650" s="631"/>
    </row>
    <row r="651" spans="1:42" s="584" customFormat="1" ht="12.75"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6" t="s">
        <v>1529</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1461</v>
      </c>
      <c r="AG654" s="1932"/>
      <c r="AH654" s="1932"/>
      <c r="AI654" s="1932"/>
      <c r="AJ654" s="1932"/>
      <c r="AK654" s="1932"/>
      <c r="AL654" s="1932"/>
      <c r="AN654" s="631"/>
    </row>
    <row r="655" spans="1:42" s="584" customFormat="1" ht="12.75"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599</v>
      </c>
      <c r="AP655" s="707">
        <v>0</v>
      </c>
    </row>
    <row r="656" spans="1:42" s="584" customFormat="1" ht="12.75"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1986" t="s">
        <v>1530</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1508</v>
      </c>
      <c r="AG658" s="1932"/>
      <c r="AH658" s="1932"/>
      <c r="AI658" s="1932"/>
      <c r="AJ658" s="1932"/>
      <c r="AK658" s="1932"/>
      <c r="AL658" s="1932"/>
      <c r="AN658" s="631"/>
    </row>
    <row r="659" spans="1:42" s="584" customFormat="1" ht="12.75"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1986" t="s">
        <v>1531</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1461</v>
      </c>
      <c r="AG662" s="1932"/>
      <c r="AH662" s="1932"/>
      <c r="AI662" s="1932"/>
      <c r="AJ662" s="1932"/>
      <c r="AK662" s="1932"/>
      <c r="AL662" s="1932"/>
      <c r="AM662" s="630"/>
      <c r="AN662" s="631"/>
    </row>
    <row r="663" spans="1:42" s="584" customFormat="1" ht="12.75"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5"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1986" t="s">
        <v>1532</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1517</v>
      </c>
      <c r="AG666" s="1932"/>
      <c r="AH666" s="1932"/>
      <c r="AI666" s="1932"/>
      <c r="AJ666" s="1932"/>
      <c r="AK666" s="1932"/>
      <c r="AL666" s="1932"/>
      <c r="AM666" s="630"/>
      <c r="AN666" s="631"/>
    </row>
    <row r="667" spans="1:42" s="584" customFormat="1" ht="12.75"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1986" t="s">
        <v>1533</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1534</v>
      </c>
      <c r="AG670" s="1932"/>
      <c r="AH670" s="1932"/>
      <c r="AI670" s="1932"/>
      <c r="AJ670" s="1932"/>
      <c r="AK670" s="1932"/>
      <c r="AL670" s="1932"/>
      <c r="AM670" s="630"/>
      <c r="AN670" s="631"/>
      <c r="AO670" s="645" t="s">
        <v>696</v>
      </c>
      <c r="AP670" s="584">
        <v>3</v>
      </c>
    </row>
    <row r="671" spans="1:42" s="584" customFormat="1" ht="12.75"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15" t="s">
        <v>696</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1966">
        <f>VLOOKUP($H$674,$AO$622:$AP$629,2,FALSE)</f>
        <v>5</v>
      </c>
      <c r="AK676" s="1968"/>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196</v>
      </c>
    </row>
    <row r="680" spans="1:51" s="584" customFormat="1" ht="12.75" customHeight="1">
      <c r="A680" s="713"/>
      <c r="B680" s="570"/>
      <c r="C680" s="983"/>
      <c r="D680" s="697" t="s">
        <v>696</v>
      </c>
      <c r="E680" s="2022" t="s">
        <v>2550</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1461</v>
      </c>
      <c r="AG680" s="1932"/>
      <c r="AH680" s="1932"/>
      <c r="AI680" s="1932"/>
      <c r="AJ680" s="1932"/>
      <c r="AK680" s="1932"/>
      <c r="AL680" s="1932"/>
      <c r="AN680" s="631"/>
      <c r="AW680" s="22" t="s">
        <v>2545</v>
      </c>
      <c r="AX680" s="584">
        <f>Application!CC632</f>
        <v>0</v>
      </c>
    </row>
    <row r="681" spans="1:51" s="584" customFormat="1" ht="12.75"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1986" t="s">
        <v>2451</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1461</v>
      </c>
      <c r="AG683" s="1932"/>
      <c r="AH683" s="1932"/>
      <c r="AI683" s="1932"/>
      <c r="AJ683" s="1932"/>
      <c r="AK683" s="1932"/>
      <c r="AL683" s="1932"/>
      <c r="AN683" s="631"/>
      <c r="AW683" s="22" t="s">
        <v>2548</v>
      </c>
      <c r="AX683" s="584">
        <f>AX680+AX681+AX682</f>
        <v>0</v>
      </c>
    </row>
    <row r="684" spans="1:51" s="584" customFormat="1" ht="12.75"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0</v>
      </c>
      <c r="AP684" s="2021"/>
      <c r="AW684" s="22" t="s">
        <v>2549</v>
      </c>
      <c r="AX684" s="584">
        <f>IFERROR(AX683/AX679,0)</f>
        <v>0</v>
      </c>
      <c r="AY684" s="584">
        <f>IFERROR(AX683/(AX679-AX678),0)</f>
        <v>0</v>
      </c>
    </row>
    <row r="685" spans="1:51" s="584" customFormat="1" ht="12.75"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279</v>
      </c>
      <c r="E688" s="1986" t="s">
        <v>2452</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1517</v>
      </c>
      <c r="AG688" s="1932"/>
      <c r="AH688" s="1932"/>
      <c r="AI688" s="1932"/>
      <c r="AJ688" s="1932"/>
      <c r="AK688" s="1932"/>
      <c r="AL688" s="1932"/>
      <c r="AN688" s="631"/>
      <c r="AO688" s="645" t="s">
        <v>517</v>
      </c>
      <c r="AP688" s="584">
        <v>1</v>
      </c>
    </row>
    <row r="689" spans="1:42" s="584" customFormat="1" ht="12"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86" t="s">
        <v>1881</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15" t="s">
        <v>599</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6">
        <f>VLOOKUP($H$698,$AO$692:$AP$695,2,FALSE)</f>
        <v>0</v>
      </c>
      <c r="AK700" s="1968"/>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696</v>
      </c>
      <c r="E704" s="2023" t="s">
        <v>1883</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1461</v>
      </c>
      <c r="AG704" s="1932"/>
      <c r="AH704" s="1932"/>
      <c r="AI704" s="1932"/>
      <c r="AJ704" s="1932"/>
      <c r="AK704" s="1932"/>
      <c r="AL704" s="1932"/>
      <c r="AM704" s="584"/>
      <c r="AN704" s="718"/>
      <c r="AP704" s="604" t="s">
        <v>1541</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24" t="s">
        <v>1544</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1517</v>
      </c>
      <c r="AG708" s="1932"/>
      <c r="AH708" s="1932"/>
      <c r="AI708" s="1932"/>
      <c r="AJ708" s="1932"/>
      <c r="AK708" s="1932"/>
      <c r="AL708" s="1932"/>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15" t="s">
        <v>599</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1966">
        <f>VLOOKUP($H$712,$AP$709:$AQ$711,2,FALSE)</f>
        <v>0</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86" t="s">
        <v>1884</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1461</v>
      </c>
      <c r="AG718" s="1932"/>
      <c r="AH718" s="1932"/>
      <c r="AI718" s="1932"/>
      <c r="AJ718" s="1932"/>
      <c r="AK718" s="1932"/>
      <c r="AL718" s="1932"/>
      <c r="AM718" s="584"/>
      <c r="AN718" s="718"/>
      <c r="AT718" s="14"/>
      <c r="AU718" s="14"/>
      <c r="AV718" s="14"/>
      <c r="AW718" s="14"/>
      <c r="AX718" s="14"/>
      <c r="AY718" s="14"/>
      <c r="AZ718" s="14"/>
    </row>
    <row r="719" spans="1:52" s="604" customFormat="1">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86" t="s">
        <v>1548</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1517</v>
      </c>
      <c r="AG721" s="1932"/>
      <c r="AH721" s="1932"/>
      <c r="AI721" s="1932"/>
      <c r="AJ721" s="1932"/>
      <c r="AK721" s="1932"/>
      <c r="AL721" s="1932"/>
      <c r="AM721" s="584"/>
      <c r="AN721" s="718"/>
      <c r="AT721" s="14"/>
      <c r="AU721" s="14"/>
      <c r="AV721" s="14"/>
      <c r="AW721" s="14"/>
      <c r="AX721" s="14"/>
      <c r="AY721" s="14"/>
      <c r="AZ721" s="14"/>
    </row>
    <row r="722" spans="1:81" s="604" customFormat="1">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15" t="s">
        <v>599</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86" t="s">
        <v>1551</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1461</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86" t="s">
        <v>1552</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1517</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15" t="s">
        <v>696</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1966">
        <f>VLOOKUP($H$740,$AO$669:$AP$671,2,FALSE)</f>
        <v>3</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86" t="s">
        <v>1554</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1517</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86" t="s">
        <v>1555</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1534</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15" t="s">
        <v>696</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1966">
        <f>VLOOKUP($H$752,$AO$686:$AP$688,2,FALSE)</f>
        <v>2</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86" t="s">
        <v>1880</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1517</v>
      </c>
      <c r="AG758" s="1932"/>
      <c r="AH758" s="1932"/>
      <c r="AI758" s="1932"/>
      <c r="AJ758" s="1932"/>
      <c r="AK758" s="1932"/>
      <c r="AL758" s="1932"/>
      <c r="AM758" s="647"/>
      <c r="AN758" s="718"/>
      <c r="AO758" s="584" t="s">
        <v>599</v>
      </c>
      <c r="AP758" s="707">
        <v>0</v>
      </c>
    </row>
    <row r="759" spans="1:74" s="604" customFormat="1" ht="13.7"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5" t="s">
        <v>1885</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1461</v>
      </c>
      <c r="AG763" s="1932"/>
      <c r="AH763" s="1932"/>
      <c r="AI763" s="1932"/>
      <c r="AJ763" s="1932"/>
      <c r="AK763" s="1932"/>
      <c r="AL763" s="1932"/>
      <c r="AM763" s="647"/>
      <c r="AN763" s="631"/>
    </row>
    <row r="764" spans="1:74" s="584" customFormat="1" ht="12.75"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5"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5"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15" t="s">
        <v>599</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1966">
        <f>VLOOKUP($H$768,$AO$758:$AP$760,2,FALSE)</f>
        <v>0</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86" t="s">
        <v>2345</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1461</v>
      </c>
      <c r="AG774" s="1932"/>
      <c r="AH774" s="1932"/>
      <c r="AI774" s="1932"/>
      <c r="AJ774" s="1932"/>
      <c r="AK774" s="1932"/>
      <c r="AL774" s="1932"/>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15" t="s">
        <v>599</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1966">
        <f>VLOOKUP($H$779,$AO$773:$AP$774,2,FALSE)</f>
        <v>0</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1966">
        <f>IF(($AJ$610+$AJ$629+$AJ$641+$AJ$676+$AJ$700+$AJ$714+$AJ$726+$AJ$742+$AJ$754+$AJ$770+AJ781)&gt;10,10,($AJ$610+$AJ$629+$AJ$641+$AJ$676+$AJ$700+$AJ$714+$AJ$726+$AJ$742+$AJ$754+$AJ$770+AJ781))</f>
        <v>10</v>
      </c>
      <c r="AL783" s="1967"/>
      <c r="AM783" s="1968"/>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1678</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1679</v>
      </c>
      <c r="U791" s="2080"/>
      <c r="V791" s="2080"/>
      <c r="W791" s="2080"/>
      <c r="X791" s="2080"/>
      <c r="Y791" s="2081"/>
      <c r="Z791" s="2079" t="s">
        <v>1680</v>
      </c>
      <c r="AA791" s="2080"/>
      <c r="AB791" s="2080"/>
      <c r="AC791" s="2080"/>
      <c r="AD791" s="2080"/>
      <c r="AE791" s="2081"/>
      <c r="AF791" s="2079" t="s">
        <v>1681</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766</v>
      </c>
      <c r="B793" s="2059" t="s">
        <v>1413</v>
      </c>
      <c r="C793" s="2059"/>
      <c r="D793" s="2059"/>
      <c r="E793" s="2059"/>
      <c r="F793" s="2059"/>
      <c r="G793" s="2059"/>
      <c r="H793" s="2059"/>
      <c r="I793" s="2059"/>
      <c r="J793" s="2059"/>
      <c r="K793" s="2059"/>
      <c r="L793" s="2059"/>
      <c r="M793" s="2059"/>
      <c r="N793" s="2059"/>
      <c r="O793" s="2059"/>
      <c r="P793" s="2059"/>
      <c r="Q793" s="2059"/>
      <c r="R793" s="2059"/>
      <c r="S793" s="2060"/>
      <c r="T793" s="2061">
        <f>AK56</f>
        <v>20</v>
      </c>
      <c r="U793" s="2062"/>
      <c r="V793" s="2062"/>
      <c r="W793" s="2062"/>
      <c r="X793" s="2062"/>
      <c r="Y793" s="2063"/>
      <c r="Z793" s="2064">
        <v>20</v>
      </c>
      <c r="AA793" s="2062"/>
      <c r="AB793" s="2062"/>
      <c r="AC793" s="2062"/>
      <c r="AD793" s="2062"/>
      <c r="AE793" s="2063"/>
      <c r="AF793" s="2028">
        <f>IF(T793&gt;Z793,Z793,T793)</f>
        <v>20</v>
      </c>
      <c r="AG793" s="2028"/>
      <c r="AH793" s="2028"/>
      <c r="AI793" s="2028"/>
      <c r="AJ793" s="2028"/>
      <c r="AK793" s="2028"/>
      <c r="AL793" s="852"/>
      <c r="AM793" s="630"/>
      <c r="AO793" s="850"/>
      <c r="AP793" s="850"/>
      <c r="AQ793" s="850"/>
    </row>
    <row r="794" spans="1:43">
      <c r="A794" s="853" t="s">
        <v>1651</v>
      </c>
      <c r="B794" s="2059" t="s">
        <v>1422</v>
      </c>
      <c r="C794" s="2059"/>
      <c r="D794" s="2059"/>
      <c r="E794" s="2059"/>
      <c r="F794" s="2059"/>
      <c r="G794" s="2059"/>
      <c r="H794" s="2059"/>
      <c r="I794" s="2059"/>
      <c r="J794" s="2059"/>
      <c r="K794" s="2059"/>
      <c r="L794" s="2059"/>
      <c r="M794" s="2059"/>
      <c r="N794" s="2059"/>
      <c r="O794" s="2059"/>
      <c r="P794" s="2059"/>
      <c r="Q794" s="2059"/>
      <c r="R794" s="2059"/>
      <c r="S794" s="2060"/>
      <c r="T794" s="2061">
        <f>AK78</f>
        <v>0</v>
      </c>
      <c r="U794" s="2062"/>
      <c r="V794" s="2062"/>
      <c r="W794" s="2062"/>
      <c r="X794" s="2062"/>
      <c r="Y794" s="2063"/>
      <c r="Z794" s="2064">
        <v>10</v>
      </c>
      <c r="AA794" s="2062"/>
      <c r="AB794" s="2062"/>
      <c r="AC794" s="2062"/>
      <c r="AD794" s="2062"/>
      <c r="AE794" s="2063"/>
      <c r="AF794" s="2028">
        <f>IF(T794&gt;Z794,Z794,T794)</f>
        <v>0</v>
      </c>
      <c r="AG794" s="2028"/>
      <c r="AH794" s="2028"/>
      <c r="AI794" s="2028"/>
      <c r="AJ794" s="2028"/>
      <c r="AK794" s="2028"/>
      <c r="AL794" s="852"/>
      <c r="AM794" s="630"/>
      <c r="AO794" s="850"/>
      <c r="AP794" s="850"/>
      <c r="AQ794" s="850"/>
    </row>
    <row r="795" spans="1:43">
      <c r="A795" s="853" t="s">
        <v>1660</v>
      </c>
      <c r="B795" s="2059" t="s">
        <v>1432</v>
      </c>
      <c r="C795" s="2059"/>
      <c r="D795" s="2059"/>
      <c r="E795" s="2059"/>
      <c r="F795" s="2059"/>
      <c r="G795" s="2059"/>
      <c r="H795" s="2059"/>
      <c r="I795" s="2059"/>
      <c r="J795" s="2059"/>
      <c r="K795" s="2059"/>
      <c r="L795" s="2059"/>
      <c r="M795" s="2059"/>
      <c r="N795" s="2059"/>
      <c r="O795" s="2059"/>
      <c r="P795" s="2059"/>
      <c r="Q795" s="2059"/>
      <c r="R795" s="2059"/>
      <c r="S795" s="2060"/>
      <c r="T795" s="2061">
        <f ca="1">AK103</f>
        <v>20</v>
      </c>
      <c r="U795" s="2062"/>
      <c r="V795" s="2062"/>
      <c r="W795" s="2062"/>
      <c r="X795" s="2062"/>
      <c r="Y795" s="2063"/>
      <c r="Z795" s="2064">
        <v>20</v>
      </c>
      <c r="AA795" s="2062"/>
      <c r="AB795" s="2062"/>
      <c r="AC795" s="2062"/>
      <c r="AD795" s="2062"/>
      <c r="AE795" s="2063"/>
      <c r="AF795" s="2028">
        <f ca="1">IF(T795&gt;Z795,Z795,T795)</f>
        <v>20</v>
      </c>
      <c r="AG795" s="2028"/>
      <c r="AH795" s="2028"/>
      <c r="AI795" s="2028"/>
      <c r="AJ795" s="2028"/>
      <c r="AK795" s="2028"/>
      <c r="AL795" s="852"/>
      <c r="AM795" s="630"/>
      <c r="AO795" s="850"/>
      <c r="AP795" s="850"/>
      <c r="AQ795" s="850"/>
    </row>
    <row r="796" spans="1:43">
      <c r="A796" s="853" t="s">
        <v>1682</v>
      </c>
      <c r="B796" s="2059" t="s">
        <v>1442</v>
      </c>
      <c r="C796" s="2059"/>
      <c r="D796" s="2059"/>
      <c r="E796" s="2059"/>
      <c r="F796" s="2059"/>
      <c r="G796" s="2059"/>
      <c r="H796" s="2059"/>
      <c r="I796" s="2059"/>
      <c r="J796" s="2059"/>
      <c r="K796" s="2059"/>
      <c r="L796" s="2059"/>
      <c r="M796" s="2059"/>
      <c r="N796" s="2059"/>
      <c r="O796" s="2059"/>
      <c r="P796" s="2059"/>
      <c r="Q796" s="2059"/>
      <c r="R796" s="2059"/>
      <c r="S796" s="2060"/>
      <c r="T796" s="2061">
        <f>AK137</f>
        <v>10</v>
      </c>
      <c r="U796" s="2062"/>
      <c r="V796" s="2062"/>
      <c r="W796" s="2062"/>
      <c r="X796" s="2062"/>
      <c r="Y796" s="2063"/>
      <c r="Z796" s="2064">
        <v>10</v>
      </c>
      <c r="AA796" s="2062"/>
      <c r="AB796" s="2062"/>
      <c r="AC796" s="2062"/>
      <c r="AD796" s="2062"/>
      <c r="AE796" s="2063"/>
      <c r="AF796" s="2028">
        <f>IF(T796&gt;Z796,Z796,T796)</f>
        <v>10</v>
      </c>
      <c r="AG796" s="2028"/>
      <c r="AH796" s="2028"/>
      <c r="AI796" s="2028"/>
      <c r="AJ796" s="2028"/>
      <c r="AK796" s="2028"/>
      <c r="AL796" s="852"/>
      <c r="AM796" s="630"/>
      <c r="AO796" s="850"/>
      <c r="AP796" s="850"/>
      <c r="AQ796" s="850"/>
    </row>
    <row r="797" spans="1:43">
      <c r="A797" s="854" t="s">
        <v>1683</v>
      </c>
      <c r="B797" s="2059" t="s">
        <v>1684</v>
      </c>
      <c r="C797" s="2059"/>
      <c r="D797" s="2059"/>
      <c r="E797" s="2059"/>
      <c r="F797" s="2059"/>
      <c r="G797" s="2059"/>
      <c r="H797" s="2059"/>
      <c r="I797" s="2059"/>
      <c r="J797" s="2059"/>
      <c r="K797" s="2059"/>
      <c r="L797" s="2059"/>
      <c r="M797" s="2059"/>
      <c r="N797" s="2059"/>
      <c r="O797" s="2059"/>
      <c r="P797" s="2059"/>
      <c r="Q797" s="2059"/>
      <c r="R797" s="2059"/>
      <c r="S797" s="2060"/>
      <c r="T797" s="2085">
        <f>SUM(T798:Y799)</f>
        <v>10</v>
      </c>
      <c r="U797" s="2085"/>
      <c r="V797" s="2085"/>
      <c r="W797" s="2085"/>
      <c r="X797" s="2085"/>
      <c r="Y797" s="2085"/>
      <c r="Z797" s="2028">
        <v>10</v>
      </c>
      <c r="AA797" s="2028"/>
      <c r="AB797" s="2028"/>
      <c r="AC797" s="2028"/>
      <c r="AD797" s="2028"/>
      <c r="AE797" s="2028"/>
      <c r="AF797" s="2028">
        <f>IF(T797&gt;Z797,Z797,T797)</f>
        <v>10</v>
      </c>
      <c r="AG797" s="2028"/>
      <c r="AH797" s="2028"/>
      <c r="AI797" s="2028"/>
      <c r="AJ797" s="2028"/>
      <c r="AK797" s="2028"/>
      <c r="AL797" s="852"/>
      <c r="AM797" s="630"/>
    </row>
    <row r="798" spans="1:43">
      <c r="A798" s="569"/>
      <c r="B798" s="635"/>
      <c r="C798" s="2086" t="s">
        <v>1685</v>
      </c>
      <c r="D798" s="2086"/>
      <c r="E798" s="2086"/>
      <c r="F798" s="2086"/>
      <c r="G798" s="2086"/>
      <c r="H798" s="2086"/>
      <c r="I798" s="2086"/>
      <c r="J798" s="2086"/>
      <c r="K798" s="2086"/>
      <c r="L798" s="2086"/>
      <c r="M798" s="2086"/>
      <c r="N798" s="2086"/>
      <c r="O798" s="2086"/>
      <c r="P798" s="2086"/>
      <c r="Q798" s="2086"/>
      <c r="R798" s="2086"/>
      <c r="S798" s="2087"/>
      <c r="T798" s="1961">
        <f>AJ155</f>
        <v>7</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1686</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1470</v>
      </c>
      <c r="B800" s="2059" t="s">
        <v>1687</v>
      </c>
      <c r="C800" s="2059"/>
      <c r="D800" s="2059"/>
      <c r="E800" s="2059"/>
      <c r="F800" s="2059"/>
      <c r="G800" s="2059"/>
      <c r="H800" s="2059"/>
      <c r="I800" s="2059"/>
      <c r="J800" s="2059"/>
      <c r="K800" s="2059"/>
      <c r="L800" s="2059"/>
      <c r="M800" s="2059"/>
      <c r="N800" s="2059"/>
      <c r="O800" s="2059"/>
      <c r="P800" s="2059"/>
      <c r="Q800" s="2059"/>
      <c r="R800" s="2059"/>
      <c r="S800" s="2060"/>
      <c r="T800" s="2085">
        <f>AK180</f>
        <v>0</v>
      </c>
      <c r="U800" s="2085"/>
      <c r="V800" s="2085"/>
      <c r="W800" s="2085"/>
      <c r="X800" s="2085"/>
      <c r="Y800" s="2085"/>
      <c r="Z800" s="2028">
        <v>10</v>
      </c>
      <c r="AA800" s="2028"/>
      <c r="AB800" s="2028"/>
      <c r="AC800" s="2028"/>
      <c r="AD800" s="2028"/>
      <c r="AE800" s="2028"/>
      <c r="AF800" s="2028">
        <f>IF(T800&gt;Z800,Z800,T800)</f>
        <v>0</v>
      </c>
      <c r="AG800" s="2028"/>
      <c r="AH800" s="2028"/>
      <c r="AI800" s="2028"/>
      <c r="AJ800" s="2028"/>
      <c r="AK800" s="2028"/>
      <c r="AL800" s="852"/>
      <c r="AM800" s="630"/>
    </row>
    <row r="801" spans="1:81">
      <c r="A801" s="853" t="s">
        <v>1479</v>
      </c>
      <c r="B801" s="2059" t="s">
        <v>1480</v>
      </c>
      <c r="C801" s="2059"/>
      <c r="D801" s="2059"/>
      <c r="E801" s="2059"/>
      <c r="F801" s="2059"/>
      <c r="G801" s="2059"/>
      <c r="H801" s="2059"/>
      <c r="I801" s="2059"/>
      <c r="J801" s="2059"/>
      <c r="K801" s="2059"/>
      <c r="L801" s="2059"/>
      <c r="M801" s="2059"/>
      <c r="N801" s="2059"/>
      <c r="O801" s="2059"/>
      <c r="P801" s="2059"/>
      <c r="Q801" s="2059"/>
      <c r="R801" s="2059"/>
      <c r="S801" s="2060"/>
      <c r="T801" s="2085">
        <f>AK262</f>
        <v>8</v>
      </c>
      <c r="U801" s="2085"/>
      <c r="V801" s="2085"/>
      <c r="W801" s="2085"/>
      <c r="X801" s="2085"/>
      <c r="Y801" s="2085"/>
      <c r="Z801" s="2064">
        <v>8</v>
      </c>
      <c r="AA801" s="2062"/>
      <c r="AB801" s="2062"/>
      <c r="AC801" s="2062"/>
      <c r="AD801" s="2062"/>
      <c r="AE801" s="2063"/>
      <c r="AF801" s="2028">
        <f>IF(T801&gt;Z801,Z801,T801)</f>
        <v>8</v>
      </c>
      <c r="AG801" s="2028"/>
      <c r="AH801" s="2028"/>
      <c r="AI801" s="2028"/>
      <c r="AJ801" s="2028"/>
      <c r="AK801" s="2028"/>
      <c r="AL801" s="852"/>
      <c r="AM801" s="630"/>
    </row>
    <row r="802" spans="1:81" s="568" customFormat="1" hidden="1">
      <c r="A802" s="854" t="s">
        <v>597</v>
      </c>
      <c r="B802" s="2059" t="s">
        <v>1688</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59" t="s">
        <v>1689</v>
      </c>
      <c r="C803" s="2059"/>
      <c r="D803" s="2059"/>
      <c r="E803" s="2059"/>
      <c r="F803" s="2059"/>
      <c r="G803" s="2059"/>
      <c r="H803" s="2059"/>
      <c r="I803" s="2059"/>
      <c r="J803" s="2059"/>
      <c r="K803" s="2059"/>
      <c r="L803" s="2059"/>
      <c r="M803" s="2059"/>
      <c r="N803" s="2059"/>
      <c r="O803" s="2059"/>
      <c r="P803" s="2059"/>
      <c r="Q803" s="2059"/>
      <c r="R803" s="2059"/>
      <c r="S803" s="2060"/>
      <c r="T803" s="2085">
        <f>AK274</f>
        <v>10</v>
      </c>
      <c r="U803" s="2085"/>
      <c r="V803" s="2085"/>
      <c r="W803" s="2085"/>
      <c r="X803" s="2085"/>
      <c r="Y803" s="2085"/>
      <c r="Z803" s="2028">
        <v>10</v>
      </c>
      <c r="AA803" s="2028"/>
      <c r="AB803" s="2028"/>
      <c r="AC803" s="2028"/>
      <c r="AD803" s="2028"/>
      <c r="AE803" s="2028"/>
      <c r="AF803" s="2091">
        <f>IF(T803&gt;Z803,Z803,T803)</f>
        <v>10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59" t="s">
        <v>1490</v>
      </c>
      <c r="C804" s="2059"/>
      <c r="D804" s="2059"/>
      <c r="E804" s="2059"/>
      <c r="F804" s="2059"/>
      <c r="G804" s="2059"/>
      <c r="H804" s="2059"/>
      <c r="I804" s="2059"/>
      <c r="J804" s="2059"/>
      <c r="K804" s="2059"/>
      <c r="L804" s="2059"/>
      <c r="M804" s="2059"/>
      <c r="N804" s="2059"/>
      <c r="O804" s="2059"/>
      <c r="P804" s="2059"/>
      <c r="Q804" s="2059"/>
      <c r="R804" s="2059"/>
      <c r="S804" s="2060"/>
      <c r="T804" s="2085">
        <f>AK327</f>
        <v>0</v>
      </c>
      <c r="U804" s="2085"/>
      <c r="V804" s="2085"/>
      <c r="W804" s="2085"/>
      <c r="X804" s="2085"/>
      <c r="Y804" s="2085"/>
      <c r="Z804" s="2091">
        <v>10</v>
      </c>
      <c r="AA804" s="2092"/>
      <c r="AB804" s="2092"/>
      <c r="AC804" s="2092"/>
      <c r="AD804" s="2092"/>
      <c r="AE804" s="2093"/>
      <c r="AF804" s="2091">
        <f>IF(T804&gt;Z804,Z804,T804)</f>
        <v>0</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61">
        <f>AK327</f>
        <v>0</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59" t="s">
        <v>856</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59" t="s">
        <v>1669</v>
      </c>
      <c r="C807" s="2059"/>
      <c r="D807" s="2059"/>
      <c r="E807" s="2059"/>
      <c r="F807" s="2059"/>
      <c r="G807" s="2059"/>
      <c r="H807" s="2059"/>
      <c r="I807" s="2059"/>
      <c r="J807" s="2059"/>
      <c r="K807" s="2059"/>
      <c r="L807" s="2059"/>
      <c r="M807" s="2059"/>
      <c r="N807" s="2059"/>
      <c r="O807" s="2059"/>
      <c r="P807" s="2059"/>
      <c r="Q807" s="2059"/>
      <c r="R807" s="2059"/>
      <c r="S807" s="2060"/>
      <c r="T807" s="2085">
        <f>AK548</f>
        <v>12</v>
      </c>
      <c r="U807" s="2085"/>
      <c r="V807" s="2085"/>
      <c r="W807" s="2085"/>
      <c r="X807" s="2085"/>
      <c r="Y807" s="2085"/>
      <c r="Z807" s="2091">
        <v>12</v>
      </c>
      <c r="AA807" s="2092"/>
      <c r="AB807" s="2092"/>
      <c r="AC807" s="2092"/>
      <c r="AD807" s="2092"/>
      <c r="AE807" s="2093"/>
      <c r="AF807" s="2028">
        <f>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9" t="s">
        <v>1691</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1692</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1693</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4" t="s">
        <v>1694</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 ca="1">SUM(AF793:AK808)-AF809</f>
        <v>110</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55" workbookViewId="0">
      <selection activeCell="G100" sqref="G10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3" t="s">
        <v>1695</v>
      </c>
      <c r="B1" s="2153"/>
      <c r="C1" s="2153"/>
      <c r="D1" s="2153"/>
      <c r="E1" s="2153"/>
      <c r="F1" s="2153"/>
      <c r="G1" s="2153"/>
      <c r="H1" s="2153"/>
      <c r="I1" s="2153"/>
      <c r="J1" s="2153"/>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49835456</v>
      </c>
      <c r="I3" s="1145"/>
    </row>
    <row r="4" spans="1:13" s="1086" customFormat="1" ht="20.100000000000001" customHeight="1">
      <c r="B4" s="1134"/>
      <c r="D4" s="1148"/>
      <c r="F4" s="1132" t="s">
        <v>2300</v>
      </c>
      <c r="G4" s="1131" t="s">
        <v>2299</v>
      </c>
      <c r="H4" s="1133">
        <f>I16</f>
        <v>30796568.62745098</v>
      </c>
      <c r="I4" s="1135"/>
      <c r="K4" s="1090"/>
    </row>
    <row r="5" spans="1:13" s="1086" customFormat="1" ht="20.100000000000001" customHeight="1" thickBot="1">
      <c r="B5" s="1136"/>
      <c r="C5" s="1137"/>
      <c r="D5" s="1149"/>
      <c r="E5" s="1138"/>
      <c r="F5" s="1149" t="s">
        <v>2240</v>
      </c>
      <c r="G5" s="1150"/>
      <c r="H5" s="1146">
        <f>H3/H4</f>
        <v>1.618214568085953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5" t="s">
        <v>2238</v>
      </c>
      <c r="C8" s="2156"/>
      <c r="D8" s="2156"/>
      <c r="E8" s="2157"/>
      <c r="G8" s="2158" t="s">
        <v>2239</v>
      </c>
      <c r="H8" s="2159"/>
      <c r="I8" s="2160"/>
      <c r="K8" s="1092"/>
    </row>
    <row r="9" spans="1:13" ht="15" customHeight="1">
      <c r="A9" s="1081"/>
      <c r="B9" s="2154" t="s">
        <v>2277</v>
      </c>
      <c r="C9" s="2154"/>
      <c r="D9" s="2154"/>
      <c r="E9" s="1094">
        <f>G31</f>
        <v>10400000</v>
      </c>
      <c r="G9" s="2163" t="s">
        <v>2275</v>
      </c>
      <c r="H9" s="2163"/>
      <c r="I9" s="1095">
        <f>Application!AM554</f>
        <v>30000000</v>
      </c>
      <c r="K9" s="1096"/>
      <c r="M9" s="1097"/>
    </row>
    <row r="10" spans="1:13" ht="15" customHeight="1" thickBot="1">
      <c r="A10" s="1081"/>
      <c r="B10" s="2154" t="s">
        <v>2278</v>
      </c>
      <c r="C10" s="2154"/>
      <c r="D10" s="2154"/>
      <c r="E10" s="1095">
        <f>G40</f>
        <v>20523456</v>
      </c>
      <c r="G10" s="2163" t="s">
        <v>2241</v>
      </c>
      <c r="H10" s="2163"/>
      <c r="I10" s="1182">
        <f>'Basis &amp; Credits'!AB78</f>
        <v>0</v>
      </c>
      <c r="M10" s="1097"/>
    </row>
    <row r="11" spans="1:13" ht="15" customHeight="1">
      <c r="A11" s="1098"/>
      <c r="B11" s="2154" t="s">
        <v>2279</v>
      </c>
      <c r="C11" s="2154"/>
      <c r="D11" s="2154"/>
      <c r="E11" s="1095">
        <f>G49</f>
        <v>0</v>
      </c>
      <c r="G11" s="2163" t="s">
        <v>2290</v>
      </c>
      <c r="H11" s="2163"/>
      <c r="I11" s="1181">
        <f>I9+I10</f>
        <v>30000000</v>
      </c>
      <c r="M11" s="1097"/>
    </row>
    <row r="12" spans="1:13" ht="15" customHeight="1">
      <c r="A12" s="1084"/>
      <c r="B12" s="2154" t="s">
        <v>2280</v>
      </c>
      <c r="C12" s="2154"/>
      <c r="D12" s="2154"/>
      <c r="E12" s="1095">
        <f>G58</f>
        <v>400000</v>
      </c>
      <c r="G12" s="1183" t="s">
        <v>2315</v>
      </c>
      <c r="H12" s="1184"/>
      <c r="M12" s="1097"/>
    </row>
    <row r="13" spans="1:13" ht="15" customHeight="1">
      <c r="A13" s="1081"/>
      <c r="B13" s="2154" t="s">
        <v>2281</v>
      </c>
      <c r="C13" s="2154"/>
      <c r="D13" s="2154"/>
      <c r="E13" s="1100">
        <f>G83</f>
        <v>14352000</v>
      </c>
      <c r="G13" s="2164" t="s">
        <v>139</v>
      </c>
      <c r="H13" s="2164"/>
      <c r="I13" s="1099">
        <f>15%*(AND(G111="Yes",G113&lt;&gt;""))</f>
        <v>0</v>
      </c>
      <c r="M13" s="1097"/>
    </row>
    <row r="14" spans="1:13" ht="15" customHeight="1">
      <c r="A14" s="1081"/>
      <c r="B14" s="2154" t="s">
        <v>2282</v>
      </c>
      <c r="C14" s="2154"/>
      <c r="D14" s="2154"/>
      <c r="E14" s="1095">
        <f>IF(G96&gt;G106,G96,0)</f>
        <v>0</v>
      </c>
      <c r="G14" s="1179" t="s">
        <v>2291</v>
      </c>
      <c r="H14" s="1179"/>
      <c r="I14" s="1099">
        <f>IF(Application!AJ1031&gt;0,10%,IF(Application!AJ1035&gt;0,5%,0))</f>
        <v>0</v>
      </c>
      <c r="M14" s="1097"/>
    </row>
    <row r="15" spans="1:13" ht="15" customHeight="1" thickBot="1">
      <c r="A15" s="1081"/>
      <c r="B15" s="2161" t="s">
        <v>2301</v>
      </c>
      <c r="C15" s="2161"/>
      <c r="D15" s="2161"/>
      <c r="E15" s="1151">
        <f>IF(E14&gt;0,0,G106)</f>
        <v>4160000</v>
      </c>
      <c r="G15" s="2167" t="s">
        <v>2292</v>
      </c>
      <c r="H15" s="2168"/>
      <c r="I15" s="1153">
        <f>G123</f>
        <v>-2.6552287581699346E-2</v>
      </c>
      <c r="M15" s="1097"/>
    </row>
    <row r="16" spans="1:13" ht="15" customHeight="1">
      <c r="A16" s="1081"/>
      <c r="B16" s="2162" t="s">
        <v>2237</v>
      </c>
      <c r="C16" s="2162"/>
      <c r="D16" s="2162"/>
      <c r="E16" s="1152">
        <f>SUM(E9:E15)</f>
        <v>49835456</v>
      </c>
      <c r="G16" s="1180" t="s">
        <v>2276</v>
      </c>
      <c r="H16" s="1180"/>
      <c r="I16" s="1154">
        <f>I11-((I11*I13)+(I11*I14)+(I11*I15))</f>
        <v>30796568.62745098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196</v>
      </c>
      <c r="O18" s="1124" t="s">
        <v>590</v>
      </c>
      <c r="P18" s="1079">
        <f>MATCH(Application!T189,Application!BV490:BV547,0)</f>
        <v>33</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5" t="s">
        <v>2294</v>
      </c>
      <c r="D20" s="2165" t="s">
        <v>2295</v>
      </c>
      <c r="E20" s="2165" t="s">
        <v>2296</v>
      </c>
      <c r="F20" s="2165" t="s">
        <v>2297</v>
      </c>
      <c r="G20" s="2165" t="s">
        <v>2293</v>
      </c>
      <c r="H20" s="1108"/>
      <c r="I20" s="1107"/>
      <c r="L20" s="1079">
        <f>IFERROR(MIN(4,MATCH(Application!B718,UnitSizes,0)-1),"")</f>
        <v>1</v>
      </c>
      <c r="M20" s="1101">
        <f>Application!G718</f>
        <v>15</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6"/>
      <c r="D21" s="2166"/>
      <c r="E21" s="2166"/>
      <c r="F21" s="2166"/>
      <c r="G21" s="2166"/>
      <c r="H21" s="1108"/>
      <c r="I21" s="1107"/>
      <c r="L21" s="1079">
        <f>IFERROR(MIN(4,MATCH(Application!B719,UnitSizes,0)-1),"")</f>
        <v>1</v>
      </c>
      <c r="M21" s="1101">
        <f>Application!G719</f>
        <v>15</v>
      </c>
      <c r="N21" s="1109">
        <f>Application!AC719</f>
        <v>0.5</v>
      </c>
      <c r="O21" s="1109">
        <f>IF(Cdlac[[#This Row],[Quantity]]&gt;0,IF(Cdlac[[#This Row],[Federal]],30%,IF($G$36,40%,Cdlac[[#This Row],[iAMI]])),"")</f>
        <v>0.5</v>
      </c>
      <c r="P21" s="1101" cm="1">
        <f t="array" ref="P21">IF(Cdlac[[#This Row],[Quantity]]&gt;0,INDEX(TcacRents,$P$18,Cdlac[[#This Row],[Bedrooms]]+1)*Cdlac[[#This Row],[AMI]],"")</f>
        <v>961</v>
      </c>
      <c r="Q21" s="1101" cm="1">
        <f t="array" ref="Q21">IF(Cdlac[[#This Row],[Quantity]]&gt;0,INDEX(HudFmrs,$P$18,Cdlac[[#This Row],[Bedrooms]]+1),"")</f>
        <v>1611</v>
      </c>
      <c r="R21" s="1101">
        <f>IF(Cdlac[[#This Row],[Quantity]]&gt;0,MAX(0,Cdlac[[#This Row],[Fair Market Rent]]-Cdlac[[#This Row],[Restricted Rent]]),"")</f>
        <v>650</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118</v>
      </c>
      <c r="N22" s="1109">
        <f>Application!AC720</f>
        <v>0.6</v>
      </c>
      <c r="O22" s="1109">
        <f>IF(Cdlac[[#This Row],[Quantity]]&gt;0,IF(Cdlac[[#This Row],[Federal]],30%,IF($G$36,40%,Cdlac[[#This Row],[iAMI]])),"")</f>
        <v>0.6</v>
      </c>
      <c r="P22" s="1101" cm="1">
        <f t="array" ref="P22">IF(Cdlac[[#This Row],[Quantity]]&gt;0,INDEX(TcacRents,$P$18,Cdlac[[#This Row],[Bedrooms]]+1)*Cdlac[[#This Row],[AMI]],"")</f>
        <v>1153.2</v>
      </c>
      <c r="Q22" s="1101" cm="1">
        <f t="array" ref="Q22">IF(Cdlac[[#This Row],[Quantity]]&gt;0,INDEX(HudFmrs,$P$18,Cdlac[[#This Row],[Bedrooms]]+1),"")</f>
        <v>1611</v>
      </c>
      <c r="R22" s="1101">
        <f>IF(Cdlac[[#This Row],[Quantity]]&gt;0,MAX(0,Cdlac[[#This Row],[Fair Market Rent]]-Cdlac[[#This Row],[Restricted Rent]]),"")</f>
        <v>457.79999999999995</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148</v>
      </c>
      <c r="F23" s="1110">
        <f>E23</f>
        <v>148</v>
      </c>
      <c r="G23" s="1110">
        <f>D23*F23</f>
        <v>148</v>
      </c>
      <c r="L23" s="1079">
        <f>IFERROR(MIN(4,MATCH(Application!B721,UnitSizes,0)-1),"")</f>
        <v>2</v>
      </c>
      <c r="M23" s="1101">
        <f>Application!G721</f>
        <v>4</v>
      </c>
      <c r="N23" s="1109">
        <f>Application!AC721</f>
        <v>0.3</v>
      </c>
      <c r="O23" s="1109">
        <f>IF(Cdlac[[#This Row],[Quantity]]&gt;0,IF(Cdlac[[#This Row],[Federal]],30%,IF($G$36,40%,Cdlac[[#This Row],[iAMI]])),"")</f>
        <v>0.3</v>
      </c>
      <c r="P23" s="1101" cm="1">
        <f t="array" ref="P23">IF(Cdlac[[#This Row],[Quantity]]&gt;0,INDEX(TcacRents,$P$18,Cdlac[[#This Row],[Bedrooms]]+1)*Cdlac[[#This Row],[AMI]],"")</f>
        <v>691.19999999999993</v>
      </c>
      <c r="Q23" s="1101" cm="1">
        <f t="array" ref="Q23">IF(Cdlac[[#This Row],[Quantity]]&gt;0,INDEX(HudFmrs,$P$18,Cdlac[[#This Row],[Bedrooms]]+1),"")</f>
        <v>2010</v>
      </c>
      <c r="R23" s="1101">
        <f>IF(Cdlac[[#This Row],[Quantity]]&gt;0,MAX(0,Cdlac[[#This Row],[Fair Market Rent]]-Cdlac[[#This Row],[Restricted Rent]]),"")</f>
        <v>1318.8000000000002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48</v>
      </c>
      <c r="F24" s="1113">
        <f>SUM(E24:E26)-SUM(F25:F26)</f>
        <v>48</v>
      </c>
      <c r="G24" s="1110">
        <f>D24*F24</f>
        <v>60</v>
      </c>
      <c r="H24" s="1112"/>
      <c r="I24" s="1112"/>
      <c r="L24" s="1079">
        <f>IFERROR(MIN(4,MATCH(Application!B722,UnitSizes,0)-1),"")</f>
        <v>2</v>
      </c>
      <c r="M24" s="1101">
        <f>Application!G722</f>
        <v>4</v>
      </c>
      <c r="N24" s="1109">
        <f>Application!AC722</f>
        <v>0.5</v>
      </c>
      <c r="O24" s="1109">
        <f>IF(Cdlac[[#This Row],[Quantity]]&gt;0,IF(Cdlac[[#This Row],[Federal]],30%,IF($G$36,40%,Cdlac[[#This Row],[iAMI]])),"")</f>
        <v>0.5</v>
      </c>
      <c r="P24" s="1101" cm="1">
        <f t="array" ref="P24">IF(Cdlac[[#This Row],[Quantity]]&gt;0,INDEX(TcacRents,$P$18,Cdlac[[#This Row],[Bedrooms]]+1)*Cdlac[[#This Row],[AMI]],"")</f>
        <v>1152</v>
      </c>
      <c r="Q24" s="1101" cm="1">
        <f t="array" ref="Q24">IF(Cdlac[[#This Row],[Quantity]]&gt;0,INDEX(HudFmrs,$P$18,Cdlac[[#This Row],[Bedrooms]]+1),"")</f>
        <v>2010</v>
      </c>
      <c r="R24" s="1101">
        <f>IF(Cdlac[[#This Row],[Quantity]]&gt;0,MAX(0,Cdlac[[#This Row],[Fair Market Rent]]-Cdlac[[#This Row],[Restricted Rent]]),"")</f>
        <v>858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32</v>
      </c>
      <c r="N25" s="1109">
        <f>Application!AC723</f>
        <v>0.6</v>
      </c>
      <c r="O25" s="1109">
        <f>IF(Cdlac[[#This Row],[Quantity]]&gt;0,IF(Cdlac[[#This Row],[Federal]],30%,IF($G$36,40%,Cdlac[[#This Row],[iAMI]])),"")</f>
        <v>0.6</v>
      </c>
      <c r="P25" s="1101" cm="1">
        <f t="array" ref="P25">IF(Cdlac[[#This Row],[Quantity]]&gt;0,INDEX(TcacRents,$P$18,Cdlac[[#This Row],[Bedrooms]]+1)*Cdlac[[#This Row],[AMI]],"")</f>
        <v>1382.3999999999999</v>
      </c>
      <c r="Q25" s="1101" cm="1">
        <f t="array" ref="Q25">IF(Cdlac[[#This Row],[Quantity]]&gt;0,INDEX(HudFmrs,$P$18,Cdlac[[#This Row],[Bedrooms]]+1),"")</f>
        <v>2010</v>
      </c>
      <c r="R25" s="1101">
        <f>IF(Cdlac[[#This Row],[Quantity]]&gt;0,MAX(0,Cdlac[[#This Row],[Fair Market Rent]]-Cdlac[[#This Row],[Restricted Rent]]),"")</f>
        <v>627.60000000000014</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v>
      </c>
      <c r="N26" s="1109">
        <f>Application!AC724</f>
        <v>0.3</v>
      </c>
      <c r="O26" s="1109">
        <f>IF(Cdlac[[#This Row],[Quantity]]&gt;0,IF(Cdlac[[#This Row],[Federal]],30%,IF($G$36,40%,Cdlac[[#This Row],[iAMI]])),"")</f>
        <v>0.3</v>
      </c>
      <c r="P26" s="1101" cm="1">
        <f t="array" ref="P26">IF(Cdlac[[#This Row],[Quantity]]&gt;0,INDEX(TcacRents,$P$18,Cdlac[[#This Row],[Bedrooms]]+1)*Cdlac[[#This Row],[AMI]],"")</f>
        <v>691.19999999999993</v>
      </c>
      <c r="Q26" s="1101" cm="1">
        <f t="array" ref="Q26">IF(Cdlac[[#This Row],[Quantity]]&gt;0,INDEX(HudFmrs,$P$18,Cdlac[[#This Row],[Bedrooms]]+1),"")</f>
        <v>2010</v>
      </c>
      <c r="R26" s="1101">
        <f>IF(Cdlac[[#This Row],[Quantity]]&gt;0,MAX(0,Cdlac[[#This Row],[Fair Market Rent]]-Cdlac[[#This Row],[Restricted Rent]]),"")</f>
        <v>1318.8000000000002</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1696</v>
      </c>
      <c r="D27" s="2150"/>
      <c r="E27" s="1129">
        <f>SUM(E22:E26)</f>
        <v>196</v>
      </c>
      <c r="F27" s="1129">
        <f>SUM(F22:F26)</f>
        <v>196</v>
      </c>
      <c r="G27" s="1130">
        <f>SUMPRODUCT(D22:D26,F22:F26)</f>
        <v>208</v>
      </c>
      <c r="H27" s="1112"/>
      <c r="I27" s="1112"/>
      <c r="L27" s="1079">
        <f>IFERROR(MIN(4,MATCH(Application!B725,UnitSizes,0)-1),"")</f>
        <v>2</v>
      </c>
      <c r="M27" s="1101">
        <f>Application!G725</f>
        <v>1</v>
      </c>
      <c r="N27" s="1109">
        <f>Application!AC725</f>
        <v>0.5</v>
      </c>
      <c r="O27" s="1109">
        <f>IF(Cdlac[[#This Row],[Quantity]]&gt;0,IF(Cdlac[[#This Row],[Federal]],30%,IF($G$36,40%,Cdlac[[#This Row],[iAMI]])),"")</f>
        <v>0.5</v>
      </c>
      <c r="P27" s="1101" cm="1">
        <f t="array" ref="P27">IF(Cdlac[[#This Row],[Quantity]]&gt;0,INDEX(TcacRents,$P$18,Cdlac[[#This Row],[Bedrooms]]+1)*Cdlac[[#This Row],[AMI]],"")</f>
        <v>1152</v>
      </c>
      <c r="Q27" s="1101" cm="1">
        <f t="array" ref="Q27">IF(Cdlac[[#This Row],[Quantity]]&gt;0,INDEX(HudFmrs,$P$18,Cdlac[[#This Row],[Bedrooms]]+1),"")</f>
        <v>2010</v>
      </c>
      <c r="R27" s="1101">
        <f>IF(Cdlac[[#This Row],[Quantity]]&gt;0,MAX(0,Cdlac[[#This Row],[Fair Market Rent]]-Cdlac[[#This Row],[Restricted Rent]]),"")</f>
        <v>858</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6</v>
      </c>
      <c r="N28" s="1109">
        <f>Application!AC726</f>
        <v>0.6</v>
      </c>
      <c r="O28" s="1109">
        <f>IF(Cdlac[[#This Row],[Quantity]]&gt;0,IF(Cdlac[[#This Row],[Federal]],30%,IF($G$36,40%,Cdlac[[#This Row],[iAMI]])),"")</f>
        <v>0.6</v>
      </c>
      <c r="P28" s="1101" cm="1">
        <f t="array" ref="P28">IF(Cdlac[[#This Row],[Quantity]]&gt;0,INDEX(TcacRents,$P$18,Cdlac[[#This Row],[Bedrooms]]+1)*Cdlac[[#This Row],[AMI]],"")</f>
        <v>1382.3999999999999</v>
      </c>
      <c r="Q28" s="1101" cm="1">
        <f t="array" ref="Q28">IF(Cdlac[[#This Row],[Quantity]]&gt;0,INDEX(HudFmrs,$P$18,Cdlac[[#This Row],[Bedrooms]]+1),"")</f>
        <v>2010</v>
      </c>
      <c r="R28" s="1101">
        <f>IF(Cdlac[[#This Row],[Quantity]]&gt;0,MAX(0,Cdlac[[#This Row],[Fair Market Rent]]-Cdlac[[#This Row],[Restricted Rent]]),"")</f>
        <v>627.60000000000014</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2293</v>
      </c>
      <c r="G29" s="1156">
        <f>G27</f>
        <v>208</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10400000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0.55918367346938769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114019.2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20523456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98</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20</v>
      </c>
    </row>
    <row r="54" spans="2:14" ht="15" customHeight="1">
      <c r="E54" s="1159" t="s">
        <v>2304</v>
      </c>
      <c r="G54" s="1117">
        <f>ROUNDDOWN(E27*50%,0)</f>
        <v>98</v>
      </c>
    </row>
    <row r="55" spans="2:14" ht="15" customHeight="1">
      <c r="E55" s="1159"/>
      <c r="G55" s="1117"/>
    </row>
    <row r="56" spans="2:14" ht="15" customHeight="1">
      <c r="E56" s="1159" t="s">
        <v>2255</v>
      </c>
      <c r="G56" s="1156">
        <f>MIN(G53:G54)</f>
        <v>20</v>
      </c>
    </row>
    <row r="57" spans="2:14" ht="15" customHeight="1">
      <c r="E57" s="1159" t="s">
        <v>2245</v>
      </c>
      <c r="F57" s="1155" t="s">
        <v>2302</v>
      </c>
      <c r="G57" s="1166">
        <v>20000</v>
      </c>
    </row>
    <row r="58" spans="2:14" ht="15" customHeight="1">
      <c r="E58" s="1160" t="s">
        <v>2284</v>
      </c>
      <c r="F58" s="1081"/>
      <c r="G58" s="1165">
        <f>G56*G57</f>
        <v>400000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51" t="s">
        <v>1514</v>
      </c>
      <c r="N62" s="2152"/>
    </row>
    <row r="63" spans="2:14" ht="15" customHeight="1">
      <c r="E63" s="1124" t="s">
        <v>2245</v>
      </c>
      <c r="F63" s="1155" t="s">
        <v>2302</v>
      </c>
      <c r="G63" s="1114">
        <v>4000</v>
      </c>
      <c r="L63" s="1170" t="str">
        <f>'Points System'!H639</f>
        <v>(ii)</v>
      </c>
      <c r="M63" s="2143" t="s">
        <v>2259</v>
      </c>
      <c r="N63" s="2144"/>
    </row>
    <row r="64" spans="2:14" ht="15" customHeight="1">
      <c r="E64" s="1124" t="s">
        <v>2306</v>
      </c>
      <c r="F64" s="1155" t="s">
        <v>2302</v>
      </c>
      <c r="G64" s="1168">
        <f>G27</f>
        <v>208</v>
      </c>
      <c r="L64" s="1170" t="str">
        <f>'Points System'!H674</f>
        <v>(i)</v>
      </c>
      <c r="M64" s="2143" t="s">
        <v>2260</v>
      </c>
      <c r="N64" s="2144"/>
    </row>
    <row r="65" spans="2:14" ht="15" customHeight="1">
      <c r="E65" s="1160" t="s">
        <v>2264</v>
      </c>
      <c r="F65" s="1081"/>
      <c r="G65" s="1165">
        <f>G62*G63*G64</f>
        <v>5824000</v>
      </c>
      <c r="L65" s="1170" t="str">
        <f>IF(OR('Points System'!H698="(ii)",'Points System'!H698="(i)"),"(i)","N/A")</f>
        <v>N/A</v>
      </c>
      <c r="M65" s="2143" t="s">
        <v>2261</v>
      </c>
      <c r="N65" s="2144"/>
    </row>
    <row r="66" spans="2:14" ht="15" customHeight="1">
      <c r="C66" s="1115"/>
      <c r="G66" s="1156"/>
      <c r="L66" s="1171" t="str">
        <f>'Points System'!H712</f>
        <v>N/A</v>
      </c>
      <c r="M66" s="2143" t="s">
        <v>1540</v>
      </c>
      <c r="N66" s="2144"/>
    </row>
    <row r="67" spans="2:14" ht="15" customHeight="1">
      <c r="E67" s="1124" t="s">
        <v>2307</v>
      </c>
      <c r="G67" s="1168">
        <f>COUNTIFS(L62:L69,"(i)")</f>
        <v>4</v>
      </c>
      <c r="L67" s="1170" t="str">
        <f>'Points System'!H724</f>
        <v>N/A</v>
      </c>
      <c r="M67" s="2143" t="s">
        <v>2262</v>
      </c>
      <c r="N67" s="2144"/>
    </row>
    <row r="68" spans="2:14" ht="15" customHeight="1">
      <c r="E68" s="1124" t="s">
        <v>2245</v>
      </c>
      <c r="F68" s="1155" t="s">
        <v>2302</v>
      </c>
      <c r="G68" s="1166">
        <v>4000</v>
      </c>
      <c r="L68" s="1170" t="str">
        <f>'Points System'!H740</f>
        <v>(i)</v>
      </c>
      <c r="M68" s="2143" t="s">
        <v>2263</v>
      </c>
      <c r="N68" s="2144"/>
    </row>
    <row r="69" spans="2:14" ht="15" customHeight="1" thickBot="1">
      <c r="E69" s="1160" t="s">
        <v>2265</v>
      </c>
      <c r="F69" s="1081"/>
      <c r="G69" s="1165">
        <f>G64*G67*G68</f>
        <v>3328000</v>
      </c>
      <c r="L69" s="1172" t="str">
        <f>'Points System'!H752</f>
        <v>(i)</v>
      </c>
      <c r="M69" s="2145" t="s">
        <v>1543</v>
      </c>
      <c r="N69" s="2146"/>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row>
    <row r="75" spans="2:14" ht="15" customHeight="1">
      <c r="C75" s="1115" t="s">
        <v>2498</v>
      </c>
      <c r="G75" s="1078" t="s">
        <v>553</v>
      </c>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208</v>
      </c>
    </row>
    <row r="80" spans="2:14" ht="15" customHeight="1">
      <c r="E80" s="1124" t="s">
        <v>2245</v>
      </c>
      <c r="F80" s="1155" t="s">
        <v>2302</v>
      </c>
      <c r="G80" s="1166">
        <v>25000</v>
      </c>
    </row>
    <row r="81" spans="2:14" ht="15" customHeight="1">
      <c r="E81" s="1160" t="s">
        <v>2266</v>
      </c>
      <c r="F81" s="1081"/>
      <c r="G81" s="1165">
        <f>G77*G80*G64</f>
        <v>5200000</v>
      </c>
    </row>
    <row r="82" spans="2:14" ht="15" customHeight="1">
      <c r="C82" s="1115"/>
      <c r="E82" s="1115"/>
    </row>
    <row r="83" spans="2:14" ht="15" customHeight="1">
      <c r="E83" s="1160" t="s">
        <v>2243</v>
      </c>
      <c r="G83" s="1165">
        <f>G81+G69+G65</f>
        <v>14352000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c r="L87" s="2147" t="s">
        <v>2272</v>
      </c>
      <c r="M87" s="2148"/>
      <c r="N87" s="1173">
        <v>30000</v>
      </c>
    </row>
    <row r="88" spans="2:14" ht="15" customHeight="1">
      <c r="C88" s="1115" t="s">
        <v>2289</v>
      </c>
      <c r="G88" s="1119" t="str">
        <f>IF(Application!D211="Large Family","Yes","No")</f>
        <v>No</v>
      </c>
      <c r="L88" s="2139" t="s">
        <v>2236</v>
      </c>
      <c r="M88" s="2140"/>
      <c r="N88" s="1174">
        <v>20000</v>
      </c>
    </row>
    <row r="89" spans="2:14" ht="15" customHeight="1" thickBot="1">
      <c r="C89" s="1115" t="s">
        <v>2270</v>
      </c>
      <c r="G89" s="1078"/>
      <c r="L89" s="2141" t="s">
        <v>2273</v>
      </c>
      <c r="M89" s="2142"/>
      <c r="N89" s="1175">
        <v>10000</v>
      </c>
    </row>
    <row r="90" spans="2:14" ht="15" customHeight="1">
      <c r="C90" s="1115" t="s">
        <v>2271</v>
      </c>
      <c r="G90" s="1079" t="str">
        <f>Application!T193</f>
        <v>Moderate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10000</v>
      </c>
    </row>
    <row r="95" spans="2:14" ht="15" customHeight="1">
      <c r="E95" s="1124" t="str">
        <f>E64</f>
        <v>Bedroom-Adjusted Low-Income Units</v>
      </c>
      <c r="F95" s="1155" t="s">
        <v>2302</v>
      </c>
      <c r="G95" s="1156">
        <f>G27</f>
        <v>208</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553</v>
      </c>
    </row>
    <row r="101" spans="2:9" ht="15" customHeight="1">
      <c r="F101" s="1158"/>
    </row>
    <row r="102" spans="2:9" ht="15" customHeight="1">
      <c r="E102" s="1124" t="s">
        <v>2309</v>
      </c>
      <c r="G102" s="1117" t="b">
        <f>G100="Yes"</f>
        <v>1</v>
      </c>
    </row>
    <row r="103" spans="2:9" ht="15" customHeight="1"/>
    <row r="104" spans="2:9" ht="15" customHeight="1">
      <c r="E104" s="1124" t="str">
        <f>E64</f>
        <v>Bedroom-Adjusted Low-Income Units</v>
      </c>
      <c r="G104" s="1156">
        <f>G27</f>
        <v>208</v>
      </c>
    </row>
    <row r="105" spans="2:9" ht="15" customHeight="1">
      <c r="E105" s="1124" t="s">
        <v>2245</v>
      </c>
      <c r="F105" s="1155" t="s">
        <v>2302</v>
      </c>
      <c r="G105" s="1085">
        <v>20000</v>
      </c>
    </row>
    <row r="106" spans="2:9" ht="15" customHeight="1">
      <c r="E106" s="1160" t="s">
        <v>2274</v>
      </c>
      <c r="F106" s="1081"/>
      <c r="G106" s="1165">
        <f>G102*G105*G104</f>
        <v>4160000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6" t="s">
        <v>2637</v>
      </c>
      <c r="D110" s="2136"/>
      <c r="E110" s="2136"/>
      <c r="F110" s="2136"/>
    </row>
    <row r="111" spans="2:9" ht="15" customHeight="1">
      <c r="C111" s="2136"/>
      <c r="D111" s="2136"/>
      <c r="E111" s="2136"/>
      <c r="F111" s="2136"/>
      <c r="G111" s="1078"/>
    </row>
    <row r="112" spans="2:9" ht="15" customHeight="1"/>
    <row r="113" spans="2:9" ht="15" customHeight="1">
      <c r="C113" s="1079" t="s">
        <v>2640</v>
      </c>
      <c r="G113" s="2137"/>
      <c r="H113" s="2137"/>
    </row>
    <row r="114" spans="2:9" ht="15" customHeight="1">
      <c r="G114" s="2137"/>
      <c r="H114" s="2137"/>
    </row>
    <row r="115" spans="2:9" ht="15" customHeight="1">
      <c r="G115" s="2138"/>
      <c r="H115" s="2138"/>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590</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2310</v>
      </c>
      <c r="G122" s="1116">
        <f>MEDIAN((Application!BR806:BR863))</f>
        <v>489600</v>
      </c>
    </row>
    <row r="123" spans="2:9" ht="15" customHeight="1">
      <c r="D123" s="1081"/>
      <c r="E123" s="1160" t="s">
        <v>2312</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Dat Ksor</cp:lastModifiedBy>
  <cp:lastPrinted>2022-06-02T00:41:49Z</cp:lastPrinted>
  <dcterms:created xsi:type="dcterms:W3CDTF">2007-12-27T18:26:28Z</dcterms:created>
  <dcterms:modified xsi:type="dcterms:W3CDTF">2024-08-24T23:35:45Z</dcterms:modified>
</cp:coreProperties>
</file>