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COMMUNITY BUILDERS GROUP - 1250 WEST JEFF\CDLAC-CTCAC Folder\2. CDLAC-CTCAC Application Round 2 2024\"/>
    </mc:Choice>
  </mc:AlternateContent>
  <xr:revisionPtr revIDLastSave="0" documentId="13_ncr:1_{7F08F460-2F75-4CBB-9BC0-979E064FE462}" xr6:coauthVersionLast="47" xr6:coauthVersionMax="47" xr10:uidLastSave="{00000000-0000-0000-0000-000000000000}"/>
  <bookViews>
    <workbookView xWindow="-120" yWindow="-120" windowWidth="29040" windowHeight="1572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E99" i="4"/>
  <c r="I8" i="8"/>
  <c r="J8" i="8"/>
  <c r="I9" i="8"/>
  <c r="J9" i="8"/>
  <c r="I11" i="8"/>
  <c r="J11" i="8"/>
  <c r="I13" i="8"/>
  <c r="J13" i="8"/>
  <c r="I14" i="8"/>
  <c r="B14" i="8"/>
  <c r="J14" i="8"/>
  <c r="I15" i="8"/>
  <c r="B15" i="8"/>
  <c r="J15" i="8"/>
  <c r="I18" i="8"/>
  <c r="J18" i="8"/>
  <c r="I19" i="8"/>
  <c r="J19" i="8"/>
  <c r="I20" i="8"/>
  <c r="J20" i="8"/>
  <c r="J5" i="8"/>
  <c r="J16" i="8"/>
  <c r="J40" i="8"/>
  <c r="Z809" i="3"/>
  <c r="E6" i="7"/>
  <c r="G6" i="7"/>
  <c r="I6" i="7"/>
  <c r="K6" i="7"/>
  <c r="M6" i="7"/>
  <c r="O6" i="7"/>
  <c r="Q6" i="7"/>
  <c r="S6" i="7"/>
  <c r="U6" i="7"/>
  <c r="U7" i="7"/>
  <c r="O753" i="3"/>
  <c r="Y801" i="3"/>
  <c r="E4" i="7"/>
  <c r="G4" i="7"/>
  <c r="I4" i="7"/>
  <c r="K4" i="7"/>
  <c r="M4" i="7"/>
  <c r="O4" i="7"/>
  <c r="Q4" i="7"/>
  <c r="S4" i="7"/>
  <c r="U4" i="7"/>
  <c r="U5" i="7"/>
  <c r="U11" i="7"/>
  <c r="E29" i="7"/>
  <c r="U29" i="7"/>
  <c r="U35" i="7"/>
  <c r="U37" i="7"/>
  <c r="E40" i="7"/>
  <c r="U40" i="7"/>
  <c r="U43" i="7"/>
  <c r="U45" i="7"/>
  <c r="G53" i="7"/>
  <c r="I53" i="7"/>
  <c r="K53" i="7"/>
  <c r="M53" i="7"/>
  <c r="O53" i="7"/>
  <c r="Q53" i="7"/>
  <c r="S53" i="7"/>
  <c r="U53" i="7"/>
  <c r="U58" i="7"/>
  <c r="U60" i="7"/>
  <c r="U62" i="7"/>
  <c r="AG54" i="7"/>
  <c r="AE54" i="7"/>
  <c r="AC54" i="7"/>
  <c r="AA54" i="7"/>
  <c r="Y54" i="7"/>
  <c r="W54" i="7"/>
  <c r="U54" i="7"/>
  <c r="S54" i="7"/>
  <c r="Q54" i="7"/>
  <c r="O54" i="7"/>
  <c r="M54" i="7"/>
  <c r="K54" i="7"/>
  <c r="I54" i="7"/>
  <c r="G54" i="7"/>
  <c r="W53" i="7"/>
  <c r="Y53" i="7"/>
  <c r="AA53" i="7"/>
  <c r="AC53" i="7"/>
  <c r="AE53" i="7"/>
  <c r="AG53" i="7"/>
  <c r="S93" i="4"/>
  <c r="S92" i="4"/>
  <c r="S90" i="4"/>
  <c r="S89" i="4"/>
  <c r="S85" i="4"/>
  <c r="S80" i="4"/>
  <c r="S79" i="4"/>
  <c r="S69" i="4"/>
  <c r="S51" i="4"/>
  <c r="S50" i="4"/>
  <c r="S43" i="4"/>
  <c r="S40" i="4"/>
  <c r="S37" i="4"/>
  <c r="S35" i="4"/>
  <c r="S33" i="4"/>
  <c r="S32" i="4"/>
  <c r="S31" i="4"/>
  <c r="S30" i="4"/>
  <c r="C62" i="4"/>
  <c r="C38" i="4"/>
  <c r="C63" i="4"/>
  <c r="C81" i="4"/>
  <c r="C96" i="4"/>
  <c r="C77" i="4"/>
  <c r="C70" i="4"/>
  <c r="C97" i="4"/>
  <c r="E93" i="4"/>
  <c r="E86" i="4"/>
  <c r="E85" i="4"/>
  <c r="E83" i="4"/>
  <c r="E76" i="4"/>
  <c r="E75" i="4"/>
  <c r="E69" i="4"/>
  <c r="E53" i="4"/>
  <c r="E52" i="4"/>
  <c r="E51" i="4"/>
  <c r="E50" i="4"/>
  <c r="E46" i="4"/>
  <c r="E43" i="4"/>
  <c r="E40" i="4"/>
  <c r="E37" i="4"/>
  <c r="E35" i="4"/>
  <c r="E33" i="4"/>
  <c r="E32" i="4"/>
  <c r="E31" i="4"/>
  <c r="E30" i="4"/>
  <c r="E6" i="4"/>
  <c r="E5" i="4"/>
  <c r="E4" i="4"/>
  <c r="I13" i="21"/>
  <c r="Y67" i="15"/>
  <c r="C167" i="20"/>
  <c r="U363" i="20"/>
  <c r="AJ700" i="20"/>
  <c r="L65" i="21"/>
  <c r="BQ98" i="27"/>
  <c r="BQ97" i="27"/>
  <c r="BQ96" i="27"/>
  <c r="X752" i="3"/>
  <c r="AH752" i="3"/>
  <c r="BG701" i="3"/>
  <c r="BT701" i="3"/>
  <c r="BT702" i="3"/>
  <c r="BA700" i="3"/>
  <c r="BA701" i="3"/>
  <c r="AJ1019" i="3"/>
  <c r="P18" i="21"/>
  <c r="S38" i="4"/>
  <c r="S42" i="4"/>
  <c r="S54" i="4"/>
  <c r="S63" i="4"/>
  <c r="S70" i="4"/>
  <c r="S81" i="4"/>
  <c r="S96" i="4"/>
  <c r="S97" i="4"/>
  <c r="S104" i="4"/>
  <c r="S105" i="4"/>
  <c r="S107" i="4"/>
  <c r="AC456" i="3"/>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AF540" i="20"/>
  <c r="BN605" i="3"/>
  <c r="BN609" i="3"/>
  <c r="BN610" i="3"/>
  <c r="BN613" i="3"/>
  <c r="BN614" i="3"/>
  <c r="BN598" i="3"/>
  <c r="BN603" i="3"/>
  <c r="BN604" i="3"/>
  <c r="BN607" i="3"/>
  <c r="BN608" i="3"/>
  <c r="BN611" i="3"/>
  <c r="BN615" i="3"/>
  <c r="BN612" i="3"/>
  <c r="BN632" i="3"/>
  <c r="BN660" i="3"/>
  <c r="AB985" i="3"/>
  <c r="AJ985" i="3"/>
  <c r="BS605" i="3"/>
  <c r="BS609" i="3"/>
  <c r="BS610" i="3"/>
  <c r="BS613" i="3"/>
  <c r="BS614" i="3"/>
  <c r="BS598" i="3"/>
  <c r="BS603" i="3"/>
  <c r="BS604" i="3"/>
  <c r="BS607" i="3"/>
  <c r="BS608" i="3"/>
  <c r="BS611" i="3"/>
  <c r="BS615" i="3"/>
  <c r="BS612" i="3"/>
  <c r="BS632" i="3"/>
  <c r="BS660" i="3"/>
  <c r="AB986" i="3"/>
  <c r="AJ986" i="3"/>
  <c r="BX605" i="3"/>
  <c r="BX609" i="3"/>
  <c r="BX610" i="3"/>
  <c r="BX613" i="3"/>
  <c r="BX614" i="3"/>
  <c r="BX598" i="3"/>
  <c r="BX603" i="3"/>
  <c r="BX604" i="3"/>
  <c r="BX607" i="3"/>
  <c r="BX608" i="3"/>
  <c r="BX611" i="3"/>
  <c r="BX615" i="3"/>
  <c r="BX612" i="3"/>
  <c r="BX632" i="3"/>
  <c r="BX660" i="3"/>
  <c r="AB987" i="3"/>
  <c r="AJ987" i="3"/>
  <c r="CC605" i="3"/>
  <c r="CC609" i="3"/>
  <c r="CC610" i="3"/>
  <c r="CC613" i="3"/>
  <c r="CC614" i="3"/>
  <c r="CC598" i="3"/>
  <c r="CC603" i="3"/>
  <c r="CC604" i="3"/>
  <c r="CC607" i="3"/>
  <c r="CC608" i="3"/>
  <c r="CC611" i="3"/>
  <c r="CC615" i="3"/>
  <c r="CC612" i="3"/>
  <c r="CC632" i="3"/>
  <c r="CC660" i="3"/>
  <c r="AB988" i="3"/>
  <c r="AJ988" i="3"/>
  <c r="CM605" i="3"/>
  <c r="CM609" i="3"/>
  <c r="CM610" i="3"/>
  <c r="CM613" i="3"/>
  <c r="CM614" i="3"/>
  <c r="CM598" i="3"/>
  <c r="CM603" i="3"/>
  <c r="CM604" i="3"/>
  <c r="CM607" i="3"/>
  <c r="CM608" i="3"/>
  <c r="CM611" i="3"/>
  <c r="CM615" i="3"/>
  <c r="CM612" i="3"/>
  <c r="CM632" i="3"/>
  <c r="CM660" i="3"/>
  <c r="CH605" i="3"/>
  <c r="CH609" i="3"/>
  <c r="CH610" i="3"/>
  <c r="CH613" i="3"/>
  <c r="CH614" i="3"/>
  <c r="CH598" i="3"/>
  <c r="CH603" i="3"/>
  <c r="CH604" i="3"/>
  <c r="CH607" i="3"/>
  <c r="CH608" i="3"/>
  <c r="CH611" i="3"/>
  <c r="CH615" i="3"/>
  <c r="CH612" i="3"/>
  <c r="CH632" i="3"/>
  <c r="CH660" i="3"/>
  <c r="AB989" i="3"/>
  <c r="AJ989" i="3"/>
  <c r="AJ991" i="3"/>
  <c r="AJ993" i="3"/>
  <c r="AJ1000" i="3"/>
  <c r="AJ1006" i="3"/>
  <c r="AJ1010" i="3"/>
  <c r="AJ1012" i="3"/>
  <c r="AY1013" i="3"/>
  <c r="AY1010" i="3"/>
  <c r="AJ1015" i="3"/>
  <c r="AJ1028" i="3"/>
  <c r="AJ1031" i="3"/>
  <c r="AJ1035" i="3"/>
  <c r="AJ1040" i="3"/>
  <c r="BG598" i="3"/>
  <c r="BG603" i="3"/>
  <c r="BE604" i="3"/>
  <c r="BG604" i="3"/>
  <c r="BE605" i="3"/>
  <c r="BG605" i="3"/>
  <c r="BE607" i="3"/>
  <c r="BG607" i="3"/>
  <c r="BE608" i="3"/>
  <c r="BG608" i="3"/>
  <c r="BE609" i="3"/>
  <c r="BG609" i="3"/>
  <c r="BE610" i="3"/>
  <c r="BG610" i="3"/>
  <c r="BE611" i="3"/>
  <c r="BG611" i="3"/>
  <c r="BE612" i="3"/>
  <c r="BG612" i="3"/>
  <c r="BE613" i="3"/>
  <c r="BG613" i="3"/>
  <c r="BE614" i="3"/>
  <c r="BG614" i="3"/>
  <c r="BE615" i="3"/>
  <c r="BG615" i="3"/>
  <c r="BE606" i="3"/>
  <c r="BG606" i="3"/>
  <c r="BG632" i="3"/>
  <c r="X1047" i="3"/>
  <c r="AY1002" i="3"/>
  <c r="I1047" i="3"/>
  <c r="AY1004" i="3"/>
  <c r="AJ1044" i="3"/>
  <c r="BK598" i="3"/>
  <c r="BK603" i="3"/>
  <c r="BI604" i="3"/>
  <c r="BK604" i="3"/>
  <c r="BI605" i="3"/>
  <c r="BK605" i="3"/>
  <c r="BI607" i="3"/>
  <c r="BK607" i="3"/>
  <c r="BI608" i="3"/>
  <c r="BK608" i="3"/>
  <c r="BI609" i="3"/>
  <c r="BK609" i="3"/>
  <c r="BI610" i="3"/>
  <c r="BK610" i="3"/>
  <c r="BI611" i="3"/>
  <c r="BK611" i="3"/>
  <c r="BI612" i="3"/>
  <c r="BK612" i="3"/>
  <c r="BI613" i="3"/>
  <c r="BK613" i="3"/>
  <c r="BI614" i="3"/>
  <c r="BK614" i="3"/>
  <c r="BI615" i="3"/>
  <c r="BK615" i="3"/>
  <c r="BI606" i="3"/>
  <c r="BK606" i="3"/>
  <c r="BK632" i="3"/>
  <c r="X1051" i="3"/>
  <c r="I1051" i="3"/>
  <c r="AY1005" i="3"/>
  <c r="AJ1048" i="3"/>
  <c r="AJ1024" i="3"/>
  <c r="AJ1052" i="3"/>
  <c r="AP546" i="20"/>
  <c r="AP541" i="20"/>
  <c r="AP542" i="20"/>
  <c r="AP545" i="20"/>
  <c r="AP539" i="20"/>
  <c r="AP543" i="20"/>
  <c r="AP548" i="20"/>
  <c r="AF541" i="20"/>
  <c r="AF542" i="20"/>
  <c r="AK548"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17" i="8"/>
  <c r="I17" i="8"/>
  <c r="I16" i="8"/>
  <c r="J12" i="8"/>
  <c r="I12" i="8"/>
  <c r="J10" i="8"/>
  <c r="I10" i="8"/>
  <c r="J7" i="8"/>
  <c r="I7" i="8"/>
  <c r="J6" i="8"/>
  <c r="I6" i="8"/>
  <c r="I5" i="8"/>
  <c r="J4" i="8"/>
  <c r="I4" i="8"/>
  <c r="AH750" i="3"/>
  <c r="AH749" i="3"/>
  <c r="AH748" i="3"/>
  <c r="AH747" i="3"/>
  <c r="AH746" i="3"/>
  <c r="AH745" i="3"/>
  <c r="AH744" i="3"/>
  <c r="AH743" i="3"/>
  <c r="AH741" i="3"/>
  <c r="AH740" i="3"/>
  <c r="AH739" i="3"/>
  <c r="AH738" i="3"/>
  <c r="AH737" i="3"/>
  <c r="X736" i="3"/>
  <c r="BA685" i="3"/>
  <c r="AH736" i="3"/>
  <c r="X735" i="3"/>
  <c r="BA684" i="3"/>
  <c r="AH735" i="3"/>
  <c r="X734" i="3"/>
  <c r="BA683" i="3"/>
  <c r="AH734" i="3"/>
  <c r="BA682" i="3"/>
  <c r="X733" i="3"/>
  <c r="AH733" i="3"/>
  <c r="BA681" i="3"/>
  <c r="X732" i="3"/>
  <c r="AH732" i="3"/>
  <c r="BA680" i="3"/>
  <c r="X731" i="3"/>
  <c r="AH731" i="3"/>
  <c r="BA679" i="3"/>
  <c r="X730" i="3"/>
  <c r="AH730" i="3"/>
  <c r="BA678" i="3"/>
  <c r="X729" i="3"/>
  <c r="AH729" i="3"/>
  <c r="BA677" i="3"/>
  <c r="X728" i="3"/>
  <c r="AH728" i="3"/>
  <c r="X727" i="3"/>
  <c r="AH727" i="3"/>
  <c r="BA675" i="3"/>
  <c r="X726" i="3"/>
  <c r="AH726" i="3"/>
  <c r="BA674" i="3"/>
  <c r="X725" i="3"/>
  <c r="AH725" i="3"/>
  <c r="BA673" i="3"/>
  <c r="AH724" i="3"/>
  <c r="AH723" i="3"/>
  <c r="AH722" i="3"/>
  <c r="X721" i="3"/>
  <c r="AH721" i="3"/>
  <c r="AH720" i="3"/>
  <c r="BA668"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T807" i="20"/>
  <c r="AF807" i="20"/>
  <c r="AB212" i="3"/>
  <c r="AF1013" i="3"/>
  <c r="C5" i="7"/>
  <c r="C7" i="7"/>
  <c r="C9" i="7"/>
  <c r="A40" i="7"/>
  <c r="E33" i="7"/>
  <c r="E32" i="7"/>
  <c r="E31" i="7"/>
  <c r="E30"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DX598" i="3"/>
  <c r="BN599" i="3"/>
  <c r="DX599" i="3"/>
  <c r="BN600" i="3"/>
  <c r="DX600" i="3"/>
  <c r="BN601" i="3"/>
  <c r="DX601" i="3"/>
  <c r="BN602" i="3"/>
  <c r="DX602" i="3"/>
  <c r="DX603" i="3"/>
  <c r="DX604" i="3"/>
  <c r="DX605" i="3"/>
  <c r="BN606" i="3"/>
  <c r="DX606" i="3"/>
  <c r="DX607" i="3"/>
  <c r="DX608" i="3"/>
  <c r="DX609" i="3"/>
  <c r="DX610" i="3"/>
  <c r="DX611" i="3"/>
  <c r="DX612" i="3"/>
  <c r="DX613" i="3"/>
  <c r="DX614"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EC598" i="3"/>
  <c r="BS599" i="3"/>
  <c r="EC599" i="3"/>
  <c r="BS600" i="3"/>
  <c r="EC600" i="3"/>
  <c r="BS601" i="3"/>
  <c r="EC601" i="3"/>
  <c r="BS602" i="3"/>
  <c r="EC602" i="3"/>
  <c r="EC603" i="3"/>
  <c r="EC604" i="3"/>
  <c r="EC605" i="3"/>
  <c r="BS606" i="3"/>
  <c r="EC606" i="3"/>
  <c r="EC607" i="3"/>
  <c r="EC608" i="3"/>
  <c r="EC609" i="3"/>
  <c r="EC610" i="3"/>
  <c r="EC611" i="3"/>
  <c r="EC612" i="3"/>
  <c r="EC613" i="3"/>
  <c r="EC614"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EH598" i="3"/>
  <c r="BX599" i="3"/>
  <c r="EH599" i="3"/>
  <c r="BX600" i="3"/>
  <c r="EH600" i="3"/>
  <c r="BX601" i="3"/>
  <c r="EH601" i="3"/>
  <c r="BX602" i="3"/>
  <c r="EH602" i="3"/>
  <c r="EH603" i="3"/>
  <c r="EH604" i="3"/>
  <c r="EH605" i="3"/>
  <c r="BX606" i="3"/>
  <c r="EH606" i="3"/>
  <c r="EH607" i="3"/>
  <c r="EH608" i="3"/>
  <c r="EH609" i="3"/>
  <c r="EH610" i="3"/>
  <c r="EH611" i="3"/>
  <c r="EH612" i="3"/>
  <c r="EH613" i="3"/>
  <c r="EH614"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EM598" i="3"/>
  <c r="CC599" i="3"/>
  <c r="EM599" i="3"/>
  <c r="CC600" i="3"/>
  <c r="EM600" i="3"/>
  <c r="CC601" i="3"/>
  <c r="EM601" i="3"/>
  <c r="CC602" i="3"/>
  <c r="EM602" i="3"/>
  <c r="EM603" i="3"/>
  <c r="EM604" i="3"/>
  <c r="EM605" i="3"/>
  <c r="CC606" i="3"/>
  <c r="EM606" i="3"/>
  <c r="EM607" i="3"/>
  <c r="EM608" i="3"/>
  <c r="EM609" i="3"/>
  <c r="EM610" i="3"/>
  <c r="EM611" i="3"/>
  <c r="EM612" i="3"/>
  <c r="EM613" i="3"/>
  <c r="EM614"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EW598" i="3"/>
  <c r="CM599" i="3"/>
  <c r="EW599" i="3"/>
  <c r="CM600" i="3"/>
  <c r="EW600" i="3"/>
  <c r="CM601" i="3"/>
  <c r="EW601" i="3"/>
  <c r="CM602" i="3"/>
  <c r="EW602" i="3"/>
  <c r="EW603" i="3"/>
  <c r="EW604" i="3"/>
  <c r="EW605" i="3"/>
  <c r="CM606" i="3"/>
  <c r="EW606" i="3"/>
  <c r="EW607" i="3"/>
  <c r="EW608" i="3"/>
  <c r="EW609" i="3"/>
  <c r="EW610" i="3"/>
  <c r="EW611" i="3"/>
  <c r="EW612" i="3"/>
  <c r="EW613" i="3"/>
  <c r="EW614" i="3"/>
  <c r="EW615" i="3"/>
  <c r="CM616" i="3"/>
  <c r="EW616" i="3"/>
  <c r="CM617" i="3"/>
  <c r="EW617" i="3"/>
  <c r="CM618" i="3"/>
  <c r="EW618" i="3"/>
  <c r="CM619" i="3"/>
  <c r="EW619" i="3"/>
  <c r="CM631" i="3"/>
  <c r="EW631" i="3"/>
  <c r="CH597" i="3"/>
  <c r="ER597" i="3"/>
  <c r="ER598" i="3"/>
  <c r="CH599" i="3"/>
  <c r="ER599" i="3"/>
  <c r="CH600" i="3"/>
  <c r="ER600" i="3"/>
  <c r="CH601" i="3"/>
  <c r="ER601" i="3"/>
  <c r="CH602" i="3"/>
  <c r="ER602" i="3"/>
  <c r="ER603" i="3"/>
  <c r="ER604" i="3"/>
  <c r="ER605" i="3"/>
  <c r="CH606" i="3"/>
  <c r="ER606" i="3"/>
  <c r="ER607" i="3"/>
  <c r="ER608" i="3"/>
  <c r="ER609" i="3"/>
  <c r="ER610" i="3"/>
  <c r="ER611" i="3"/>
  <c r="ER612" i="3"/>
  <c r="ER613" i="3"/>
  <c r="ER614"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BG597" i="3"/>
  <c r="BE598" i="3"/>
  <c r="BE599" i="3"/>
  <c r="BG599" i="3"/>
  <c r="BE600" i="3"/>
  <c r="BG600" i="3"/>
  <c r="BE601" i="3"/>
  <c r="BG601" i="3"/>
  <c r="BE602" i="3"/>
  <c r="BG602" i="3"/>
  <c r="BE603" i="3"/>
  <c r="BE616" i="3"/>
  <c r="BG616" i="3"/>
  <c r="BE617" i="3"/>
  <c r="BG617" i="3"/>
  <c r="BE618" i="3"/>
  <c r="BG618" i="3"/>
  <c r="BE619" i="3"/>
  <c r="BG619" i="3"/>
  <c r="BE631" i="3"/>
  <c r="BG631" i="3"/>
  <c r="BI597" i="3"/>
  <c r="BK597" i="3"/>
  <c r="BI598" i="3"/>
  <c r="BI599" i="3"/>
  <c r="BK599" i="3"/>
  <c r="BI600" i="3"/>
  <c r="BK600" i="3"/>
  <c r="BI601" i="3"/>
  <c r="BK601" i="3"/>
  <c r="BI602" i="3"/>
  <c r="BK602" i="3"/>
  <c r="BI603" i="3"/>
  <c r="BI616" i="3"/>
  <c r="BK616" i="3"/>
  <c r="BI617" i="3"/>
  <c r="BK617" i="3"/>
  <c r="BI618" i="3"/>
  <c r="BK618" i="3"/>
  <c r="BI619" i="3"/>
  <c r="BK619" i="3"/>
  <c r="BI631" i="3"/>
  <c r="BK631" i="3"/>
  <c r="AG441" i="3"/>
  <c r="AG444" i="3"/>
  <c r="AO639" i="3"/>
  <c r="AB48" i="15"/>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I9" i="21"/>
  <c r="S26" i="4"/>
  <c r="E107" i="13"/>
  <c r="T11" i="15"/>
  <c r="C26" i="4"/>
  <c r="G90" i="21"/>
  <c r="G94" i="21"/>
  <c r="G77" i="21"/>
  <c r="M20" i="21"/>
  <c r="M21" i="21"/>
  <c r="S21" i="21"/>
  <c r="M22" i="21"/>
  <c r="S22" i="21"/>
  <c r="M23" i="21"/>
  <c r="S23" i="21"/>
  <c r="M24" i="21"/>
  <c r="T24" i="21"/>
  <c r="M25" i="21"/>
  <c r="S25" i="21"/>
  <c r="M26" i="21"/>
  <c r="M27" i="21"/>
  <c r="S27" i="21"/>
  <c r="M28" i="21"/>
  <c r="T28" i="21"/>
  <c r="M29" i="21"/>
  <c r="M30" i="21"/>
  <c r="Q30" i="21" a="1"/>
  <c r="Q30" i="21"/>
  <c r="M31" i="21"/>
  <c r="S31" i="21"/>
  <c r="M32" i="21"/>
  <c r="M33" i="21"/>
  <c r="T33" i="21"/>
  <c r="M34" i="21"/>
  <c r="S34" i="21"/>
  <c r="M35" i="21"/>
  <c r="S35" i="21"/>
  <c r="M36" i="21"/>
  <c r="Q36" i="21" a="1"/>
  <c r="Q36" i="21"/>
  <c r="T36" i="21"/>
  <c r="M37" i="21"/>
  <c r="T37" i="21"/>
  <c r="M38" i="21"/>
  <c r="T38" i="21"/>
  <c r="T21" i="21"/>
  <c r="N27" i="21"/>
  <c r="N28" i="21"/>
  <c r="N29" i="21"/>
  <c r="N30" i="21"/>
  <c r="N31" i="21"/>
  <c r="N32" i="21"/>
  <c r="N33" i="21"/>
  <c r="N34" i="21"/>
  <c r="N35" i="21"/>
  <c r="N36" i="21"/>
  <c r="N37" i="21"/>
  <c r="N38" i="21"/>
  <c r="T23" i="21"/>
  <c r="T25" i="21"/>
  <c r="T27" i="21"/>
  <c r="T29" i="21"/>
  <c r="T30" i="21"/>
  <c r="T31" i="21"/>
  <c r="T32" i="21"/>
  <c r="T34" i="21"/>
  <c r="T35" i="21"/>
  <c r="G35" i="21" a="1"/>
  <c r="G35" i="21"/>
  <c r="G36" i="21"/>
  <c r="O36" i="21"/>
  <c r="P36" i="21" a="1"/>
  <c r="P36" i="21"/>
  <c r="R36" i="21"/>
  <c r="O37"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B95" i="11"/>
  <c r="D95" i="11"/>
  <c r="C96" i="11"/>
  <c r="B85" i="11"/>
  <c r="B86" i="11"/>
  <c r="B87" i="11"/>
  <c r="B88" i="11"/>
  <c r="B89" i="11"/>
  <c r="D89" i="11"/>
  <c r="B90" i="11"/>
  <c r="B91" i="11"/>
  <c r="B92" i="11"/>
  <c r="B93" i="11"/>
  <c r="B94" i="11"/>
  <c r="B96" i="11"/>
  <c r="A70" i="11"/>
  <c r="C67" i="11"/>
  <c r="C68" i="11"/>
  <c r="C69" i="11"/>
  <c r="C70" i="11"/>
  <c r="B70" i="11"/>
  <c r="D70" i="11"/>
  <c r="B67" i="11"/>
  <c r="B68" i="11"/>
  <c r="B69" i="11"/>
  <c r="A62" i="11"/>
  <c r="A54" i="11"/>
  <c r="A38" i="11"/>
  <c r="A26" i="11"/>
  <c r="C31" i="11"/>
  <c r="B31" i="11"/>
  <c r="D31" i="11"/>
  <c r="C32" i="11"/>
  <c r="C33" i="11"/>
  <c r="D33" i="11"/>
  <c r="C34" i="11"/>
  <c r="C35" i="11"/>
  <c r="C36" i="11"/>
  <c r="B36" i="11"/>
  <c r="D36" i="11"/>
  <c r="C37" i="11"/>
  <c r="C38" i="11"/>
  <c r="B32" i="11"/>
  <c r="B33" i="11"/>
  <c r="B34" i="11"/>
  <c r="B35" i="11"/>
  <c r="B37" i="11"/>
  <c r="B38" i="11"/>
  <c r="C24" i="11"/>
  <c r="C25" i="11"/>
  <c r="C26" i="11"/>
  <c r="C27" i="11"/>
  <c r="B25" i="11"/>
  <c r="B26" i="11"/>
  <c r="D70" i="4"/>
  <c r="C54" i="11"/>
  <c r="B54" i="11"/>
  <c r="D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6"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B80" i="11"/>
  <c r="D80" i="11"/>
  <c r="C81" i="11"/>
  <c r="B81" i="11"/>
  <c r="D81" i="11"/>
  <c r="I96" i="13"/>
  <c r="J96" i="13"/>
  <c r="J81" i="13"/>
  <c r="I81" i="13"/>
  <c r="G81" i="13"/>
  <c r="F81" i="13"/>
  <c r="D81" i="13"/>
  <c r="C81" i="13"/>
  <c r="H80" i="13"/>
  <c r="E80" i="13"/>
  <c r="B80" i="13"/>
  <c r="R80" i="4"/>
  <c r="R79" i="4"/>
  <c r="R81" i="4"/>
  <c r="E70" i="13"/>
  <c r="D81" i="4"/>
  <c r="B81" i="4"/>
  <c r="E81" i="4"/>
  <c r="F81" i="4"/>
  <c r="G81" i="4"/>
  <c r="H81" i="4"/>
  <c r="I81" i="4"/>
  <c r="J81" i="4"/>
  <c r="K81" i="4"/>
  <c r="L81" i="4"/>
  <c r="M81" i="4"/>
  <c r="N81" i="4"/>
  <c r="O81" i="4"/>
  <c r="P81" i="4"/>
  <c r="Q81" i="4"/>
  <c r="E81" i="13"/>
  <c r="T81" i="4"/>
  <c r="H81" i="13"/>
  <c r="B80" i="4"/>
  <c r="A76" i="13"/>
  <c r="A61" i="13"/>
  <c r="A37" i="13"/>
  <c r="A25" i="13"/>
  <c r="A103" i="13"/>
  <c r="A95" i="13"/>
  <c r="A94" i="13"/>
  <c r="A93" i="13"/>
  <c r="B8" i="8"/>
  <c r="G8" i="8"/>
  <c r="B9" i="8"/>
  <c r="G9" i="8"/>
  <c r="B11" i="8"/>
  <c r="G11" i="8"/>
  <c r="B12" i="8"/>
  <c r="G12" i="8"/>
  <c r="B13" i="8"/>
  <c r="G13" i="8"/>
  <c r="G14"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T23"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4" i="11"/>
  <c r="B41" i="11"/>
  <c r="C41" i="11"/>
  <c r="C42" i="11"/>
  <c r="C43" i="11"/>
  <c r="B42" i="11"/>
  <c r="B43" i="11"/>
  <c r="D43" i="11"/>
  <c r="B44" i="11"/>
  <c r="C44" i="11"/>
  <c r="B46" i="11"/>
  <c r="C46" i="11"/>
  <c r="B47" i="11"/>
  <c r="C47" i="11"/>
  <c r="B48" i="11"/>
  <c r="B49" i="11"/>
  <c r="B50" i="11"/>
  <c r="B51" i="11"/>
  <c r="B52" i="11"/>
  <c r="B53" i="11"/>
  <c r="C48" i="11"/>
  <c r="C49" i="11"/>
  <c r="C50" i="11"/>
  <c r="C51" i="11"/>
  <c r="D51" i="11"/>
  <c r="C52" i="11"/>
  <c r="C53" i="11"/>
  <c r="B57" i="11"/>
  <c r="C57" i="11"/>
  <c r="B58" i="11"/>
  <c r="C58" i="11"/>
  <c r="B59" i="11"/>
  <c r="C59" i="11"/>
  <c r="B60" i="11"/>
  <c r="C60" i="11"/>
  <c r="B61" i="11"/>
  <c r="C61" i="11"/>
  <c r="B62" i="11"/>
  <c r="C62" i="11"/>
  <c r="B66" i="11"/>
  <c r="C66" i="11"/>
  <c r="B73" i="11"/>
  <c r="C73" i="11"/>
  <c r="B74" i="11"/>
  <c r="C74" i="11"/>
  <c r="B75" i="11"/>
  <c r="C75" i="11"/>
  <c r="B76" i="11"/>
  <c r="C76" i="11"/>
  <c r="D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W58" i="7"/>
  <c r="Y58" i="7"/>
  <c r="AA58" i="7"/>
  <c r="AC58" i="7"/>
  <c r="AE58" i="7"/>
  <c r="AG58" i="7"/>
  <c r="H11" i="13"/>
  <c r="T26" i="4"/>
  <c r="H26" i="13"/>
  <c r="T38" i="4"/>
  <c r="H38" i="13"/>
  <c r="T42" i="4"/>
  <c r="H42" i="13"/>
  <c r="T54" i="4"/>
  <c r="H54" i="13"/>
  <c r="T70" i="4"/>
  <c r="H70" i="13"/>
  <c r="T96" i="4"/>
  <c r="H96" i="13"/>
  <c r="C11" i="4"/>
  <c r="B26" i="13"/>
  <c r="B38" i="4"/>
  <c r="B38" i="13"/>
  <c r="C54" i="4"/>
  <c r="B54" i="4"/>
  <c r="B62" i="13"/>
  <c r="B77" i="13"/>
  <c r="B96" i="4"/>
  <c r="D8" i="4"/>
  <c r="D11" i="4"/>
  <c r="D26" i="4"/>
  <c r="D38" i="4"/>
  <c r="D42" i="4"/>
  <c r="D54" i="4"/>
  <c r="D62" i="4"/>
  <c r="D77" i="4"/>
  <c r="D96" i="4"/>
  <c r="D104" i="4"/>
  <c r="B104" i="4"/>
  <c r="E26" i="13"/>
  <c r="E38" i="13"/>
  <c r="E42" i="13"/>
  <c r="E54"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9" i="3"/>
  <c r="BA670" i="3"/>
  <c r="G667" i="3"/>
  <c r="Z667" i="3"/>
  <c r="BA671" i="3"/>
  <c r="BA672" i="3"/>
  <c r="G675" i="3"/>
  <c r="Z675" i="3"/>
  <c r="BA686" i="3"/>
  <c r="G683" i="3"/>
  <c r="Z683" i="3"/>
  <c r="BA687" i="3"/>
  <c r="BA688" i="3"/>
  <c r="BA689" i="3"/>
  <c r="BA690" i="3"/>
  <c r="X718" i="3"/>
  <c r="X719" i="3"/>
  <c r="X720" i="3"/>
  <c r="X722" i="3"/>
  <c r="X723" i="3"/>
  <c r="X724" i="3"/>
  <c r="X737" i="3"/>
  <c r="X738" i="3"/>
  <c r="X739" i="3"/>
  <c r="X740" i="3"/>
  <c r="X741" i="3"/>
  <c r="M832" i="3"/>
  <c r="Q832" i="3"/>
  <c r="U832" i="3"/>
  <c r="Y832" i="3"/>
  <c r="AC832" i="3"/>
  <c r="AG832" i="3"/>
  <c r="BI841" i="3"/>
  <c r="Z901" i="3"/>
  <c r="AY1012" i="3"/>
  <c r="AY1014" i="3"/>
  <c r="AY1016" i="3"/>
  <c r="AY1017" i="3"/>
  <c r="AY1018" i="3"/>
  <c r="AY1019" i="3"/>
  <c r="AY1020" i="3"/>
  <c r="B70" i="4"/>
  <c r="B26" i="4"/>
  <c r="B77" i="4"/>
  <c r="D49" i="11"/>
  <c r="D50" i="11"/>
  <c r="I63" i="13"/>
  <c r="I97" i="13"/>
  <c r="I105" i="13"/>
  <c r="I107" i="13"/>
  <c r="B81" i="13"/>
  <c r="D53" i="11"/>
  <c r="J63" i="13"/>
  <c r="J97" i="13"/>
  <c r="J105" i="13"/>
  <c r="J107" i="13"/>
  <c r="L12" i="4"/>
  <c r="D48" i="11"/>
  <c r="D93" i="11"/>
  <c r="D5" i="11"/>
  <c r="D52" i="11"/>
  <c r="I12" i="4"/>
  <c r="G12" i="4"/>
  <c r="D46" i="11"/>
  <c r="D6" i="11"/>
  <c r="L63" i="4"/>
  <c r="L97" i="4"/>
  <c r="L105" i="4"/>
  <c r="Q12" i="4"/>
  <c r="B11" i="4"/>
  <c r="O63" i="4"/>
  <c r="O97" i="4"/>
  <c r="O105" i="4"/>
  <c r="D18" i="11"/>
  <c r="R70" i="4"/>
  <c r="B8" i="4"/>
  <c r="N187" i="27"/>
  <c r="D10" i="11"/>
  <c r="G63" i="13"/>
  <c r="G97" i="13"/>
  <c r="G105" i="13"/>
  <c r="G107" i="13"/>
  <c r="D61" i="11"/>
  <c r="D57" i="11"/>
  <c r="D20" i="11"/>
  <c r="D8" i="11"/>
  <c r="D85" i="11"/>
  <c r="D102" i="11"/>
  <c r="D94" i="11"/>
  <c r="K12" i="4"/>
  <c r="C12" i="13"/>
  <c r="D63" i="4"/>
  <c r="D97" i="4"/>
  <c r="D105" i="4"/>
  <c r="B78" i="11"/>
  <c r="C78" i="11"/>
  <c r="D78" i="11"/>
  <c r="D7" i="11"/>
  <c r="F63" i="4"/>
  <c r="F97" i="4"/>
  <c r="F105" i="4"/>
  <c r="J12" i="4"/>
  <c r="D22" i="11"/>
  <c r="O12" i="4"/>
  <c r="I63" i="4"/>
  <c r="I97" i="4"/>
  <c r="I105" i="4"/>
  <c r="D25" i="11"/>
  <c r="B82" i="11"/>
  <c r="B11" i="13"/>
  <c r="D12" i="4"/>
  <c r="R77" i="4"/>
  <c r="H12" i="4"/>
  <c r="B9" i="11"/>
  <c r="D23" i="11"/>
  <c r="D19" i="11"/>
  <c r="D73" i="11"/>
  <c r="D44" i="11"/>
  <c r="D35" i="11"/>
  <c r="D32" i="11"/>
  <c r="D15" i="11"/>
  <c r="D63" i="13"/>
  <c r="D97" i="13"/>
  <c r="D105" i="13"/>
  <c r="D14" i="11"/>
  <c r="Q63" i="4"/>
  <c r="Q97" i="4"/>
  <c r="Q105" i="4"/>
  <c r="C105" i="11"/>
  <c r="B105" i="11"/>
  <c r="D105" i="11"/>
  <c r="D87" i="11"/>
  <c r="N63" i="4"/>
  <c r="N97" i="4"/>
  <c r="N105" i="4"/>
  <c r="N12" i="4"/>
  <c r="H63" i="4"/>
  <c r="H97" i="4"/>
  <c r="H105" i="4"/>
  <c r="F12" i="4"/>
  <c r="D60" i="11"/>
  <c r="M12" i="4"/>
  <c r="R8" i="4"/>
  <c r="D84" i="11"/>
  <c r="D74" i="11"/>
  <c r="D59" i="11"/>
  <c r="D38" i="11"/>
  <c r="P63" i="4"/>
  <c r="P97" i="4"/>
  <c r="P105" i="4"/>
  <c r="C63" i="11"/>
  <c r="B63" i="11"/>
  <c r="D63" i="11"/>
  <c r="C9" i="11"/>
  <c r="C12" i="11"/>
  <c r="C13" i="11"/>
  <c r="B12" i="11"/>
  <c r="B13" i="11"/>
  <c r="D13" i="11"/>
  <c r="D12" i="13"/>
  <c r="D58" i="11"/>
  <c r="D100" i="11"/>
  <c r="D62" i="11"/>
  <c r="D24" i="11"/>
  <c r="D101" i="11"/>
  <c r="D90" i="11"/>
  <c r="R62" i="4"/>
  <c r="D66" i="11"/>
  <c r="R38" i="4"/>
  <c r="C63" i="13"/>
  <c r="C97" i="13"/>
  <c r="C105" i="13"/>
  <c r="D75" i="11"/>
  <c r="B71" i="11"/>
  <c r="B39" i="11"/>
  <c r="D28" i="11"/>
  <c r="D103" i="11"/>
  <c r="D88" i="11"/>
  <c r="D42" i="11"/>
  <c r="D21" i="11"/>
  <c r="D16" i="11"/>
  <c r="R26" i="4"/>
  <c r="F63" i="13"/>
  <c r="F97" i="13"/>
  <c r="F105" i="13"/>
  <c r="F107" i="13"/>
  <c r="AD199" i="20"/>
  <c r="R12" i="4"/>
  <c r="B42" i="4"/>
  <c r="D77" i="11"/>
  <c r="C71" i="11"/>
  <c r="D71" i="11"/>
  <c r="M63" i="4"/>
  <c r="M97" i="4"/>
  <c r="M105" i="4"/>
  <c r="E63" i="13"/>
  <c r="G63" i="4"/>
  <c r="G97" i="4"/>
  <c r="G105" i="4"/>
  <c r="D91" i="11"/>
  <c r="J63" i="4"/>
  <c r="J97" i="4"/>
  <c r="J105" i="4"/>
  <c r="D41" i="11"/>
  <c r="K63" i="4"/>
  <c r="K97" i="4"/>
  <c r="K105" i="4"/>
  <c r="B62" i="4"/>
  <c r="D104" i="11"/>
  <c r="E12" i="4"/>
  <c r="T63" i="4"/>
  <c r="T97" i="4"/>
  <c r="D11" i="11"/>
  <c r="C12" i="4"/>
  <c r="B12" i="13"/>
  <c r="B12" i="4"/>
  <c r="E97" i="13"/>
  <c r="D12" i="11"/>
  <c r="H63" i="13"/>
  <c r="T105" i="4"/>
  <c r="H97" i="13"/>
  <c r="D96" i="11"/>
  <c r="T107" i="4"/>
  <c r="H105" i="13"/>
  <c r="E105" i="13"/>
  <c r="H107" i="13"/>
  <c r="AD11" i="15"/>
  <c r="AZ846" i="3"/>
  <c r="D92" i="11"/>
  <c r="R96" i="4"/>
  <c r="B97" i="11"/>
  <c r="C97" i="11"/>
  <c r="N186" i="27"/>
  <c r="D86" i="11"/>
  <c r="N193" i="27"/>
  <c r="B96" i="13"/>
  <c r="C82" i="11"/>
  <c r="D82" i="11"/>
  <c r="R54" i="4"/>
  <c r="B55" i="11"/>
  <c r="B64" i="11"/>
  <c r="C55" i="11"/>
  <c r="D55" i="11"/>
  <c r="D47" i="11"/>
  <c r="B54" i="13"/>
  <c r="C39" i="11"/>
  <c r="D39" i="11"/>
  <c r="R63" i="4"/>
  <c r="E63" i="4"/>
  <c r="E97" i="4"/>
  <c r="E105" i="4"/>
  <c r="D9" i="11"/>
  <c r="B63" i="4"/>
  <c r="G67" i="21"/>
  <c r="AD23" i="15"/>
  <c r="AD26" i="15"/>
  <c r="B63" i="13"/>
  <c r="AA29" i="7"/>
  <c r="R44" i="21"/>
  <c r="O29" i="7"/>
  <c r="C798" i="3"/>
  <c r="G40" i="7"/>
  <c r="G43"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F1016" i="3"/>
  <c r="Y596" i="20"/>
  <c r="AP576" i="20"/>
  <c r="BT703" i="3"/>
  <c r="BU701" i="3"/>
  <c r="BV701" i="3"/>
  <c r="AZ843" i="3"/>
  <c r="AZ851" i="3"/>
  <c r="AB223" i="20"/>
  <c r="AB239" i="20"/>
  <c r="AB241" i="20"/>
  <c r="AB243" i="20"/>
  <c r="AB249" i="20"/>
  <c r="AD198" i="20"/>
  <c r="AD200" i="20"/>
  <c r="AO65" i="20"/>
  <c r="AP364" i="20"/>
  <c r="AQ364" i="20"/>
  <c r="AK524" i="20"/>
  <c r="T802" i="20"/>
  <c r="AF802" i="20"/>
  <c r="BG703" i="3"/>
  <c r="EC648" i="3"/>
  <c r="EC597" i="3"/>
  <c r="EC632" i="3"/>
  <c r="Y7" i="15"/>
  <c r="AI7" i="15"/>
  <c r="DX597" i="3"/>
  <c r="DX669" i="3"/>
  <c r="CS632" i="3"/>
  <c r="AG29" i="7"/>
  <c r="AC28" i="7"/>
  <c r="AO641" i="3"/>
  <c r="K29" i="7"/>
  <c r="S29" i="7"/>
  <c r="T26" i="15"/>
  <c r="AG28" i="7"/>
  <c r="Y28" i="7"/>
  <c r="U28" i="7"/>
  <c r="S28" i="7"/>
  <c r="Q28" i="7"/>
  <c r="W28" i="7"/>
  <c r="I28" i="7"/>
  <c r="O28" i="7"/>
  <c r="AA28" i="7"/>
  <c r="G28" i="7"/>
  <c r="M28" i="7"/>
  <c r="K28" i="7"/>
  <c r="AG40" i="7"/>
  <c r="AG43" i="7"/>
  <c r="S40" i="7"/>
  <c r="S43" i="7"/>
  <c r="AK172" i="20"/>
  <c r="AP355" i="20"/>
  <c r="AQ355" i="20"/>
  <c r="AS349" i="20"/>
  <c r="T805" i="20"/>
  <c r="AO17" i="20"/>
  <c r="AO36" i="20"/>
  <c r="AK56" i="20"/>
  <c r="T797" i="20"/>
  <c r="AF797" i="20"/>
  <c r="AK783" i="20"/>
  <c r="T808" i="20"/>
  <c r="AF808" i="20"/>
  <c r="T44" i="21"/>
  <c r="P44" i="21" a="1"/>
  <c r="P44" i="21"/>
  <c r="Q21" i="21" a="1"/>
  <c r="Q21" i="21"/>
  <c r="G32" i="7"/>
  <c r="I32" i="7"/>
  <c r="K32" i="7"/>
  <c r="M32" i="7"/>
  <c r="O32" i="7"/>
  <c r="Q32" i="7"/>
  <c r="S32" i="7"/>
  <c r="U32" i="7"/>
  <c r="W32" i="7"/>
  <c r="Y32" i="7"/>
  <c r="AA32" i="7"/>
  <c r="AC32" i="7"/>
  <c r="AE32" i="7"/>
  <c r="AG32" i="7"/>
  <c r="AC40" i="7"/>
  <c r="AC43" i="7"/>
  <c r="I40" i="7"/>
  <c r="I43" i="7"/>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AG445" i="3"/>
  <c r="AD27" i="15"/>
  <c r="AD28" i="15"/>
  <c r="DR632" i="3"/>
  <c r="S24" i="21"/>
  <c r="B27" i="11"/>
  <c r="D26" i="11"/>
  <c r="D27" i="11"/>
  <c r="S30" i="21"/>
  <c r="O40" i="21"/>
  <c r="T7" i="15"/>
  <c r="E43" i="7"/>
  <c r="AC29" i="7"/>
  <c r="M29" i="7"/>
  <c r="Q44" i="21" a="1"/>
  <c r="Q44" i="21"/>
  <c r="Q40" i="7"/>
  <c r="Q43" i="7"/>
  <c r="G29" i="7"/>
  <c r="Q29" i="7"/>
  <c r="AA40" i="7"/>
  <c r="AA43" i="7"/>
  <c r="Y40" i="7"/>
  <c r="Y43" i="7"/>
  <c r="M40" i="7"/>
  <c r="M43" i="7"/>
  <c r="AE29" i="7"/>
  <c r="S28" i="21"/>
  <c r="AE40" i="7"/>
  <c r="AE43" i="7"/>
  <c r="W40" i="7"/>
  <c r="W43" i="7"/>
  <c r="W29" i="7"/>
  <c r="P40" i="21" a="1"/>
  <c r="P40" i="21"/>
  <c r="O40" i="7"/>
  <c r="O43" i="7"/>
  <c r="Q25" i="21" a="1"/>
  <c r="Q25" i="21"/>
  <c r="S36" i="21"/>
  <c r="S42"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Q31" i="21" a="1"/>
  <c r="Q31" i="21"/>
  <c r="R987" i="3"/>
  <c r="G121" i="21"/>
  <c r="G123" i="21"/>
  <c r="I15" i="21"/>
  <c r="R986" i="3"/>
  <c r="R985" i="3"/>
  <c r="AC777" i="3"/>
  <c r="T22" i="21"/>
  <c r="S41" i="21"/>
  <c r="E99" i="20"/>
  <c r="O44" i="21"/>
  <c r="R41" i="21"/>
  <c r="T41" i="21"/>
  <c r="Q23" i="21" a="1"/>
  <c r="Q23" i="21"/>
  <c r="E98" i="20"/>
  <c r="Q40" i="21" a="1"/>
  <c r="Q40" i="21"/>
  <c r="O41" i="21"/>
  <c r="R40" i="21"/>
  <c r="T40" i="21"/>
  <c r="AC883" i="3"/>
  <c r="BG243" i="3"/>
  <c r="BO245" i="3"/>
  <c r="T267" i="3"/>
  <c r="P41" i="21" a="1"/>
  <c r="P41" i="21"/>
  <c r="Q29" i="21" a="1"/>
  <c r="Q29" i="21"/>
  <c r="CX632" i="3"/>
  <c r="Q34" i="21" a="1"/>
  <c r="Q34" i="21"/>
  <c r="Q38" i="21" a="1"/>
  <c r="Q38" i="21"/>
  <c r="P38" i="21" a="1"/>
  <c r="P38" i="21"/>
  <c r="R38" i="21"/>
  <c r="BN641" i="3"/>
  <c r="BR642" i="3"/>
  <c r="R989" i="3"/>
  <c r="ER632" i="3"/>
  <c r="BX655" i="3"/>
  <c r="CB656" i="3"/>
  <c r="DC652" i="3"/>
  <c r="DC655" i="3"/>
  <c r="Q32" i="21" a="1"/>
  <c r="Q32" i="21"/>
  <c r="S32" i="21"/>
  <c r="S26" i="21"/>
  <c r="T26" i="21"/>
  <c r="Q26" i="21" a="1"/>
  <c r="Q26" i="21"/>
  <c r="AX681" i="20"/>
  <c r="BS655" i="3"/>
  <c r="BW656" i="3"/>
  <c r="T20" i="21"/>
  <c r="M18" i="21"/>
  <c r="Q37" i="21" a="1"/>
  <c r="Q37" i="21"/>
  <c r="P37" i="21" a="1"/>
  <c r="P37" i="21"/>
  <c r="R37" i="21"/>
  <c r="S37" i="21"/>
  <c r="AX682" i="20"/>
  <c r="AX680" i="20"/>
  <c r="DR655" i="3"/>
  <c r="CH655" i="3"/>
  <c r="CL656" i="3"/>
  <c r="DM645" i="3"/>
  <c r="DM655" i="3"/>
  <c r="DH655" i="3"/>
  <c r="AC884" i="3"/>
  <c r="CC655" i="3"/>
  <c r="CG656" i="3"/>
  <c r="EH632" i="3"/>
  <c r="CS648" i="3"/>
  <c r="CS655" i="3"/>
  <c r="BN655" i="3"/>
  <c r="P39" i="21" a="1"/>
  <c r="P39" i="21"/>
  <c r="O39" i="21"/>
  <c r="AV116" i="20"/>
  <c r="AW115" i="20"/>
  <c r="O42" i="21"/>
  <c r="T39" i="21"/>
  <c r="Q22" i="21" a="1"/>
  <c r="Q22" i="21"/>
  <c r="S38" i="21"/>
  <c r="S29" i="21"/>
  <c r="S20" i="21"/>
  <c r="Q20" i="21" a="1"/>
  <c r="Q20" i="21"/>
  <c r="R43" i="21"/>
  <c r="T43" i="21"/>
  <c r="P42" i="21" a="1"/>
  <c r="P42" i="21"/>
  <c r="R42" i="21"/>
  <c r="T42" i="21"/>
  <c r="G19" i="7"/>
  <c r="I19" i="7"/>
  <c r="K19" i="7"/>
  <c r="M19" i="7"/>
  <c r="O19" i="7"/>
  <c r="Q19" i="7"/>
  <c r="S19" i="7"/>
  <c r="U19" i="7"/>
  <c r="W19" i="7"/>
  <c r="Y19" i="7"/>
  <c r="AA19" i="7"/>
  <c r="AC19" i="7"/>
  <c r="AE19" i="7"/>
  <c r="AG19" i="7"/>
  <c r="Q33" i="21" a="1"/>
  <c r="Q33" i="21"/>
  <c r="O43" i="21"/>
  <c r="Q24" i="21" a="1"/>
  <c r="Q24" i="21"/>
  <c r="E25" i="21"/>
  <c r="G53" i="21"/>
  <c r="E24" i="21"/>
  <c r="E22" i="21"/>
  <c r="F22" i="21"/>
  <c r="G40" i="8"/>
  <c r="I15" i="7"/>
  <c r="E26" i="21"/>
  <c r="E23" i="21"/>
  <c r="F23" i="21"/>
  <c r="G23" i="21"/>
  <c r="B98" i="11"/>
  <c r="B106" i="11"/>
  <c r="R97" i="4"/>
  <c r="R105" i="4"/>
  <c r="D97" i="11"/>
  <c r="C64" i="11"/>
  <c r="D64" i="11"/>
  <c r="C105" i="4"/>
  <c r="AC455" i="3"/>
  <c r="DX635" i="3"/>
  <c r="BH702" i="3"/>
  <c r="BI702" i="3"/>
  <c r="BH701" i="3"/>
  <c r="BI701" i="3"/>
  <c r="BU669" i="3"/>
  <c r="BV669" i="3"/>
  <c r="BU677" i="3"/>
  <c r="BV677" i="3"/>
  <c r="BU685" i="3"/>
  <c r="BV685" i="3"/>
  <c r="BU693" i="3"/>
  <c r="BV693" i="3"/>
  <c r="BU702" i="3"/>
  <c r="BV702" i="3"/>
  <c r="BU670" i="3"/>
  <c r="BV670" i="3"/>
  <c r="BU678" i="3"/>
  <c r="BV678" i="3"/>
  <c r="BU686" i="3"/>
  <c r="BV686" i="3"/>
  <c r="BU694" i="3"/>
  <c r="BV694" i="3"/>
  <c r="BU668" i="3"/>
  <c r="BV668" i="3"/>
  <c r="BU671" i="3"/>
  <c r="BV671" i="3"/>
  <c r="BU679" i="3"/>
  <c r="BV679" i="3"/>
  <c r="BU687" i="3"/>
  <c r="BV687" i="3"/>
  <c r="BU695" i="3"/>
  <c r="BV695" i="3"/>
  <c r="BU681" i="3"/>
  <c r="BV681" i="3"/>
  <c r="BU689" i="3"/>
  <c r="BV689" i="3"/>
  <c r="BU698" i="3"/>
  <c r="BV698" i="3"/>
  <c r="BU684" i="3"/>
  <c r="BV684" i="3"/>
  <c r="BU700" i="3"/>
  <c r="BV700" i="3"/>
  <c r="BU672" i="3"/>
  <c r="BV672" i="3"/>
  <c r="BU680" i="3"/>
  <c r="BU688" i="3"/>
  <c r="BV688" i="3"/>
  <c r="BU696" i="3"/>
  <c r="BV696" i="3"/>
  <c r="BU673" i="3"/>
  <c r="BV673" i="3"/>
  <c r="BU697" i="3"/>
  <c r="BV697" i="3"/>
  <c r="BU674" i="3"/>
  <c r="BV674" i="3"/>
  <c r="BU682" i="3"/>
  <c r="BV682" i="3"/>
  <c r="BU690" i="3"/>
  <c r="BV690" i="3"/>
  <c r="BU676" i="3"/>
  <c r="BV676" i="3"/>
  <c r="BU692" i="3"/>
  <c r="BV692" i="3"/>
  <c r="BU675" i="3"/>
  <c r="BV675" i="3"/>
  <c r="BU683" i="3"/>
  <c r="BV683" i="3"/>
  <c r="BU691" i="3"/>
  <c r="BU699" i="3"/>
  <c r="BV699" i="3"/>
  <c r="BH674" i="3"/>
  <c r="BI674" i="3"/>
  <c r="BH675" i="3"/>
  <c r="BI675" i="3"/>
  <c r="BH683" i="3"/>
  <c r="BI683" i="3"/>
  <c r="BH691" i="3"/>
  <c r="BI691" i="3"/>
  <c r="BH699" i="3"/>
  <c r="BI699" i="3"/>
  <c r="BH676" i="3"/>
  <c r="BI676" i="3"/>
  <c r="BH684" i="3"/>
  <c r="BI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E22" i="7"/>
  <c r="BV691" i="3"/>
  <c r="AX683" i="20"/>
  <c r="AY684" i="20"/>
  <c r="I14" i="21"/>
  <c r="AS351" i="20"/>
  <c r="AS347" i="20"/>
  <c r="AK458" i="20"/>
  <c r="T806" i="20"/>
  <c r="AF806" i="20"/>
  <c r="DX661" i="3"/>
  <c r="BR634"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T804" i="20"/>
  <c r="AF804" i="20"/>
  <c r="Y27" i="15"/>
  <c r="AI27" i="15"/>
  <c r="T793" i="20"/>
  <c r="AF793" i="20"/>
  <c r="AK78" i="20"/>
  <c r="T27" i="15"/>
  <c r="Y800" i="3"/>
  <c r="G22" i="7"/>
  <c r="G35"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c r="S18" i="21"/>
  <c r="G44" i="21"/>
  <c r="CS641" i="3"/>
  <c r="EC642" i="3"/>
  <c r="AW111" i="20"/>
  <c r="AW114" i="20"/>
  <c r="EH641"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I22" i="7"/>
  <c r="I35" i="7"/>
  <c r="E27" i="21"/>
  <c r="G22" i="21"/>
  <c r="B105" i="4"/>
  <c r="AC454" i="3"/>
  <c r="F457" i="3"/>
  <c r="B105" i="13"/>
  <c r="AG258" i="20"/>
  <c r="B97" i="4"/>
  <c r="B97" i="13"/>
  <c r="C98" i="11"/>
  <c r="C106" i="11"/>
  <c r="D106" i="11"/>
  <c r="O33" i="21"/>
  <c r="P33" i="21" a="1"/>
  <c r="P33" i="21"/>
  <c r="R33" i="21"/>
  <c r="O35" i="21"/>
  <c r="P35" i="21" a="1"/>
  <c r="P35" i="21"/>
  <c r="R35" i="21"/>
  <c r="O34" i="21"/>
  <c r="P34" i="21" a="1"/>
  <c r="P34" i="21"/>
  <c r="R34" i="21"/>
  <c r="O29" i="21"/>
  <c r="P29" i="21" a="1"/>
  <c r="P29" i="21"/>
  <c r="R29" i="21"/>
  <c r="O32" i="21"/>
  <c r="P32" i="21" a="1"/>
  <c r="P32" i="21"/>
  <c r="R32" i="21"/>
  <c r="O31" i="21"/>
  <c r="P31" i="21" a="1"/>
  <c r="P31" i="21"/>
  <c r="R31" i="21"/>
  <c r="O30" i="21"/>
  <c r="P30" i="21" a="1"/>
  <c r="P30" i="21"/>
  <c r="R30" i="21"/>
  <c r="O27" i="21"/>
  <c r="P27" i="21" a="1"/>
  <c r="P27" i="21"/>
  <c r="R27" i="21"/>
  <c r="O28" i="21"/>
  <c r="P28" i="21" a="1"/>
  <c r="P28" i="21"/>
  <c r="R28" i="21"/>
  <c r="O24" i="21"/>
  <c r="P24" i="21" a="1"/>
  <c r="P24" i="21"/>
  <c r="R24" i="21"/>
  <c r="O26" i="21"/>
  <c r="P26" i="21" a="1"/>
  <c r="P26" i="21"/>
  <c r="R26" i="21"/>
  <c r="O25" i="21"/>
  <c r="P25" i="21" a="1"/>
  <c r="P25" i="21"/>
  <c r="R25" i="21"/>
  <c r="T28" i="15"/>
  <c r="CS634" i="3"/>
  <c r="O756" i="3"/>
  <c r="BH703" i="3"/>
  <c r="BV703" i="3"/>
  <c r="AH753" i="3"/>
  <c r="E35" i="7"/>
  <c r="Y23" i="15"/>
  <c r="Y26" i="15"/>
  <c r="Y28" i="15"/>
  <c r="Y64" i="15"/>
  <c r="AI23" i="15"/>
  <c r="AI26" i="15"/>
  <c r="AI28" i="15"/>
  <c r="O22" i="21"/>
  <c r="P22" i="21" a="1"/>
  <c r="P22" i="21"/>
  <c r="R22" i="21"/>
  <c r="O23" i="21"/>
  <c r="P23" i="21" a="1"/>
  <c r="P23" i="21"/>
  <c r="R23" i="21"/>
  <c r="O20" i="21"/>
  <c r="P20" i="21" a="1"/>
  <c r="P20" i="21"/>
  <c r="R20" i="21"/>
  <c r="O21" i="21"/>
  <c r="P21" i="21" a="1"/>
  <c r="P21" i="21"/>
  <c r="R21" i="21"/>
  <c r="BU703" i="3"/>
  <c r="AX684" i="20"/>
  <c r="AO684" i="20"/>
  <c r="BI668" i="3"/>
  <c r="DX670" i="3"/>
  <c r="E124" i="20"/>
  <c r="E127" i="20"/>
  <c r="E130" i="20"/>
  <c r="AW116" i="20"/>
  <c r="AK180" i="20"/>
  <c r="T800" i="20"/>
  <c r="AF800" i="20"/>
  <c r="T794" i="20"/>
  <c r="AF794" i="20"/>
  <c r="K8" i="7"/>
  <c r="M8" i="7"/>
  <c r="G5" i="7"/>
  <c r="EC670" i="3"/>
  <c r="J124" i="20"/>
  <c r="J127" i="20"/>
  <c r="J130" i="20"/>
  <c r="Z818" i="3"/>
  <c r="E5" i="7"/>
  <c r="EW670" i="3"/>
  <c r="AD124" i="20"/>
  <c r="AD127" i="20"/>
  <c r="AD130" i="20"/>
  <c r="EH670" i="3"/>
  <c r="O124" i="20"/>
  <c r="O127" i="20"/>
  <c r="O130" i="20"/>
  <c r="ER670" i="3"/>
  <c r="Y124" i="20"/>
  <c r="Y127" i="20"/>
  <c r="Y130" i="20"/>
  <c r="EM670" i="3"/>
  <c r="T124" i="20"/>
  <c r="T127" i="20"/>
  <c r="T130" i="20"/>
  <c r="E7" i="7"/>
  <c r="M15" i="7"/>
  <c r="K22" i="7"/>
  <c r="K35" i="7"/>
  <c r="F25" i="21"/>
  <c r="G54" i="21"/>
  <c r="G56" i="21"/>
  <c r="G58" i="21"/>
  <c r="E12" i="21"/>
  <c r="F26" i="21"/>
  <c r="G26" i="21"/>
  <c r="G45" i="21"/>
  <c r="G47" i="21"/>
  <c r="G49" i="21"/>
  <c r="E11" i="21"/>
  <c r="D98" i="11"/>
  <c r="N183" i="27"/>
  <c r="N194" i="27"/>
  <c r="AB47" i="15"/>
  <c r="AB49" i="15"/>
  <c r="AB54" i="15"/>
  <c r="AB55" i="15"/>
  <c r="AB255" i="20"/>
  <c r="AG257" i="20"/>
  <c r="AG259" i="20"/>
  <c r="AK262" i="20"/>
  <c r="T801" i="20"/>
  <c r="AF801" i="20"/>
  <c r="Y68" i="15"/>
  <c r="Y69" i="15"/>
  <c r="G38" i="21"/>
  <c r="G40" i="21"/>
  <c r="E10" i="21"/>
  <c r="AP694" i="20"/>
  <c r="AP695" i="20"/>
  <c r="T29" i="15"/>
  <c r="I5" i="7"/>
  <c r="K9" i="7"/>
  <c r="E11" i="7"/>
  <c r="E37" i="7"/>
  <c r="E49" i="7"/>
  <c r="E132" i="20"/>
  <c r="E133" i="20"/>
  <c r="AK137" i="20"/>
  <c r="T796" i="20"/>
  <c r="AF796" i="20"/>
  <c r="AB990" i="3"/>
  <c r="CS660" i="3"/>
  <c r="U362" i="20"/>
  <c r="P421" i="3"/>
  <c r="G7" i="7"/>
  <c r="G11" i="7"/>
  <c r="G37" i="7"/>
  <c r="M22" i="7"/>
  <c r="M35" i="7"/>
  <c r="O15" i="7"/>
  <c r="M9" i="7"/>
  <c r="O8" i="7"/>
  <c r="G25" i="21"/>
  <c r="F24" i="21"/>
  <c r="N184" i="27"/>
  <c r="B1059" i="3"/>
  <c r="E45" i="7"/>
  <c r="E48" i="7"/>
  <c r="G45" i="7"/>
  <c r="G49" i="7"/>
  <c r="I7" i="7"/>
  <c r="I11" i="7"/>
  <c r="I37" i="7"/>
  <c r="G24" i="21"/>
  <c r="F27" i="21"/>
  <c r="G27" i="21"/>
  <c r="O22" i="7"/>
  <c r="O35" i="7"/>
  <c r="Q15" i="7"/>
  <c r="O9" i="7"/>
  <c r="Q8" i="7"/>
  <c r="K5" i="7"/>
  <c r="E47" i="7"/>
  <c r="E60" i="7"/>
  <c r="E62" i="7"/>
  <c r="M5" i="7"/>
  <c r="I45" i="7"/>
  <c r="I49" i="7"/>
  <c r="K7" i="7"/>
  <c r="G60" i="7"/>
  <c r="G47" i="7"/>
  <c r="G48" i="7"/>
  <c r="Q22" i="7"/>
  <c r="Q35" i="7"/>
  <c r="S15" i="7"/>
  <c r="G95" i="21"/>
  <c r="G96" i="21"/>
  <c r="G29" i="21"/>
  <c r="G31" i="21"/>
  <c r="E9" i="21"/>
  <c r="G104" i="21"/>
  <c r="G106" i="21"/>
  <c r="G79" i="21"/>
  <c r="G64" i="21"/>
  <c r="Q9" i="7"/>
  <c r="S8" i="7"/>
  <c r="T24" i="15"/>
  <c r="Y38" i="15"/>
  <c r="Y40" i="15"/>
  <c r="K11" i="7"/>
  <c r="K37" i="7"/>
  <c r="K45" i="7"/>
  <c r="E66" i="7"/>
  <c r="E67" i="7"/>
  <c r="O5" i="7"/>
  <c r="M7" i="7"/>
  <c r="M11" i="7"/>
  <c r="M37" i="7"/>
  <c r="G67" i="7"/>
  <c r="G62" i="7"/>
  <c r="G66" i="7"/>
  <c r="I48" i="7"/>
  <c r="I60" i="7"/>
  <c r="I47" i="7"/>
  <c r="G69" i="21"/>
  <c r="G81" i="21"/>
  <c r="G65" i="21"/>
  <c r="S22" i="7"/>
  <c r="S35" i="7"/>
  <c r="U15" i="7"/>
  <c r="E14" i="21"/>
  <c r="E15" i="21"/>
  <c r="U8" i="7"/>
  <c r="S9" i="7"/>
  <c r="AD38" i="15"/>
  <c r="AD40" i="15"/>
  <c r="Y41" i="15"/>
  <c r="AB56" i="15"/>
  <c r="M26" i="3"/>
  <c r="K49" i="7"/>
  <c r="E70" i="7"/>
  <c r="E72" i="7"/>
  <c r="Q5" i="7"/>
  <c r="G70" i="7"/>
  <c r="G72" i="7"/>
  <c r="O7" i="7"/>
  <c r="O11" i="7"/>
  <c r="O37" i="7"/>
  <c r="M45" i="7"/>
  <c r="M49" i="7"/>
  <c r="I66" i="7"/>
  <c r="I67" i="7"/>
  <c r="I62" i="7"/>
  <c r="K47" i="7"/>
  <c r="K60" i="7"/>
  <c r="K48" i="7"/>
  <c r="U22" i="7"/>
  <c r="W15" i="7"/>
  <c r="G83" i="21"/>
  <c r="E13" i="21"/>
  <c r="E16" i="21"/>
  <c r="H3" i="21"/>
  <c r="U9" i="7"/>
  <c r="W8" i="7"/>
  <c r="AB57" i="15"/>
  <c r="S5" i="7"/>
  <c r="P204" i="3"/>
  <c r="M48" i="7"/>
  <c r="M47" i="7"/>
  <c r="M60" i="7"/>
  <c r="O45" i="7"/>
  <c r="O49" i="7"/>
  <c r="K66" i="7"/>
  <c r="K67" i="7"/>
  <c r="K62" i="7"/>
  <c r="Q7" i="7"/>
  <c r="Q11" i="7"/>
  <c r="Q37" i="7"/>
  <c r="I70" i="7"/>
  <c r="I72" i="7"/>
  <c r="W22" i="7"/>
  <c r="W35" i="7"/>
  <c r="Y15" i="7"/>
  <c r="W9" i="7"/>
  <c r="Y8" i="7"/>
  <c r="AB59" i="15"/>
  <c r="AB77" i="15"/>
  <c r="W4" i="7"/>
  <c r="Q49" i="7"/>
  <c r="Q45" i="7"/>
  <c r="M62" i="7"/>
  <c r="M67" i="7"/>
  <c r="M66" i="7"/>
  <c r="O47" i="7"/>
  <c r="O48" i="7"/>
  <c r="O60" i="7"/>
  <c r="K70" i="7"/>
  <c r="K72" i="7"/>
  <c r="S7" i="7"/>
  <c r="S11" i="7"/>
  <c r="S37" i="7"/>
  <c r="Y22" i="7"/>
  <c r="Y35" i="7"/>
  <c r="AA15" i="7"/>
  <c r="Y9" i="7"/>
  <c r="AA8" i="7"/>
  <c r="AB78" i="15"/>
  <c r="AB79" i="15"/>
  <c r="AB81" i="15"/>
  <c r="J82" i="15"/>
  <c r="M70" i="7"/>
  <c r="M72" i="7"/>
  <c r="W5" i="7"/>
  <c r="Y4" i="7"/>
  <c r="W6" i="7"/>
  <c r="O67" i="7"/>
  <c r="O66" i="7"/>
  <c r="O62" i="7"/>
  <c r="Q60" i="7"/>
  <c r="Q48" i="7"/>
  <c r="Q47" i="7"/>
  <c r="S49" i="7"/>
  <c r="S45" i="7"/>
  <c r="AC15" i="7"/>
  <c r="AA22" i="7"/>
  <c r="AA35" i="7"/>
  <c r="AC8" i="7"/>
  <c r="AA9" i="7"/>
  <c r="I10" i="21"/>
  <c r="I11" i="21"/>
  <c r="I16" i="21"/>
  <c r="H4" i="21"/>
  <c r="H5" i="21"/>
  <c r="M27" i="3"/>
  <c r="P205" i="3"/>
  <c r="AA4" i="7"/>
  <c r="Y5" i="7"/>
  <c r="Y6" i="7"/>
  <c r="W7" i="7"/>
  <c r="W11" i="7"/>
  <c r="W37" i="7"/>
  <c r="U49" i="7"/>
  <c r="Q66" i="7"/>
  <c r="Q67" i="7"/>
  <c r="Q62" i="7"/>
  <c r="S48" i="7"/>
  <c r="S47" i="7"/>
  <c r="S60" i="7"/>
  <c r="O70" i="7"/>
  <c r="O72" i="7"/>
  <c r="AE15" i="7"/>
  <c r="AC22" i="7"/>
  <c r="AC35" i="7"/>
  <c r="AC9" i="7"/>
  <c r="AE8" i="7"/>
  <c r="AA5" i="7"/>
  <c r="AC4" i="7"/>
  <c r="S67" i="7"/>
  <c r="S66" i="7"/>
  <c r="S62" i="7"/>
  <c r="U48" i="7"/>
  <c r="U47" i="7"/>
  <c r="Q70" i="7"/>
  <c r="Q72" i="7"/>
  <c r="W49" i="7"/>
  <c r="W45" i="7"/>
  <c r="Y7" i="7"/>
  <c r="Y11" i="7"/>
  <c r="Y37" i="7"/>
  <c r="AA6" i="7"/>
  <c r="AE22" i="7"/>
  <c r="AE35" i="7"/>
  <c r="AG15" i="7"/>
  <c r="AG22" i="7"/>
  <c r="AG35" i="7"/>
  <c r="AE9" i="7"/>
  <c r="AG8" i="7"/>
  <c r="AG9" i="7"/>
  <c r="S70" i="7"/>
  <c r="S72" i="7"/>
  <c r="AC5" i="7"/>
  <c r="AE4" i="7"/>
  <c r="AC6" i="7"/>
  <c r="AA7" i="7"/>
  <c r="AA11" i="7"/>
  <c r="AA37" i="7"/>
  <c r="U66" i="7"/>
  <c r="U67" i="7"/>
  <c r="Y49" i="7"/>
  <c r="Y45" i="7"/>
  <c r="W60" i="7"/>
  <c r="W47" i="7"/>
  <c r="W48" i="7"/>
  <c r="AE5" i="7"/>
  <c r="AG4" i="7"/>
  <c r="AG5" i="7"/>
  <c r="AA45" i="7"/>
  <c r="AA49" i="7"/>
  <c r="U70" i="7"/>
  <c r="U72" i="7"/>
  <c r="W67" i="7"/>
  <c r="W66" i="7"/>
  <c r="Y47" i="7"/>
  <c r="Y48" i="7"/>
  <c r="Y60" i="7"/>
  <c r="AE6" i="7"/>
  <c r="AC7" i="7"/>
  <c r="AC11" i="7"/>
  <c r="AC37" i="7"/>
  <c r="W70" i="7"/>
  <c r="W72" i="7"/>
  <c r="AA60" i="7"/>
  <c r="AA47" i="7"/>
  <c r="AA48" i="7"/>
  <c r="AC45" i="7"/>
  <c r="AC49" i="7"/>
  <c r="AE7" i="7"/>
  <c r="AE11" i="7"/>
  <c r="AE37" i="7"/>
  <c r="AG6" i="7"/>
  <c r="Y67" i="7"/>
  <c r="Y66" i="7"/>
  <c r="Y70" i="7"/>
  <c r="Y72" i="7"/>
  <c r="AG7" i="7"/>
  <c r="AG11" i="7"/>
  <c r="AG37" i="7"/>
  <c r="AE49" i="7"/>
  <c r="AE45" i="7"/>
  <c r="AC60" i="7"/>
  <c r="AC48" i="7"/>
  <c r="AC47" i="7"/>
  <c r="AA66" i="7"/>
  <c r="AA67" i="7"/>
  <c r="AA70" i="7"/>
  <c r="AA72" i="7"/>
  <c r="AC66" i="7"/>
  <c r="AC67" i="7"/>
  <c r="AE47" i="7"/>
  <c r="AE60" i="7"/>
  <c r="AE48" i="7"/>
  <c r="AG49" i="7"/>
  <c r="AG45" i="7"/>
  <c r="AG48" i="7"/>
  <c r="AG60" i="7"/>
  <c r="AG47" i="7"/>
  <c r="AE66" i="7"/>
  <c r="AE67" i="7"/>
  <c r="AC70" i="7"/>
  <c r="AC72" i="7"/>
  <c r="AE70" i="7"/>
  <c r="AE72" i="7"/>
  <c r="AG66" i="7"/>
  <c r="AG67" i="7"/>
  <c r="AG70" i="7"/>
  <c r="AG72" i="7"/>
  <c r="BI693" i="3"/>
  <c r="BI703" i="3"/>
  <c r="AC753" i="3"/>
  <c r="E87" i="20"/>
  <c r="E88" i="20"/>
  <c r="E89" i="20"/>
  <c r="E97" i="20"/>
  <c r="E100" i="20"/>
  <c r="AP100" i="20"/>
  <c r="AK103" i="20"/>
  <c r="T795" i="20"/>
  <c r="AF795" i="20"/>
  <c r="AF81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<sst xmlns="http://schemas.openxmlformats.org/spreadsheetml/2006/main" count="5319" uniqueCount="2776">
  <si>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</si>
  <si>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</si>
  <si>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</si>
  <si>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</si>
  <si>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</si>
  <si>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</si>
  <si>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</si>
  <si>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</si>
  <si>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</si>
  <si>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</si>
  <si>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</si>
  <si>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</si>
  <si>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</si>
  <si>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</si>
  <si>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</si>
  <si>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</si>
  <si>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</si>
  <si>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</si>
  <si>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</si>
  <si>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</si>
  <si>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</si>
  <si>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</si>
  <si>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</si>
  <si>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</si>
  <si>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</si>
  <si>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</si>
  <si>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</si>
  <si>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</si>
  <si>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</si>
  <si>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</si>
  <si>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</si>
  <si>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</si>
  <si>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</si>
  <si>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</si>
  <si>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</si>
  <si>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</si>
  <si>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</si>
  <si>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</si>
  <si>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</si>
  <si>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</si>
  <si>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</si>
  <si>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</si>
  <si>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</si>
  <si>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</si>
  <si>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</si>
  <si>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</si>
  <si>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</si>
  <si>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</si>
  <si>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</si>
  <si>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</si>
  <si>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</si>
  <si>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</si>
  <si>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</si>
  <si>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</si>
  <si>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</si>
  <si>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</si>
  <si>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</si>
  <si>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</si>
  <si>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</si>
  <si>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</si>
  <si>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</si>
  <si>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</si>
  <si>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</si>
  <si>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</si>
  <si>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</si>
  <si>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</si>
  <si>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</si>
  <si>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</si>
  <si>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</si>
  <si>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</si>
  <si>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</si>
  <si>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</si>
  <si>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</si>
  <si>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</si>
  <si>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</si>
  <si>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</si>
  <si>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</si>
  <si>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</si>
  <si>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</si>
  <si>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</si>
  <si>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</si>
  <si>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</si>
  <si>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</si>
  <si>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</si>
  <si>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</si>
  <si>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</si>
  <si>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</si>
  <si>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</si>
  <si>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</si>
  <si>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</si>
  <si>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</si>
  <si>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</si>
  <si>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</si>
  <si>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</si>
  <si>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</si>
  <si>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</si>
  <si>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</si>
  <si>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</si>
  <si>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</si>
  <si>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</si>
  <si>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</si>
  <si>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</si>
  <si>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</si>
  <si>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</si>
  <si>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</si>
  <si>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</si>
  <si>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</si>
  <si>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</si>
  <si>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</si>
  <si>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</si>
  <si>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</si>
  <si>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</si>
  <si>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</si>
  <si>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</si>
  <si>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</si>
  <si>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</si>
  <si>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</si>
  <si>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</si>
  <si>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</si>
  <si>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</si>
  <si>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</si>
  <si>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</si>
  <si>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</si>
  <si>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</si>
  <si>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</si>
  <si>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</si>
  <si>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</si>
  <si>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</si>
  <si>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</si>
  <si>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</si>
  <si>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</si>
  <si>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</si>
  <si>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</si>
  <si>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</si>
  <si>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</si>
  <si>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</si>
  <si>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</si>
  <si>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</si>
  <si>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</si>
  <si>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</si>
  <si>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</si>
  <si>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</si>
  <si>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</si>
  <si>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</si>
  <si>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</si>
  <si>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</si>
  <si>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</si>
  <si>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</si>
  <si>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</si>
  <si>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</si>
  <si>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</si>
  <si>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</si>
  <si>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</si>
  <si>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</si>
  <si>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</si>
  <si>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</si>
  <si>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</si>
  <si>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</si>
  <si>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</si>
  <si>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</si>
  <si>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</si>
  <si>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</si>
  <si>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</si>
  <si>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</si>
  <si>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</si>
  <si>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</si>
  <si>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</si>
  <si>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</si>
  <si>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</si>
  <si>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</si>
  <si>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</si>
  <si>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</si>
  <si>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</si>
  <si>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</si>
  <si>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</si>
  <si>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</si>
  <si>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</si>
  <si>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</si>
  <si>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</si>
  <si>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</si>
  <si>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</si>
  <si>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</si>
  <si>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</si>
  <si>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</si>
  <si>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</si>
  <si>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</si>
  <si>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</si>
  <si>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</si>
  <si>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</si>
  <si>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</si>
  <si>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</si>
  <si>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</si>
  <si>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</si>
  <si>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</si>
  <si>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</si>
  <si>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</si>
  <si>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</si>
  <si>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</si>
  <si>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</si>
  <si>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</si>
  <si>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</si>
  <si>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</si>
  <si>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</si>
  <si>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</si>
  <si>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</si>
  <si>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</si>
  <si>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</si>
  <si>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</si>
  <si>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</si>
  <si>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</si>
  <si>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</si>
  <si>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</si>
  <si>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</si>
  <si>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</si>
  <si>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</si>
  <si>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</si>
  <si>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</si>
  <si>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</si>
  <si>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</si>
  <si>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</si>
  <si>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</si>
  <si>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</si>
  <si>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</si>
  <si>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</si>
  <si>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</si>
  <si>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</si>
  <si>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</si>
  <si>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</si>
  <si>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</si>
  <si>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</si>
  <si>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</si>
  <si>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</si>
  <si>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</si>
  <si>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</si>
  <si>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</si>
  <si>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</si>
  <si>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</si>
  <si>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</si>
  <si>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</si>
  <si>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</si>
  <si>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</si>
  <si>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</si>
  <si>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</si>
  <si>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</si>
  <si>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</si>
  <si>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</si>
  <si>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</si>
  <si>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</si>
  <si>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</si>
  <si>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</si>
  <si>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</si>
  <si>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</si>
  <si>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</si>
  <si>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</si>
  <si>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</si>
  <si>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</si>
  <si>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</si>
  <si>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</si>
  <si>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</si>
  <si>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</si>
  <si>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</si>
  <si>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</si>
  <si>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</si>
  <si>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</si>
  <si>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</si>
  <si>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</si>
  <si>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</si>
  <si>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</si>
  <si>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</si>
  <si>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</si>
  <si>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</si>
  <si>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</si>
  <si>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</si>
  <si>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</si>
  <si>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</si>
  <si>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</si>
  <si>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</si>
  <si>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</si>
  <si>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</si>
  <si>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</si>
  <si>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</si>
  <si>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</si>
  <si>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</si>
  <si>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</si>
  <si>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</si>
  <si>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</si>
  <si>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</si>
  <si>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</si>
  <si>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</si>
  <si>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</si>
  <si>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</si>
  <si>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</si>
  <si>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</si>
  <si>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</si>
  <si>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</si>
  <si>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</si>
  <si>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</si>
  <si>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</si>
  <si>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</si>
  <si>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</si>
  <si>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</si>
  <si>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</si>
  <si>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</si>
  <si>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</si>
  <si>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</si>
  <si>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</si>
  <si>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</si>
  <si>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</si>
  <si>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</si>
  <si>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</si>
  <si>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</si>
  <si>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</si>
  <si>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</si>
  <si>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</si>
  <si>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</si>
  <si>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</si>
  <si>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</si>
  <si>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</si>
  <si>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</si>
  <si>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</si>
  <si>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</si>
  <si>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</si>
  <si>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</si>
  <si>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</si>
  <si>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</si>
  <si>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</si>
  <si>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</si>
  <si>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</si>
  <si>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</si>
  <si>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</si>
  <si>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</si>
  <si>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</si>
  <si>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</si>
  <si>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</si>
  <si>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</si>
  <si>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</si>
  <si>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</si>
  <si>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</si>
  <si>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</si>
  <si>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</si>
  <si>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</si>
  <si>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</si>
  <si>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</si>
  <si>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</si>
  <si>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</si>
  <si>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</si>
  <si>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</si>
  <si>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</si>
  <si>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</si>
  <si>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</si>
  <si>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</si>
  <si>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</si>
  <si>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</si>
  <si>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</si>
  <si>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</si>
  <si>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</si>
  <si>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</si>
  <si>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</si>
  <si>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</si>
  <si>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</si>
  <si>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</si>
  <si>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</si>
  <si>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</si>
  <si>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</si>
  <si>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</si>
  <si>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</si>
  <si>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</si>
  <si>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</si>
  <si>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</si>
  <si>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</si>
  <si>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</si>
  <si>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</si>
  <si>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</si>
  <si>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</si>
  <si>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</si>
  <si>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</si>
  <si>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</si>
  <si>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</si>
  <si>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</si>
  <si>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</si>
  <si>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</si>
  <si>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</si>
  <si>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</si>
  <si>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</si>
  <si>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</si>
  <si>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</si>
  <si>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</si>
  <si>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</si>
  <si>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</si>
  <si>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</si>
  <si>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</si>
  <si>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</si>
  <si>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</si>
  <si>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</si>
  <si>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</si>
  <si>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</si>
  <si>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</si>
  <si>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</si>
  <si>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</si>
  <si>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</si>
  <si>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</si>
  <si>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</si>
  <si>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</si>
  <si>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</si>
  <si>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</si>
  <si>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</si>
  <si>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</si>
  <si>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</si>
  <si>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</si>
  <si>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</si>
  <si>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</si>
  <si>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</si>
  <si>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</si>
  <si>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</si>
  <si>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</si>
  <si>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</si>
  <si>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</si>
  <si>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</si>
  <si>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</si>
  <si>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</si>
  <si>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</si>
  <si>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</si>
  <si>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</si>
  <si>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</si>
  <si>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</si>
  <si>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</si>
  <si>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</si>
  <si>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</si>
  <si>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</si>
  <si>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</si>
  <si>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</si>
  <si>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</si>
  <si>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</si>
  <si>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</si>
  <si>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</si>
  <si>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</si>
  <si>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</si>
  <si>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</si>
  <si>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</si>
  <si>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</si>
  <si>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</si>
  <si>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</si>
  <si>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</si>
  <si>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</si>
  <si>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</si>
  <si>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</si>
  <si>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</si>
  <si>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</si>
  <si>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</si>
  <si>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</si>
  <si>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</si>
  <si>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</si>
  <si>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</si>
  <si>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</si>
  <si>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</si>
  <si>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</si>
  <si>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</si>
  <si>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</si>
  <si>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</si>
  <si>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</si>
  <si>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</si>
  <si>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</si>
  <si>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</si>
  <si>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</si>
  <si>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</si>
  <si>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</si>
  <si>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</si>
  <si>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</si>
  <si>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</si>
  <si>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</si>
  <si>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</si>
  <si>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</si>
  <si>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</si>
  <si>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</si>
  <si>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</si>
  <si>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</si>
  <si>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</si>
  <si>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</si>
  <si>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</si>
  <si>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</si>
  <si>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</si>
  <si>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</si>
  <si>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</si>
  <si>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</si>
  <si>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</si>
  <si>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</si>
  <si>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</si>
  <si>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</si>
  <si>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</si>
  <si>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</si>
  <si>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</si>
  <si>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</si>
  <si>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</si>
  <si>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</si>
  <si>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</si>
  <si>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</si>
  <si>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</si>
  <si>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</si>
  <si>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</si>
  <si>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</si>
  <si>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</si>
  <si>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</si>
  <si>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</si>
  <si>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</si>
  <si>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</si>
  <si>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</si>
  <si>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</si>
  <si>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</si>
  <si>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</si>
  <si>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</si>
  <si>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</si>
  <si>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</si>
  <si>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</si>
  <si>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</si>
  <si>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</si>
  <si>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</si>
  <si>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</si>
  <si>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</si>
  <si>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</si>
  <si>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</si>
  <si>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</si>
  <si>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</si>
  <si>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</si>
  <si>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</si>
  <si>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</si>
  <si>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</si>
  <si>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</si>
  <si>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</si>
  <si>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</si>
  <si>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</si>
  <si>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</si>
  <si>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</si>
  <si>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</si>
  <si>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</si>
  <si>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</si>
  <si>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</si>
  <si>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</si>
  <si>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</si>
  <si>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</si>
  <si>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</si>
  <si>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</si>
  <si>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</si>
  <si>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</si>
  <si>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</si>
  <si>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</si>
  <si>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</si>
  <si>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</si>
  <si>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</si>
  <si>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</si>
  <si>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</si>
  <si>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</si>
  <si>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</si>
  <si>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</si>
  <si>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</si>
  <si>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</si>
  <si>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</si>
  <si>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</si>
  <si>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</si>
  <si>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</si>
  <si>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</si>
  <si>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</si>
  <si>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</si>
  <si>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</si>
  <si>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</si>
  <si>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</si>
  <si>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</si>
  <si>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</si>
  <si>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</si>
  <si>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</si>
  <si>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</si>
  <si>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</si>
  <si>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</si>
  <si>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</si>
  <si>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</si>
  <si>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</si>
  <si>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</si>
  <si>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</si>
  <si>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</si>
  <si>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</si>
  <si>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</si>
  <si>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</si>
  <si>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</si>
  <si>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</si>
  <si>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</si>
  <si>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</si>
  <si>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</si>
  <si>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</si>
  <si>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</si>
  <si>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</si>
  <si>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</si>
  <si>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</si>
  <si>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</si>
  <si>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</si>
  <si>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</si>
  <si>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</si>
  <si>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</si>
  <si>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</si>
  <si>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</si>
  <si>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</si>
  <si>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</si>
  <si>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</si>
  <si>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</si>
  <si>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</si>
  <si>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</si>
  <si>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</si>
  <si>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</si>
  <si>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</si>
  <si>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</si>
  <si>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</si>
  <si>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</si>
  <si>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</si>
  <si>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</si>
  <si>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</si>
  <si>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</si>
  <si>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</si>
  <si>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</si>
  <si>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</si>
  <si>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</si>
  <si>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</si>
  <si>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</si>
  <si>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</si>
  <si>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</si>
  <si>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</si>
  <si>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</si>
  <si>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</si>
  <si>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</si>
  <si>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</si>
  <si>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</si>
  <si>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</si>
  <si>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</si>
  <si>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</si>
  <si>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</si>
  <si>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</si>
  <si>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</si>
  <si>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</si>
  <si>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</si>
  <si>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</si>
  <si>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</si>
  <si>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</si>
  <si>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</si>
  <si>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</si>
  <si>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</si>
  <si>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</si>
  <si>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</si>
  <si>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</si>
  <si>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</si>
  <si>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</si>
  <si>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</si>
  <si>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</si>
  <si>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</si>
  <si>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</si>
  <si>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</si>
  <si>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</si>
  <si>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</si>
  <si>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</si>
  <si>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</si>
  <si>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</si>
  <si>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</si>
  <si>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</si>
  <si>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</si>
  <si>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</si>
  <si>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</si>
  <si>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</si>
  <si>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</si>
  <si>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</si>
  <si>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</si>
  <si>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</si>
  <si>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</si>
  <si>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</si>
  <si>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</si>
  <si>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</si>
  <si>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</si>
  <si>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</si>
  <si>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</si>
  <si>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</si>
  <si>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</si>
  <si>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</si>
  <si>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</si>
  <si>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</si>
  <si>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</si>
  <si>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</si>
  <si>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</si>
  <si>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</si>
  <si>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</si>
  <si>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</si>
  <si>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</si>
  <si>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</si>
  <si>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</si>
  <si>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</si>
  <si>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</si>
  <si>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</si>
  <si>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</si>
  <si>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</si>
  <si>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</si>
  <si>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</si>
  <si>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</si>
  <si>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</si>
  <si>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</si>
  <si>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</si>
  <si>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</si>
  <si>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</si>
  <si>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</si>
  <si>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</si>
  <si>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</si>
  <si>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</si>
  <si>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</si>
  <si>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</si>
  <si>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</si>
  <si>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</si>
  <si>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</si>
  <si>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</si>
  <si>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</si>
  <si>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</si>
  <si>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</si>
  <si>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</si>
  <si>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</si>
  <si>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</si>
  <si>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</si>
  <si>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</si>
  <si>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</si>
  <si>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</si>
  <si>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</si>
  <si>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</si>
  <si>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</si>
  <si>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</si>
  <si>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</si>
  <si>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</si>
  <si>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</si>
  <si>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</si>
  <si>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</si>
  <si>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</si>
  <si>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</si>
  <si>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</si>
  <si>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</si>
  <si>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</si>
  <si>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</si>
  <si>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</si>
  <si>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</si>
  <si>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</si>
  <si>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</si>
  <si>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</si>
  <si>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</si>
  <si>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</si>
  <si>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</si>
  <si>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</si>
  <si>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</si>
  <si>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</si>
  <si>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</si>
  <si>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</si>
  <si>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</si>
  <si>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</si>
  <si>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</si>
  <si>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</si>
  <si>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</si>
  <si>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</si>
  <si>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</si>
  <si>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</si>
  <si>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</si>
  <si>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</si>
  <si>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</si>
  <si>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</si>
  <si>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</si>
  <si>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</si>
  <si>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</si>
  <si>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</si>
  <si>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</si>
  <si>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</si>
  <si>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</si>
  <si>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</si>
  <si>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</si>
  <si>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</si>
  <si>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</si>
  <si>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</si>
  <si>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</si>
  <si>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</si>
  <si>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</si>
  <si>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</si>
  <si>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</si>
  <si>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</si>
  <si>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</si>
  <si>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</si>
  <si>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</si>
  <si>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</si>
  <si>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</si>
  <si>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</si>
  <si>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</si>
  <si>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</si>
  <si>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</si>
  <si>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</si>
  <si>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</si>
  <si>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</si>
  <si>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</si>
  <si>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</si>
  <si>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</si>
  <si>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</si>
  <si>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</si>
  <si>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</si>
  <si>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</si>
  <si>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</si>
  <si>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</si>
  <si>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</si>
  <si>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</si>
  <si>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</si>
  <si>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</si>
  <si>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</si>
  <si>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</si>
  <si>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</si>
  <si>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</si>
  <si>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</si>
  <si>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</si>
  <si>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</si>
  <si>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</si>
  <si>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</si>
  <si>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</si>
  <si>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</si>
  <si>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</si>
  <si>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</si>
  <si>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</si>
  <si>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</si>
  <si>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</si>
  <si>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</si>
  <si>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</si>
  <si>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</si>
  <si>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</si>
  <si>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</si>
  <si>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</si>
  <si>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</si>
  <si>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</si>
  <si>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</si>
  <si>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</si>
  <si>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</si>
  <si>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</si>
  <si>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</si>
  <si>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</si>
  <si>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</si>
  <si>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</si>
  <si>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</si>
  <si>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</si>
  <si>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</si>
  <si>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</si>
  <si>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</si>
  <si>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</si>
  <si>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</si>
  <si>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</si>
  <si>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</si>
  <si>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</si>
  <si>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</si>
  <si>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</si>
  <si>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</si>
  <si>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</si>
  <si>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</si>
  <si>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</si>
  <si>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</si>
  <si>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</si>
  <si>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</si>
  <si>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</si>
  <si>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</si>
  <si>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</si>
  <si>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</si>
  <si>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</si>
  <si>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</si>
  <si>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</si>
  <si>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</si>
  <si>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</si>
  <si>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</si>
  <si>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</si>
  <si>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</si>
  <si>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</si>
  <si>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</si>
  <si>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</si>
  <si>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</si>
  <si>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</si>
  <si>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</si>
  <si>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</si>
  <si>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</si>
  <si>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</si>
  <si>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</si>
  <si>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</si>
  <si>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</si>
  <si>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</si>
  <si>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</si>
  <si>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</si>
  <si>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</si>
  <si>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</si>
  <si>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</si>
  <si>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</si>
  <si>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</si>
  <si>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</si>
  <si>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</si>
  <si>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</si>
  <si>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</si>
  <si>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</si>
  <si>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</si>
  <si>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</si>
  <si>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</si>
  <si>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</si>
  <si>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</si>
  <si>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</si>
  <si>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</si>
  <si>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</si>
  <si>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</si>
  <si>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</si>
  <si>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</si>
  <si>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</si>
  <si>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</si>
  <si>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</si>
  <si>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</si>
  <si>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</si>
  <si>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</si>
  <si>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</si>
  <si>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</si>
  <si>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</si>
  <si>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</si>
  <si>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</si>
  <si>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</si>
  <si>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</si>
  <si>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</si>
  <si>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</si>
  <si>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</si>
  <si>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</si>
  <si>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</si>
  <si>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</si>
  <si>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</si>
  <si>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</si>
  <si>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</si>
  <si>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</si>
  <si>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</si>
  <si>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</si>
  <si>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</si>
  <si>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</si>
  <si>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</si>
  <si>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</si>
  <si>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</si>
  <si>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</si>
  <si>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</si>
  <si>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</si>
  <si>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</si>
  <si>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</si>
  <si>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</si>
  <si>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</si>
  <si>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</si>
  <si>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</si>
  <si>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</si>
  <si>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</si>
  <si>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</si>
  <si>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</si>
  <si>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</si>
  <si>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</si>
  <si>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</si>
  <si>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</si>
  <si>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</si>
  <si>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</si>
  <si>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</si>
  <si>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</si>
  <si>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</si>
  <si>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</si>
  <si>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</si>
  <si>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</si>
  <si>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</si>
  <si>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</si>
  <si>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</si>
  <si>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</si>
  <si>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</si>
  <si>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</si>
  <si>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</si>
  <si>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</si>
  <si>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</si>
  <si>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</si>
  <si>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</si>
  <si>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</si>
  <si>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</si>
  <si>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</si>
  <si>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</si>
  <si>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</si>
  <si>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</si>
  <si>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</si>
  <si>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</si>
  <si>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</si>
  <si>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</si>
  <si>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</si>
  <si>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</si>
  <si>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</si>
  <si>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</si>
  <si>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</si>
  <si>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</si>
  <si>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</si>
  <si>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</si>
  <si>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</si>
  <si>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</si>
  <si>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</si>
  <si>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</si>
  <si>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</si>
  <si>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</si>
  <si>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</si>
  <si>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</si>
  <si>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</si>
  <si>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</si>
  <si>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</si>
  <si>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</si>
  <si>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</si>
  <si>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</si>
  <si>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</si>
  <si>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</si>
  <si>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</si>
  <si>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</si>
  <si>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</si>
  <si>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</si>
  <si>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</si>
  <si>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</si>
  <si>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</si>
  <si>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</si>
  <si>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</si>
  <si>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</si>
  <si>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</si>
  <si>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</si>
  <si>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</si>
  <si>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</si>
  <si>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</si>
  <si>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</si>
  <si>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</si>
  <si>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</si>
  <si>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</si>
  <si>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</si>
  <si>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</si>
  <si>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</si>
  <si>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</si>
  <si>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</si>
  <si>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</si>
  <si>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</si>
  <si>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</si>
  <si>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</si>
  <si>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</si>
  <si>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</si>
  <si>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</si>
  <si>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</si>
  <si>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</si>
  <si>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</si>
  <si>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</si>
  <si>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</si>
  <si>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</si>
  <si>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</si>
  <si>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</si>
  <si>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</si>
  <si>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</si>
  <si>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</si>
  <si>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</si>
  <si>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</si>
  <si>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</si>
  <si>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</si>
  <si>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</si>
  <si>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</si>
  <si>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</si>
  <si>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</si>
  <si>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</si>
  <si>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</si>
  <si>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</si>
  <si>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</si>
  <si>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</si>
  <si>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</si>
  <si>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</si>
  <si>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</si>
  <si>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</si>
  <si>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</si>
  <si>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</si>
  <si>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</si>
  <si>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</si>
  <si>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</si>
  <si>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</si>
  <si>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</si>
  <si>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</si>
  <si>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</si>
  <si>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</si>
  <si>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</si>
  <si>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</si>
  <si>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</si>
  <si>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</si>
  <si>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</si>
  <si>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</si>
  <si>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</si>
  <si>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</si>
  <si>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</si>
  <si>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</si>
  <si>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</si>
  <si>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</si>
  <si>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</si>
  <si>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</si>
  <si>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</si>
  <si>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</si>
  <si>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</si>
  <si>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</si>
  <si>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</si>
  <si>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</si>
  <si>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</si>
  <si>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</si>
  <si>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</si>
  <si>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</si>
  <si>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</si>
  <si>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</si>
  <si>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</si>
  <si>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</si>
  <si>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</si>
  <si>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</si>
  <si>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</si>
  <si>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</si>
  <si>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</si>
  <si>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</si>
  <si>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</si>
  <si>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</si>
  <si>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</si>
  <si>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</si>
  <si>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</si>
  <si>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</si>
  <si>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</si>
  <si>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</si>
  <si>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</si>
  <si>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</si>
  <si>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</si>
  <si>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</si>
  <si>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</si>
  <si>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</si>
  <si>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</si>
  <si>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</si>
  <si>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</si>
  <si>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</si>
  <si>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</si>
  <si>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</si>
  <si>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</si>
  <si>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</si>
  <si>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</si>
  <si>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</si>
  <si>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</si>
  <si>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</si>
  <si>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</si>
  <si>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</si>
  <si>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</si>
  <si>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</si>
  <si>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</si>
  <si>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</si>
  <si>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</si>
  <si>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</si>
  <si>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</si>
  <si>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</si>
  <si>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</si>
  <si>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</si>
  <si>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</si>
  <si>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</si>
  <si>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</si>
  <si>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</si>
  <si>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</si>
  <si>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</si>
  <si>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</si>
  <si>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</si>
  <si>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</si>
  <si>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</si>
  <si>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</si>
  <si>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</si>
  <si>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</si>
  <si>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</si>
  <si>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</si>
  <si>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</si>
  <si>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</si>
  <si>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</si>
  <si>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</si>
  <si>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</si>
  <si>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</si>
  <si>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</si>
  <si>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</si>
  <si>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</si>
  <si>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</si>
  <si>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</si>
  <si>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</si>
  <si>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</si>
  <si>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</si>
  <si>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</si>
  <si>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</si>
  <si>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</si>
  <si>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</si>
  <si>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</si>
  <si>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</si>
  <si>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</si>
  <si>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</si>
  <si>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</si>
  <si>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</si>
  <si>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</si>
  <si>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</si>
  <si>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</si>
  <si>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</si>
  <si>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</si>
  <si>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</si>
  <si>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</si>
  <si>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</si>
  <si>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</si>
  <si>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</si>
  <si>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</si>
  <si>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</si>
  <si>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</si>
  <si>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</si>
  <si>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</si>
  <si>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</si>
  <si>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</si>
  <si>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</si>
  <si>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</si>
  <si>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</si>
  <si>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</si>
  <si>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</si>
  <si>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</si>
  <si>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</si>
  <si>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</si>
  <si>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</si>
  <si>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</si>
  <si>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</si>
  <si>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</si>
  <si>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</si>
  <si>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</si>
  <si>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</si>
  <si>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</si>
  <si>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</si>
  <si>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</si>
  <si>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</si>
  <si>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</si>
  <si>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</si>
  <si>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</si>
  <si>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</si>
  <si>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</si>
  <si>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</si>
  <si>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</si>
  <si>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</si>
  <si>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</si>
  <si>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</si>
  <si>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</si>
  <si>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</si>
  <si>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</si>
  <si>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</si>
  <si>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</si>
  <si>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</si>
  <si>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</si>
  <si>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</si>
  <si>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</si>
  <si>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</si>
  <si>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</si>
  <si>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</si>
  <si>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</si>
  <si>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</si>
  <si>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</si>
  <si>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</si>
  <si>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</si>
  <si>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</si>
  <si>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</si>
  <si>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</si>
  <si>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</si>
  <si>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</si>
  <si>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</si>
  <si>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</si>
  <si>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</si>
  <si>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</si>
  <si>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</si>
  <si>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</si>
  <si>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</si>
  <si>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</si>
  <si>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</si>
  <si>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</si>
  <si>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</si>
  <si>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</si>
  <si>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</si>
  <si>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</si>
  <si>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</si>
  <si>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</si>
  <si>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</si>
  <si>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</si>
  <si>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</si>
  <si>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</si>
  <si>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</si>
  <si>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</si>
  <si>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</si>
  <si>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</si>
  <si>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</si>
  <si>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</si>
  <si>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</si>
  <si>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</si>
  <si>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</si>
  <si>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</si>
  <si>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</si>
  <si>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</si>
  <si>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</si>
  <si>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</si>
  <si>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</si>
  <si>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</si>
  <si>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</si>
  <si>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</si>
  <si>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</si>
  <si>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</si>
  <si>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</si>
  <si>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</si>
  <si>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</si>
  <si>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</si>
  <si>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</si>
  <si>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</si>
  <si>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</si>
  <si>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</si>
  <si>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</si>
  <si>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</si>
  <si>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</si>
  <si>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</si>
  <si>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</si>
  <si>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</si>
  <si>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</si>
  <si>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</si>
  <si>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</si>
  <si>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</si>
  <si>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</si>
  <si>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</si>
  <si>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</si>
  <si>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</si>
  <si>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</si>
  <si>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</si>
  <si>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</si>
  <si>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</si>
  <si>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</si>
  <si>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</si>
  <si>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</si>
  <si>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</si>
  <si>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</si>
  <si>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</si>
  <si>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</si>
  <si>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</si>
  <si>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</si>
  <si>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</si>
  <si>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</si>
  <si>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</si>
  <si>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</si>
  <si>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</si>
  <si>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</si>
  <si>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</si>
  <si>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</si>
  <si>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</si>
  <si>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</si>
  <si>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</si>
  <si>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</si>
  <si>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</si>
  <si>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</si>
  <si>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</si>
  <si>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</si>
  <si>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</si>
  <si>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</si>
  <si>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</si>
  <si>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</si>
  <si>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</si>
  <si>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</si>
  <si>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</si>
  <si>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</si>
  <si>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</si>
  <si>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</si>
  <si>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</si>
  <si>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</si>
  <si>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</si>
  <si>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</si>
  <si>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</si>
  <si>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</si>
  <si>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</si>
  <si>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</si>
  <si>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</si>
  <si>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</si>
  <si>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</si>
  <si>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</si>
  <si>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</si>
  <si>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</si>
  <si>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</si>
  <si>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</si>
  <si>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</si>
  <si>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</si>
  <si>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</si>
  <si>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</si>
  <si>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</si>
  <si>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</si>
  <si>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</si>
  <si>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</si>
  <si>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</si>
  <si>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</si>
  <si>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</si>
  <si>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</si>
  <si>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</si>
  <si>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</si>
  <si>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</si>
  <si>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</si>
  <si>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</si>
  <si>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</si>
  <si>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</si>
  <si>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</si>
  <si>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</si>
  <si>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</si>
  <si>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</si>
  <si>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</si>
  <si>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</si>
  <si>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</si>
  <si>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</si>
  <si>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</si>
  <si>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</si>
  <si>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</si>
  <si>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</si>
  <si>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</si>
  <si>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</si>
  <si>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</si>
  <si>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</si>
  <si>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</si>
  <si>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</si>
  <si>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</si>
  <si>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</si>
  <si>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</si>
  <si>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</si>
  <si>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</si>
  <si>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</si>
  <si>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</si>
  <si>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</si>
  <si>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</si>
  <si>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</si>
  <si>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</si>
  <si>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</si>
  <si>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</si>
  <si>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</si>
  <si>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</si>
  <si>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</si>
  <si>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</si>
  <si>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</si>
  <si>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</si>
  <si>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</si>
  <si>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</si>
  <si>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</si>
  <si>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</si>
  <si>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</si>
  <si>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</si>
  <si>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</si>
  <si>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</si>
  <si>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</si>
  <si>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</si>
  <si>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</si>
  <si>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</si>
  <si>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</si>
  <si>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</si>
  <si>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</si>
  <si>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</si>
  <si>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</si>
  <si>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</si>
  <si>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</si>
  <si>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</si>
  <si>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</si>
  <si>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</si>
  <si>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</si>
  <si>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</si>
  <si>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</si>
  <si>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</si>
  <si>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</si>
  <si>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</si>
  <si>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</si>
  <si>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</si>
  <si>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</si>
  <si>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</si>
  <si>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</si>
  <si>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</si>
  <si>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</si>
  <si>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</si>
  <si>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</si>
  <si>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</si>
  <si>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</si>
  <si>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</si>
  <si>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</si>
  <si>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</si>
  <si>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</si>
  <si>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</si>
  <si>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</si>
  <si>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</si>
  <si>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</si>
  <si>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</si>
  <si>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</si>
  <si>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</si>
  <si>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</si>
  <si>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</si>
  <si>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</si>
  <si>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</si>
  <si>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</si>
  <si>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</si>
  <si>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</si>
  <si>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</si>
  <si>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</si>
  <si>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</si>
  <si>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</si>
  <si>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</si>
  <si>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</si>
  <si>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</si>
  <si>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</si>
  <si>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</si>
  <si>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</si>
  <si>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</si>
  <si>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</si>
  <si>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</si>
  <si>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</si>
  <si>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</si>
  <si>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</si>
  <si>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</si>
  <si>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</si>
  <si>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</si>
  <si>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</si>
  <si>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</si>
  <si>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</si>
  <si>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</si>
  <si>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</si>
  <si>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</si>
  <si>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</si>
  <si>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</si>
  <si>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</si>
  <si>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</si>
  <si>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</si>
  <si>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</si>
  <si>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</si>
  <si>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</si>
  <si>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</si>
  <si>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</si>
  <si>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</si>
  <si>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</si>
  <si>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</si>
  <si>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</si>
  <si>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</si>
  <si>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</si>
  <si>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</si>
  <si>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</si>
  <si>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</si>
  <si>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</si>
  <si>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</si>
  <si>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</si>
  <si>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</si>
  <si>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</si>
  <si>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</si>
  <si>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</si>
  <si>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</si>
  <si>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</si>
  <si>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</si>
  <si>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</si>
  <si>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</si>
  <si>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</si>
  <si>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</si>
  <si>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</si>
  <si>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</si>
  <si>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</si>
  <si>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</si>
  <si>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</si>
  <si>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</si>
  <si>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</si>
  <si>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</si>
  <si>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</si>
  <si>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</si>
  <si>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</si>
  <si>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</si>
  <si>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</si>
  <si>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</si>
  <si>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</si>
  <si>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</si>
  <si>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</si>
  <si>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</si>
  <si>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</si>
  <si>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</si>
  <si>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</si>
  <si>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</si>
  <si>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</si>
  <si>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</si>
  <si>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</si>
  <si>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</si>
  <si>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</si>
  <si>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</si>
  <si>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</si>
  <si>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</si>
  <si>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</si>
  <si>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</si>
  <si>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</si>
  <si>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</si>
  <si>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</si>
  <si>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</si>
  <si>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</si>
  <si>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</si>
  <si>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</si>
  <si>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</si>
  <si>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</si>
  <si>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</si>
  <si>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</si>
  <si>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</si>
  <si>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</si>
  <si>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</si>
  <si>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</si>
  <si>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</si>
  <si>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</si>
  <si>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</si>
  <si>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</si>
  <si>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</si>
  <si>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</si>
  <si>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</si>
  <si>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</si>
  <si>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</si>
  <si>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</si>
  <si>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</si>
  <si>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</si>
  <si>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</si>
  <si>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</si>
  <si>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</si>
  <si>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</si>
  <si>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</si>
  <si>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</si>
  <si>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</si>
  <si>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</si>
  <si>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</si>
  <si>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</si>
  <si>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</si>
  <si>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</si>
  <si>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</si>
  <si>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</si>
  <si>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</si>
  <si>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</si>
  <si>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</si>
  <si>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</si>
  <si>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</si>
  <si>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</si>
  <si>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</si>
  <si>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</si>
  <si>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</si>
  <si>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</si>
  <si>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</si>
  <si>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</si>
  <si>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</si>
  <si>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</si>
  <si>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</si>
  <si>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</si>
  <si>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</si>
  <si>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</si>
  <si>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</si>
  <si>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</si>
  <si>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</si>
  <si>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</si>
  <si>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</si>
  <si>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</si>
  <si>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</si>
  <si>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</si>
  <si>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</si>
  <si>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</si>
  <si>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</si>
  <si>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</si>
  <si>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</si>
  <si>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</si>
  <si>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</si>
  <si>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</si>
  <si>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</si>
  <si>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</si>
  <si>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</si>
  <si>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</si>
  <si>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</si>
  <si>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</si>
  <si>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</si>
  <si>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</si>
  <si>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</si>
  <si>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</si>
  <si>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</si>
  <si>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</si>
  <si>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</si>
  <si>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</si>
  <si>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</si>
  <si>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</si>
  <si>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</si>
  <si>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</si>
  <si>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</si>
  <si>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</si>
  <si>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</si>
  <si>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</si>
  <si>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</si>
  <si>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</si>
  <si>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</si>
  <si>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</si>
  <si>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</si>
  <si>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</si>
  <si>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</si>
  <si>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</si>
  <si>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</si>
  <si>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</si>
  <si>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</si>
  <si>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</si>
  <si>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</si>
  <si>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</si>
  <si>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</si>
  <si>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</si>
  <si>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</si>
  <si>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</si>
  <si>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</si>
  <si>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</si>
  <si>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</si>
  <si>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</si>
  <si>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</si>
  <si>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</si>
  <si>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</si>
  <si>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</si>
  <si>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</si>
  <si>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</si>
  <si>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</si>
  <si>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</si>
  <si>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</si>
  <si>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</si>
  <si>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</si>
  <si>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</si>
  <si>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</si>
  <si>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</si>
  <si>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</si>
  <si>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</si>
  <si>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</si>
  <si>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</si>
  <si>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</si>
  <si>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</si>
  <si>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</si>
  <si>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</si>
  <si>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</si>
  <si>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</si>
  <si>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</si>
  <si>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</si>
  <si>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</si>
  <si>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</si>
  <si>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</si>
  <si>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</si>
  <si>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</si>
  <si>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</si>
  <si>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</si>
  <si>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</si>
  <si>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</si>
  <si>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</si>
  <si>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</si>
  <si>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</si>
  <si>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</si>
  <si>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</si>
  <si>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</si>
  <si>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</si>
  <si>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</si>
  <si>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</si>
  <si>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</si>
  <si>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</si>
  <si>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</si>
  <si>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</si>
  <si>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</si>
  <si>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</si>
  <si>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</si>
  <si>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</si>
  <si>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</si>
  <si>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</si>
  <si>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</si>
  <si>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</si>
  <si>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</si>
  <si>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</si>
  <si>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</si>
  <si>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</si>
  <si>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</si>
  <si>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</si>
  <si>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</si>
  <si>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</si>
  <si>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</si>
  <si>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</si>
  <si>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</si>
  <si>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</si>
  <si>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</si>
  <si>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</si>
  <si>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</si>
  <si>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</si>
  <si>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</si>
  <si>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</si>
  <si>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</si>
  <si>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</si>
  <si>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</si>
  <si>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</si>
  <si>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</si>
  <si>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</si>
  <si>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</si>
  <si>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</si>
  <si>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</si>
  <si>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</si>
  <si>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</si>
  <si>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</si>
  <si>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</si>
  <si>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</si>
  <si>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</si>
  <si>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</si>
  <si>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</si>
  <si>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</si>
  <si>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</si>
  <si>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</si>
  <si>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</si>
  <si>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</si>
  <si>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</si>
  <si>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</si>
  <si>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</si>
  <si>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</si>
  <si>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</si>
  <si>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</si>
  <si>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</si>
  <si>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</si>
  <si>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</si>
  <si>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</si>
  <si>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</si>
  <si>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</si>
  <si>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</si>
  <si>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</si>
  <si>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</si>
  <si>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</si>
  <si>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</si>
  <si>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</si>
  <si>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</si>
  <si>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</si>
  <si>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</si>
  <si>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</si>
  <si>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</si>
  <si>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</si>
  <si>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</si>
  <si>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</si>
  <si>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</si>
  <si>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</si>
  <si>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</si>
  <si>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</si>
  <si>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</si>
  <si>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</si>
  <si>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</si>
  <si>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</si>
  <si>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</si>
  <si>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</si>
  <si>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</si>
  <si>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</si>
  <si>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</si>
  <si>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</si>
  <si>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</si>
  <si>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</si>
  <si>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</si>
  <si>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</si>
  <si>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</si>
  <si>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</si>
  <si>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</si>
  <si>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</si>
  <si>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</si>
  <si>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</si>
  <si>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</si>
  <si>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</si>
  <si>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</si>
  <si>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</si>
  <si>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</si>
  <si>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</si>
  <si>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</si>
  <si>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</si>
  <si>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</si>
  <si>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</si>
  <si>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</si>
  <si>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</si>
  <si>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</si>
  <si>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</si>
  <si>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</si>
  <si>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</si>
  <si>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</si>
  <si>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</si>
  <si>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</si>
  <si>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</si>
  <si>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</si>
  <si>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</si>
  <si>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</si>
  <si>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</si>
  <si>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</si>
  <si>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</si>
  <si>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</si>
  <si>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</si>
  <si>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</si>
  <si>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</si>
  <si>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</si>
  <si>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</si>
  <si>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</si>
  <si>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</si>
  <si>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</si>
  <si>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</si>
  <si>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</si>
  <si>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</si>
  <si>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</si>
  <si>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</si>
  <si>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</si>
  <si>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</si>
  <si>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</si>
  <si>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</si>
  <si>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</si>
  <si>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</si>
  <si>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</si>
  <si>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</si>
  <si>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</si>
  <si>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</si>
  <si>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</si>
  <si>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</si>
  <si>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</si>
  <si>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</si>
  <si>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</si>
  <si>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</si>
  <si>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</si>
  <si>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</si>
  <si>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</si>
  <si>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</si>
  <si>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</si>
  <si>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</si>
  <si>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</si>
  <si>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</si>
  <si>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</si>
  <si>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</si>
  <si>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</si>
  <si>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</si>
  <si>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</si>
  <si>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</si>
  <si>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</si>
  <si>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</si>
  <si>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</si>
  <si>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</si>
  <si>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</si>
  <si>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</si>
  <si>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</si>
  <si>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</si>
  <si>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</si>
  <si>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</si>
  <si>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</si>
  <si>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</si>
  <si>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</si>
  <si>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</si>
  <si>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</si>
  <si>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</si>
  <si>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</si>
  <si>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</si>
  <si>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</si>
  <si>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</si>
  <si>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</si>
  <si>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</si>
  <si>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</si>
  <si>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</si>
  <si>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</si>
  <si>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</si>
  <si>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</si>
  <si>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</si>
  <si>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</si>
  <si>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</si>
  <si>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</si>
  <si>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</si>
  <si>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</si>
  <si>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</si>
  <si>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</si>
  <si>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</si>
  <si>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</si>
  <si>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</si>
  <si>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</si>
  <si>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</si>
  <si>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</si>
  <si>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</si>
  <si>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</si>
  <si>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</si>
  <si>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</si>
  <si>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</si>
  <si>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</si>
  <si>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</si>
  <si>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</si>
  <si>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</si>
  <si>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</si>
  <si>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</si>
  <si>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</si>
  <si>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</si>
  <si>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</si>
  <si>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</si>
  <si>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</si>
  <si>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</si>
  <si>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</si>
  <si>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</si>
  <si>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</si>
  <si>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</si>
  <si>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</si>
  <si>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</si>
  <si>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</si>
  <si>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</si>
  <si>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</si>
  <si>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</si>
  <si>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</si>
  <si>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</si>
  <si>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</si>
  <si>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</si>
  <si>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</si>
  <si>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</si>
  <si>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</si>
  <si>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</si>
  <si>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</si>
  <si>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</si>
  <si>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</si>
  <si>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</si>
  <si>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</si>
  <si>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</si>
  <si>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</si>
  <si>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</si>
  <si>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</si>
  <si>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</si>
  <si>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</si>
  <si>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</si>
  <si>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</si>
  <si>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</si>
  <si>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</si>
  <si>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</si>
  <si>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</si>
  <si>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</si>
  <si>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</si>
  <si>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</si>
  <si>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</si>
  <si>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</si>
  <si>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</si>
  <si>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</si>
  <si>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</si>
  <si>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</si>
  <si>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</si>
  <si>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</si>
  <si>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</si>
  <si>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</si>
  <si>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</si>
  <si>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</si>
  <si>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</si>
  <si>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</si>
  <si>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</si>
  <si>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</si>
  <si>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</si>
  <si>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</si>
  <si>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</si>
  <si>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</si>
  <si>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</si>
  <si>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</si>
  <si>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</si>
  <si>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</si>
  <si>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</si>
  <si>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</si>
  <si>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</si>
  <si>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</si>
  <si>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</si>
  <si>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</si>
  <si>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</si>
  <si>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</si>
  <si>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</si>
  <si>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</si>
  <si>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</si>
  <si>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</si>
  <si>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</si>
  <si>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</si>
  <si>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</si>
  <si>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</si>
  <si>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</si>
  <si>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</si>
  <si>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</si>
  <si>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</si>
  <si>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</si>
  <si>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</si>
  <si>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</si>
  <si>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</si>
  <si>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</si>
  <si>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</si>
  <si>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</si>
  <si>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</si>
  <si>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</si>
  <si>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</si>
  <si>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</si>
  <si>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</si>
  <si>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</si>
  <si>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</si>
  <si>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</si>
  <si>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</si>
  <si>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</si>
  <si>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</si>
  <si>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</si>
  <si>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</si>
  <si>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</si>
  <si>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</si>
  <si>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</si>
  <si>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</si>
  <si>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</si>
  <si>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</si>
  <si>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</si>
  <si>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</si>
  <si>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</si>
  <si>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</si>
  <si>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</si>
  <si>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</si>
  <si>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</si>
  <si>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</si>
  <si>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</si>
  <si>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</si>
  <si>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</si>
  <si>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</si>
  <si>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</si>
  <si>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</si>
  <si>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</si>
  <si>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</si>
  <si>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</si>
  <si>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</si>
  <si>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</si>
  <si>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</si>
  <si>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</si>
  <si>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</si>
  <si>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</si>
  <si>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</si>
  <si>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</si>
  <si>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</si>
  <si>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</si>
  <si>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</si>
  <si>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</si>
  <si>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</si>
  <si>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</si>
  <si>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</si>
  <si>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</si>
  <si>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</si>
  <si>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</si>
  <si>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</si>
  <si>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</si>
  <si>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</si>
  <si>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</si>
  <si>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</si>
  <si>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</si>
  <si>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</si>
  <si>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</si>
  <si>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</si>
  <si>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</si>
  <si>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</si>
  <si>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</si>
  <si>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</si>
  <si>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</si>
  <si>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</si>
  <si>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</si>
  <si>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</si>
  <si>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</si>
  <si>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</si>
  <si>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</si>
  <si>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</si>
  <si>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</si>
  <si>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</si>
  <si>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</si>
  <si>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</si>
  <si>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</si>
  <si>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</si>
  <si>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</si>
  <si>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</si>
  <si>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</si>
  <si>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</si>
  <si>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</si>
  <si>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</si>
  <si>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</si>
  <si>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</si>
  <si>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</si>
  <si>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</si>
  <si>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</si>
  <si>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</si>
  <si>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</si>
  <si>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</si>
  <si>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</si>
  <si>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</si>
  <si>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</si>
  <si>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</si>
  <si>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</si>
  <si>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</si>
  <si>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</si>
  <si>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</si>
  <si>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</si>
  <si>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</si>
  <si>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</si>
  <si>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</si>
  <si>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</si>
  <si>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</si>
  <si>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</si>
  <si>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</si>
  <si>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</si>
  <si>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</si>
  <si>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</si>
  <si>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</si>
  <si>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</si>
  <si>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</si>
  <si>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</si>
  <si>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</si>
  <si>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</si>
  <si>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</si>
  <si>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</si>
  <si>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</si>
  <si>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</si>
  <si>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</si>
  <si>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</si>
  <si>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</si>
  <si>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</si>
  <si>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</si>
  <si>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</si>
  <si>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</si>
  <si>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</si>
  <si>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</si>
  <si>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</si>
  <si>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</si>
  <si>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</si>
  <si>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</si>
  <si>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</si>
  <si>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</si>
  <si>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</si>
  <si>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</si>
  <si>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</si>
  <si>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</si>
  <si>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</si>
  <si>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</si>
  <si>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</si>
  <si>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</si>
  <si>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</si>
  <si>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</si>
  <si>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</si>
  <si>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</si>
  <si>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</si>
  <si>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</si>
  <si>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</si>
  <si>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</si>
  <si>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</si>
  <si>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</si>
  <si>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</si>
  <si>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</si>
  <si>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</si>
  <si>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</si>
  <si>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</si>
  <si>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</si>
  <si>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</si>
  <si>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</si>
  <si>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</si>
  <si>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</si>
  <si>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</si>
  <si>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</si>
  <si>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</si>
  <si>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</si>
  <si>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</si>
  <si>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</si>
  <si>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</si>
  <si>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</si>
  <si>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</si>
  <si>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</si>
  <si>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</si>
  <si>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</si>
  <si>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</si>
  <si>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</si>
  <si>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</si>
  <si>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</si>
  <si>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</si>
  <si>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</si>
  <si>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</si>
  <si>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</si>
  <si>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</si>
  <si>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</si>
  <si>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</si>
  <si>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</si>
  <si>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</si>
  <si>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</si>
  <si>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</si>
  <si>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</si>
  <si>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</si>
  <si>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</si>
  <si>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</si>
  <si>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</si>
  <si>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</si>
  <si>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</si>
  <si>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</si>
  <si>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</si>
  <si>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</si>
  <si>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</si>
  <si>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</si>
  <si>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</si>
  <si>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</si>
  <si>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</si>
  <si>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</si>
  <si>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</si>
  <si>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</si>
  <si>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</si>
  <si>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</si>
  <si>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</si>
  <si>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</si>
  <si>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</si>
  <si>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</si>
  <si>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</si>
  <si>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</si>
  <si>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</si>
  <si>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</si>
  <si>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</si>
  <si>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</si>
  <si>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</si>
  <si>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</si>
  <si>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</si>
  <si>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</si>
  <si>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</si>
  <si>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</si>
  <si>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</si>
  <si>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</si>
  <si>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</si>
  <si>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</si>
  <si>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</si>
  <si>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</si>
  <si>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</si>
  <si>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</si>
  <si>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</si>
  <si>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</si>
  <si>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</si>
  <si>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</si>
  <si>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</si>
  <si>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</si>
  <si>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</si>
  <si>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</si>
  <si>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</si>
  <si>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</si>
  <si>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</si>
  <si>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</si>
  <si>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</si>
  <si>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</si>
  <si>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</si>
  <si>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</si>
  <si>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</si>
  <si>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</si>
  <si>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</si>
  <si>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</si>
  <si>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</si>
  <si>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</si>
  <si>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</si>
  <si>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</si>
  <si>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</si>
  <si>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</si>
  <si>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</si>
  <si>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</si>
  <si>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</si>
  <si>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</si>
  <si>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</si>
  <si>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</si>
  <si>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</si>
  <si>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</si>
  <si>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</si>
  <si>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</si>
  <si>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</si>
  <si>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</si>
  <si>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</si>
  <si>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</si>
  <si>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</si>
  <si>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</si>
  <si>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</si>
  <si>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</si>
  <si>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</si>
  <si>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</si>
  <si>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</si>
  <si>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</si>
  <si>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</si>
  <si>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</si>
  <si>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</si>
  <si>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</si>
  <si>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</si>
  <si>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</si>
  <si>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</si>
  <si>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</si>
  <si>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</si>
  <si>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</si>
  <si>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</si>
  <si>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</si>
  <si>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</si>
  <si>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</si>
  <si>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</si>
  <si>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</si>
  <si>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</si>
  <si>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</si>
  <si>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</si>
  <si>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</si>
  <si>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</si>
  <si>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</si>
  <si>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</si>
  <si>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</si>
  <si>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</si>
  <si>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</si>
  <si>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</si>
  <si>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</si>
  <si>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</si>
  <si>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</si>
  <si>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</si>
  <si>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</si>
  <si>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</si>
  <si>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</si>
  <si>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</si>
  <si>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</si>
  <si>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</si>
  <si>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</si>
  <si>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</si>
  <si>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</si>
  <si>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</si>
  <si>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</si>
  <si>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</si>
  <si>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</si>
  <si>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</si>
  <si>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</si>
  <si>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</si>
  <si>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</si>
  <si>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</si>
  <si>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</si>
  <si>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</si>
  <si>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</si>
  <si>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</si>
  <si>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</si>
  <si>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</si>
  <si>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</si>
  <si>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</si>
  <si>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</si>
  <si>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</si>
  <si>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</si>
  <si>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</si>
  <si>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</si>
  <si>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</si>
  <si>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</si>
  <si>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</si>
  <si>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</si>
  <si>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</si>
  <si>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</si>
  <si>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</si>
  <si>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</si>
  <si>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</si>
  <si>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</si>
  <si>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</si>
  <si>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</si>
  <si>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</si>
  <si>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</si>
  <si>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</si>
  <si>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</si>
  <si>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</si>
  <si>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</si>
  <si>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</si>
  <si>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</si>
  <si>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</si>
  <si>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</si>
  <si>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</si>
  <si>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</si>
  <si>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</si>
  <si>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</si>
  <si>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</si>
  <si>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</si>
  <si>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</si>
  <si>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</si>
  <si>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</si>
  <si>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</si>
  <si>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</si>
  <si>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</si>
  <si>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</si>
  <si>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</si>
  <si>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</si>
  <si>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</si>
  <si>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</si>
  <si>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</si>
  <si>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</si>
  <si>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</si>
  <si>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</si>
  <si>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</si>
  <si>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</si>
  <si>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</si>
  <si>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</si>
  <si>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</si>
  <si>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</si>
  <si>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</si>
  <si>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</si>
  <si>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</si>
  <si>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</si>
  <si>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</si>
  <si>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</si>
  <si>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</si>
  <si>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</si>
  <si>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</si>
  <si>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</si>
  <si>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</si>
  <si>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</si>
  <si>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</si>
  <si>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</si>
  <si>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</si>
  <si>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</si>
  <si>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</si>
  <si>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</si>
  <si>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</si>
  <si>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</si>
  <si>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</si>
  <si>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</si>
  <si>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</si>
  <si>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</si>
  <si>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</si>
  <si>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</si>
  <si>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</si>
  <si>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</si>
  <si>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</si>
  <si>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</si>
  <si>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</si>
  <si>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</si>
  <si>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</si>
  <si>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</si>
  <si>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</si>
  <si>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</si>
  <si>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</si>
  <si>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</si>
  <si>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</si>
  <si>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</si>
  <si>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</si>
  <si>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</si>
  <si>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</si>
  <si>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</si>
  <si>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</si>
  <si>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</si>
  <si>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</si>
  <si>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</si>
  <si>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</si>
  <si>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</si>
  <si>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</si>
  <si>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</si>
  <si>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</si>
  <si>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</si>
  <si>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</si>
  <si>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</si>
  <si>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</si>
  <si>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</si>
  <si>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</si>
  <si>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</si>
  <si>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</si>
  <si>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</si>
  <si>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</si>
  <si>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</si>
  <si>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</si>
  <si>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</si>
  <si>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</si>
  <si>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</si>
  <si>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</si>
  <si>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</si>
  <si>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</si>
  <si>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</si>
  <si>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</si>
  <si>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</si>
  <si>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</si>
  <si>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</si>
  <si>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</si>
  <si>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</si>
  <si>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</si>
  <si>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</si>
  <si>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</si>
  <si>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</si>
  <si>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</si>
  <si>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</si>
  <si>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</si>
  <si>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</si>
  <si>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</si>
  <si>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</si>
  <si>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</si>
  <si>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</si>
  <si>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</si>
  <si>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</si>
  <si>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</si>
  <si>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</si>
  <si>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</si>
  <si>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</si>
  <si>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</si>
  <si>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</si>
  <si>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</si>
  <si>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</si>
  <si>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</si>
  <si>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</si>
  <si>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</si>
  <si>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</si>
  <si>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</si>
  <si>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</si>
  <si>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</si>
  <si>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</si>
  <si>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</si>
  <si>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</si>
  <si>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</si>
  <si>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</si>
  <si>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</si>
  <si>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</si>
  <si>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</si>
  <si>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</si>
  <si>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</si>
  <si>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</si>
  <si>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</si>
  <si>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</si>
  <si>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</si>
  <si>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</si>
  <si>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</si>
  <si>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</si>
  <si>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</si>
  <si>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</si>
  <si>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</si>
  <si>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</si>
  <si>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</si>
  <si>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</si>
  <si>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</si>
  <si>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</si>
  <si>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</si>
  <si>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</si>
  <si>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</si>
  <si>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</si>
  <si>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</si>
  <si>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</si>
  <si>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</si>
  <si>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</si>
  <si>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</si>
  <si>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</si>
  <si>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</si>
  <si>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</si>
  <si>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</si>
  <si>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</si>
  <si>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</si>
  <si>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</si>
  <si>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</si>
  <si>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</si>
  <si>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</si>
  <si>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</si>
  <si>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</si>
  <si>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</si>
  <si>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</si>
  <si>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</si>
  <si>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</si>
  <si>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</si>
  <si>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</si>
  <si>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</si>
  <si>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</si>
  <si>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</si>
  <si>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</si>
  <si>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</si>
  <si>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</si>
  <si>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</si>
  <si>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</si>
  <si>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</si>
  <si>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</si>
  <si>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</si>
  <si>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</si>
  <si>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</si>
  <si>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</si>
  <si>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</si>
  <si>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</si>
  <si>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</si>
  <si>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</si>
  <si>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</si>
  <si>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</si>
  <si>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</si>
  <si>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</si>
  <si>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</si>
  <si>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</si>
  <si>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</si>
  <si>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</si>
  <si>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</si>
  <si>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</si>
  <si>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</si>
  <si>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</si>
  <si>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</si>
  <si>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</si>
  <si>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</si>
  <si>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South Catalina Street I LP</t>
  </si>
  <si>
    <t>1250 West Jeff</t>
  </si>
  <si>
    <t>City of Los Angeles - Los Angeles Housing Department</t>
  </si>
  <si>
    <t>Timothy Elliott</t>
  </si>
  <si>
    <t>1200 W. 7th Street, 8th Floor</t>
  </si>
  <si>
    <t>(213) 808-8596</t>
  </si>
  <si>
    <t>timothy.elliott@lacity.org</t>
  </si>
  <si>
    <t>1250 West Jefferson Boulevard</t>
  </si>
  <si>
    <t>5040-028-027</t>
  </si>
  <si>
    <t>40%/60%</t>
  </si>
  <si>
    <t>424 N. Lake Avenue, Suite 305</t>
  </si>
  <si>
    <t>Pasadena</t>
  </si>
  <si>
    <t>CA</t>
  </si>
  <si>
    <t>Joseph Seager</t>
  </si>
  <si>
    <t>(626) 797-3888</t>
  </si>
  <si>
    <t>seager@theCBG.com</t>
  </si>
  <si>
    <t>Central Valley Coalition for Affordable Housing</t>
  </si>
  <si>
    <t>Managing GP</t>
  </si>
  <si>
    <t>3351 M Street, Suite 100</t>
  </si>
  <si>
    <t>Christina Alley</t>
  </si>
  <si>
    <t>(209) 38-0782</t>
  </si>
  <si>
    <t>chris@centralvalleycoalition.com</t>
  </si>
  <si>
    <t>West Jefferson Investment LLC</t>
  </si>
  <si>
    <t>Administrative GP</t>
  </si>
  <si>
    <t>Community Builders Group, LLC</t>
  </si>
  <si>
    <t>Sabelhaus &amp; Strain PC</t>
  </si>
  <si>
    <t>1724 10th Street, Suite 110</t>
  </si>
  <si>
    <t>Stephen Strain</t>
  </si>
  <si>
    <t>916-444-0286</t>
  </si>
  <si>
    <t>sstrain@sabelhauslaw.com</t>
  </si>
  <si>
    <t>Attorney/Consultant</t>
  </si>
  <si>
    <t>Community Builders Group</t>
  </si>
  <si>
    <t>Pasadena, CA 91101</t>
  </si>
  <si>
    <t>Natoma Architects, Inc.</t>
  </si>
  <si>
    <t>1022 Natoma Street #3</t>
  </si>
  <si>
    <t>San Francisco, CA 94103</t>
  </si>
  <si>
    <t>Stanley Saitowitz</t>
  </si>
  <si>
    <t>(415) 626-8977</t>
  </si>
  <si>
    <t>stanley@saitowitz.com</t>
  </si>
  <si>
    <t>Sacramento, CA 95811</t>
  </si>
  <si>
    <t>(916) 444-0286</t>
  </si>
  <si>
    <t>Bernard E. Rea, CPA</t>
  </si>
  <si>
    <t>P.O. Box 492</t>
  </si>
  <si>
    <t>Aubrey, TX 76227</t>
  </si>
  <si>
    <t>Bernie Rea</t>
  </si>
  <si>
    <t>(209) 933-9113</t>
  </si>
  <si>
    <t>breacpa@aol.com</t>
  </si>
  <si>
    <t>Walker &amp; Dunlop</t>
  </si>
  <si>
    <t>7272 Wisconsin Avenue, Suite 1300</t>
  </si>
  <si>
    <t>Bethesda, Maryland 20814</t>
  </si>
  <si>
    <t>Jennifer Erixon</t>
  </si>
  <si>
    <t>818-449-5800</t>
  </si>
  <si>
    <t>jerixon@walkerdunlop.com</t>
  </si>
  <si>
    <t>Raney Planning &amp; Management, Inc.</t>
  </si>
  <si>
    <t>1501 Sports Drive, Suite A</t>
  </si>
  <si>
    <t>Sacramento, CA 95834</t>
  </si>
  <si>
    <t>Stefanie Williams</t>
  </si>
  <si>
    <t>916-372-6100</t>
  </si>
  <si>
    <t>swilliams@laurinassociates.com</t>
  </si>
  <si>
    <t>California Municipal Finance Authority</t>
  </si>
  <si>
    <t>2111 Palomar Airport Road, Suite 320</t>
  </si>
  <si>
    <t>Carlsbad, CA 92011</t>
  </si>
  <si>
    <t>Ben Barker</t>
  </si>
  <si>
    <t>(760) 930-1221</t>
  </si>
  <si>
    <t>bbarker@cmfa-ca.com</t>
  </si>
  <si>
    <t>WinnResidential California L.P</t>
  </si>
  <si>
    <t>One Washington Mall, Suite 500</t>
  </si>
  <si>
    <t>Boston, MA 02108</t>
  </si>
  <si>
    <t>Oke Johnson</t>
  </si>
  <si>
    <t>(617) 742-4500</t>
  </si>
  <si>
    <t>CBG University Gradens, L.P.</t>
  </si>
  <si>
    <t>Joseph P. Seager</t>
  </si>
  <si>
    <t>Member of General Partner</t>
  </si>
  <si>
    <t>424 N. Lake Avenue, Suite 300</t>
  </si>
  <si>
    <t>See Below</t>
  </si>
  <si>
    <t>CBG University Gardens, L.P.</t>
  </si>
  <si>
    <t>Secured by Leasehold Interest</t>
  </si>
  <si>
    <t>Other (Specify below)</t>
  </si>
  <si>
    <t>C2-2D-CPPIO-Commercial Zone Sub Area F (TOD Medium)</t>
  </si>
  <si>
    <t>C2-2D-CPPIO-Commercial Zone Sub Area F (TOD Medium)/1 unit per 400 square feet</t>
  </si>
  <si>
    <t>C2-2D-CPPIO-Commercial Zone Sub Area F (TOD Medium)/1 unit per 2,038 square feet</t>
  </si>
  <si>
    <t>15 feet per story</t>
  </si>
  <si>
    <t>None</t>
  </si>
  <si>
    <t>Rose Community Capital LLC</t>
  </si>
  <si>
    <t>1600 Rosencrans Avenue</t>
  </si>
  <si>
    <t>Manhattan Beach</t>
  </si>
  <si>
    <t>Kelly S. Boyer</t>
  </si>
  <si>
    <t>(310) 321-7652</t>
  </si>
  <si>
    <t>Tax-Exempt Construction Loan</t>
  </si>
  <si>
    <t>Bethesda</t>
  </si>
  <si>
    <t>Rose Community Capital, LLC</t>
  </si>
  <si>
    <t xml:space="preserve">Manhattan Beach </t>
  </si>
  <si>
    <t>Tax-Exempt Permanent Loan</t>
  </si>
  <si>
    <t>Office</t>
  </si>
  <si>
    <t>Taxes and Benefits</t>
  </si>
  <si>
    <t>Supplies</t>
  </si>
  <si>
    <t>Provided</t>
  </si>
  <si>
    <t>Not Applicable</t>
  </si>
  <si>
    <t>Other: P &amp; P Bond</t>
  </si>
  <si>
    <t>Other: HUD Fees</t>
  </si>
  <si>
    <t>Other: Bond Issuance Fees</t>
  </si>
  <si>
    <t>Other: Borrower Attorney</t>
  </si>
  <si>
    <t>Other: Consultants</t>
  </si>
  <si>
    <t>1 bedroom</t>
  </si>
  <si>
    <t>2 bedroom</t>
  </si>
  <si>
    <t>3 bedroom</t>
  </si>
  <si>
    <t xml:space="preserve">CBRE </t>
  </si>
  <si>
    <t>400 S. Hope Street, Suite 2500</t>
  </si>
  <si>
    <t>Los Angeles, CA 90071</t>
  </si>
  <si>
    <t>Babak Sammak</t>
  </si>
  <si>
    <t>babak.sammak@cbre.com</t>
  </si>
  <si>
    <t>Fixed</t>
  </si>
  <si>
    <t>TBD</t>
  </si>
  <si>
    <t>Housing Authority of the City of Los Angeles</t>
  </si>
  <si>
    <t>A/C</t>
  </si>
  <si>
    <t>Ground Lease Payments</t>
  </si>
  <si>
    <t>Recycled Bonds</t>
  </si>
  <si>
    <t>Project-based contract (PBC)</t>
  </si>
  <si>
    <t>HAP Contract</t>
  </si>
  <si>
    <t>Project Based Section 8</t>
  </si>
  <si>
    <t>Other: Investor Diligence</t>
  </si>
  <si>
    <t>Above residual receipts line for cash flow</t>
  </si>
  <si>
    <t>South Catalina Street 1 LP</t>
  </si>
  <si>
    <t>Sterling Bank</t>
  </si>
  <si>
    <t>Deferred Reserves</t>
  </si>
  <si>
    <t>7272 Wisonsin Avenue, Suite 1300</t>
  </si>
  <si>
    <t>Recycled Bond Tax-Exempt Construction Loan</t>
  </si>
  <si>
    <t>8182 Maryland Avenue, Suite 100</t>
  </si>
  <si>
    <t>Clayton, Missouri</t>
  </si>
  <si>
    <t>Low Income Housing Tax Credit</t>
  </si>
  <si>
    <t>Adam J.Castagno</t>
  </si>
  <si>
    <t>Taxable Construction Equity Bridge Loan</t>
  </si>
  <si>
    <t>Adam J. Castagno</t>
  </si>
  <si>
    <t xml:space="preserve">Recycled Bond Construction Equity Bridge Loan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</si>
</sst>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30">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3" fontId="13" fillId="8" borderId="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30">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0" xfId="8729" xr:uid="{E8A89FFA-F205-46BC-9A93-733C30184983}"/>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2412</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2459</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9" t="str">
        <f>IF(Application!H18="","",Application!H18)</f>
        <v>1250 West Jeff</v>
      </c>
      <c r="M4" s="2570"/>
      <c r="N4" s="2570"/>
      <c r="O4" s="2570"/>
      <c r="P4" s="2570"/>
      <c r="Q4" s="2570"/>
      <c r="R4" s="2570"/>
      <c r="S4" s="2570"/>
      <c r="T4" s="2570"/>
      <c r="U4" s="2570"/>
      <c r="V4" s="2570"/>
      <c r="W4" s="2570"/>
      <c r="X4" s="2570"/>
      <c r="Y4" s="2570"/>
      <c r="Z4" s="2570"/>
      <c r="AA4" s="2570"/>
      <c r="AB4" s="2570"/>
      <c r="AC4" s="2571"/>
      <c r="AD4" s="1206"/>
      <c r="AE4" s="1206"/>
      <c r="AF4" s="2216" t="s">
        <v>2460</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2461</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9" t="str">
        <f>IF(Application!H16="","",Application!H16)</f>
        <v>South Catalina Street I LP</v>
      </c>
      <c r="M6" s="2570"/>
      <c r="N6" s="2570"/>
      <c r="O6" s="2570"/>
      <c r="P6" s="2570"/>
      <c r="Q6" s="2570"/>
      <c r="R6" s="2570"/>
      <c r="S6" s="2570"/>
      <c r="T6" s="2570"/>
      <c r="U6" s="2570"/>
      <c r="V6" s="2570"/>
      <c r="W6" s="2570"/>
      <c r="X6" s="2570"/>
      <c r="Y6" s="2570"/>
      <c r="Z6" s="2570"/>
      <c r="AA6" s="2570"/>
      <c r="AB6" s="2570"/>
      <c r="AC6" s="2571"/>
      <c r="AD6" s="1206"/>
      <c r="AE6" s="1206"/>
      <c r="AF6" s="2572" t="s">
        <v>2462</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2463</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2464</v>
      </c>
      <c r="AG8" s="2572"/>
      <c r="AH8" s="2572"/>
      <c r="AI8" s="2572"/>
      <c r="AJ8" s="2572"/>
      <c r="AK8" s="2572"/>
      <c r="AL8" s="2572"/>
      <c r="AM8" s="2572"/>
      <c r="AN8" s="2572"/>
      <c r="AO8" s="2572"/>
      <c r="AP8" s="2562" t="s">
        <v>2416</v>
      </c>
      <c r="AQ8" s="2562"/>
      <c r="AR8" s="2562"/>
      <c r="AS8" s="2562"/>
      <c r="AT8" s="2562"/>
      <c r="AU8" s="2562"/>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2622</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4">
        <f>Application!AO627</f>
        <v>48065435</v>
      </c>
      <c r="O10" s="2544"/>
      <c r="P10" s="2544"/>
      <c r="Q10" s="2544"/>
      <c r="R10" s="2544"/>
      <c r="S10" s="2544"/>
      <c r="T10" s="2544"/>
      <c r="U10" s="1206"/>
      <c r="V10" s="1206"/>
      <c r="W10" s="1206"/>
      <c r="X10" s="1255"/>
      <c r="Y10" s="1255"/>
      <c r="Z10" s="1255"/>
      <c r="AA10" s="1255"/>
      <c r="AB10" s="1255"/>
      <c r="AC10" s="1255"/>
      <c r="AD10" s="1255"/>
      <c r="AE10" s="1255"/>
      <c r="AF10" s="2216" t="s">
        <v>2621</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2620</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1" t="s">
        <v>1793</v>
      </c>
      <c r="C13" s="2552"/>
      <c r="D13" s="2552"/>
      <c r="E13" s="2552"/>
      <c r="F13" s="2552"/>
      <c r="G13" s="2552"/>
      <c r="H13" s="2552"/>
      <c r="I13" s="2552"/>
      <c r="J13" s="2552"/>
      <c r="K13" s="2552"/>
      <c r="L13" s="2552"/>
      <c r="M13" s="2552"/>
      <c r="N13" s="2552"/>
      <c r="O13" s="2552"/>
      <c r="P13" s="2553"/>
      <c r="Q13" s="2554" t="s">
        <v>678</v>
      </c>
      <c r="R13" s="2555"/>
      <c r="S13" s="2555"/>
      <c r="T13" s="2556"/>
      <c r="U13" s="1255"/>
      <c r="V13" s="1206"/>
      <c r="W13" s="1206"/>
      <c r="X13" s="1206"/>
      <c r="Y13" s="1206"/>
      <c r="Z13" s="1206"/>
      <c r="AA13" s="2545" t="s">
        <v>2466</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2468</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1794</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2469</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1795</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1796</v>
      </c>
      <c r="C18" s="2538"/>
      <c r="D18" s="2538"/>
      <c r="E18" s="2538"/>
      <c r="F18" s="2538"/>
      <c r="G18" s="2538"/>
      <c r="H18" s="2538"/>
      <c r="I18" s="2539"/>
      <c r="J18" s="2540" t="s">
        <v>1697</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1797</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13</v>
      </c>
      <c r="K19" s="2518"/>
      <c r="L19" s="2518"/>
      <c r="M19" s="2518"/>
      <c r="N19" s="2518"/>
      <c r="O19" s="2519"/>
      <c r="P19" s="2517" cm="1">
        <f t="array" ref="P19">SUMPRODUCT((Application!$B$718:$B$752 = 'CalHFA Addendum'!P$18)*(Application!$AC$718:$AC$752 = 'CalHFA Addendum'!$B19),Application!$G$718:$G$752)</f>
        <v>2</v>
      </c>
      <c r="Q19" s="2518"/>
      <c r="R19" s="2518"/>
      <c r="S19" s="2518"/>
      <c r="T19" s="2518"/>
      <c r="U19" s="2519"/>
      <c r="V19" s="2517" cm="1">
        <f t="array" ref="V19">SUMPRODUCT((Application!$B$714:$B$738 = 'CalHFA Addendum'!V$18)*(Application!$AC$714:$AC$738 = 'CalHFA Addendum'!$B19),Application!$G$714:$G$738)</f>
        <v>3</v>
      </c>
      <c r="W19" s="2518"/>
      <c r="X19" s="2518"/>
      <c r="Y19" s="2518"/>
      <c r="Z19" s="2518"/>
      <c r="AA19" s="2519"/>
      <c r="AB19" s="2517" cm="1">
        <f t="array" ref="AB19">SUMPRODUCT((Application!$B$714:$B$738 = 'CalHFA Addendum'!AB$18)*(Application!$AC$714:$AC$738 = 'CalHFA Addendum'!$B19),Application!$G$714:$G$738)</f>
        <v>4</v>
      </c>
      <c r="AC19" s="2518"/>
      <c r="AD19" s="2518"/>
      <c r="AE19" s="2518"/>
      <c r="AF19" s="2518"/>
      <c r="AG19" s="2519"/>
      <c r="AH19" s="2517" cm="1">
        <f t="array" ref="AH19">SUMPRODUCT((Application!$B$714:$B$738 = 'CalHFA Addendum'!AH$18)*(Application!$AC$714:$AC$738 = 'CalHFA Addendum'!$B19),Application!$G$714:$G$738)</f>
        <v>4</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0.10743801652892562</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13</v>
      </c>
      <c r="K21" s="2518"/>
      <c r="L21" s="2518"/>
      <c r="M21" s="2518"/>
      <c r="N21" s="2518"/>
      <c r="O21" s="2519"/>
      <c r="P21" s="2517" cm="1">
        <f t="array" ref="P21">SUMPRODUCT((Application!$B$714:$B$738 = 'CalHFA Addendum'!P$18)*(Application!$AC$714:$AC$738 = 'CalHFA Addendum'!$B21),Application!$G$714:$G$738)</f>
        <v>2</v>
      </c>
      <c r="Q21" s="2518"/>
      <c r="R21" s="2518"/>
      <c r="S21" s="2518"/>
      <c r="T21" s="2518"/>
      <c r="U21" s="2519"/>
      <c r="V21" s="2517" cm="1">
        <f t="array" ref="V21">SUMPRODUCT((Application!$B$714:$B$738 = 'CalHFA Addendum'!V$18)*(Application!$AC$714:$AC$738 = 'CalHFA Addendum'!$B21),Application!$G$714:$G$738)</f>
        <v>3</v>
      </c>
      <c r="W21" s="2518"/>
      <c r="X21" s="2518"/>
      <c r="Y21" s="2518"/>
      <c r="Z21" s="2518"/>
      <c r="AA21" s="2519"/>
      <c r="AB21" s="2517" cm="1">
        <f t="array" ref="AB21">SUMPRODUCT((Application!$B$714:$B$738 = 'CalHFA Addendum'!AB$18)*(Application!$AC$714:$AC$738 = 'CalHFA Addendum'!$B21),Application!$G$714:$G$738)</f>
        <v>4</v>
      </c>
      <c r="AC21" s="2518"/>
      <c r="AD21" s="2518"/>
      <c r="AE21" s="2518"/>
      <c r="AF21" s="2518"/>
      <c r="AG21" s="2519"/>
      <c r="AH21" s="2517" cm="1">
        <f t="array" ref="AH21">SUMPRODUCT((Application!$B$714:$B$738 = 'CalHFA Addendum'!AH$18)*(Application!$AC$714:$AC$738 = 'CalHFA Addendum'!$B21),Application!$G$714:$G$738)</f>
        <v>4</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0.10743801652892562</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79</v>
      </c>
      <c r="K22" s="2518"/>
      <c r="L22" s="2518"/>
      <c r="M22" s="2518"/>
      <c r="N22" s="2518"/>
      <c r="O22" s="2519"/>
      <c r="P22" s="2517" cm="1">
        <f t="array" ref="P22">SUMPRODUCT((Application!$B$714:$B$738 = 'CalHFA Addendum'!P$18)*(Application!$AC$714:$AC$738 = 'CalHFA Addendum'!$B22),Application!$G$714:$G$738)</f>
        <v>8</v>
      </c>
      <c r="Q22" s="2518"/>
      <c r="R22" s="2518"/>
      <c r="S22" s="2518"/>
      <c r="T22" s="2518"/>
      <c r="U22" s="2519"/>
      <c r="V22" s="2517" cm="1">
        <f t="array" ref="V22">SUMPRODUCT((Application!$B$714:$B$738 = 'CalHFA Addendum'!V$18)*(Application!$AC$714:$AC$738 = 'CalHFA Addendum'!$B22),Application!$G$714:$G$738)</f>
        <v>17</v>
      </c>
      <c r="W22" s="2518"/>
      <c r="X22" s="2518"/>
      <c r="Y22" s="2518"/>
      <c r="Z22" s="2518"/>
      <c r="AA22" s="2519"/>
      <c r="AB22" s="2517" cm="1">
        <f t="array" ref="AB22">SUMPRODUCT((Application!$B$714:$B$738 = 'CalHFA Addendum'!AB$18)*(Application!$AC$714:$AC$738 = 'CalHFA Addendum'!$B22),Application!$G$714:$G$738)</f>
        <v>27</v>
      </c>
      <c r="AC22" s="2518"/>
      <c r="AD22" s="2518"/>
      <c r="AE22" s="2518"/>
      <c r="AF22" s="2518"/>
      <c r="AG22" s="2519"/>
      <c r="AH22" s="2517" cm="1">
        <f t="array" ref="AH22">SUMPRODUCT((Application!$B$714:$B$738 = 'CalHFA Addendum'!AH$18)*(Application!$AC$714:$AC$738 = 'CalHFA Addendum'!$B22),Application!$G$714:$G$738)</f>
        <v>27</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0.65289256198347112</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0</v>
      </c>
      <c r="W23" s="2518"/>
      <c r="X23" s="2518"/>
      <c r="Y23" s="2518"/>
      <c r="Z23" s="2518"/>
      <c r="AA23" s="2519"/>
      <c r="AB23" s="2517" cm="1">
        <f t="array" ref="AB23">SUMPRODUCT((Application!$B$714:$B$738 = 'CalHFA Addendum'!AB$18)*(Application!$AC$714:$AC$738 = 'CalHFA Addendum'!$B23),Application!$G$714:$G$738)</f>
        <v>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16</v>
      </c>
      <c r="K24" s="2518"/>
      <c r="L24" s="2518"/>
      <c r="M24" s="2518"/>
      <c r="N24" s="2518"/>
      <c r="O24" s="2519"/>
      <c r="P24" s="2517" cm="1">
        <f t="array" ref="P24">SUMPRODUCT((Application!$B$714:$B$738 = 'CalHFA Addendum'!P$18)*(Application!$AC$714:$AC$738 = 'CalHFA Addendum'!$B24),Application!$G$714:$G$738)</f>
        <v>3</v>
      </c>
      <c r="Q24" s="2518"/>
      <c r="R24" s="2518"/>
      <c r="S24" s="2518"/>
      <c r="T24" s="2518"/>
      <c r="U24" s="2519"/>
      <c r="V24" s="2517" cm="1">
        <f t="array" ref="V24">SUMPRODUCT((Application!$B$714:$B$738 = 'CalHFA Addendum'!V$18)*(Application!$AC$714:$AC$738 = 'CalHFA Addendum'!$B24),Application!$G$714:$G$738)</f>
        <v>5</v>
      </c>
      <c r="W24" s="2518"/>
      <c r="X24" s="2518"/>
      <c r="Y24" s="2518"/>
      <c r="Z24" s="2518"/>
      <c r="AA24" s="2519"/>
      <c r="AB24" s="2517" cm="1">
        <f t="array" ref="AB24">SUMPRODUCT((Application!$B$714:$B$738 = 'CalHFA Addendum'!AB$18)*(Application!$AC$714:$AC$738 = 'CalHFA Addendum'!$B24),Application!$G$714:$G$738)</f>
        <v>7</v>
      </c>
      <c r="AC24" s="2518"/>
      <c r="AD24" s="2518"/>
      <c r="AE24" s="2518"/>
      <c r="AF24" s="2518"/>
      <c r="AG24" s="2519"/>
      <c r="AH24" s="2517" cm="1">
        <f t="array" ref="AH24">SUMPRODUCT((Application!$B$714:$B$738 = 'CalHFA Addendum'!AH$18)*(Application!$AC$714:$AC$738 = 'CalHFA Addendum'!$B24),Application!$G$714:$G$738)</f>
        <v>1</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0.13223140495867769</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1798</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1697</v>
      </c>
      <c r="C29" s="2481"/>
      <c r="D29" s="2481"/>
      <c r="E29" s="2481"/>
      <c r="F29" s="2481"/>
      <c r="G29" s="2481"/>
      <c r="H29" s="2481"/>
      <c r="I29" s="2482"/>
      <c r="J29" s="2480">
        <f>SUM(J19:O28)</f>
        <v>121</v>
      </c>
      <c r="K29" s="2481"/>
      <c r="L29" s="2481"/>
      <c r="M29" s="2481"/>
      <c r="N29" s="2481"/>
      <c r="O29" s="2482"/>
      <c r="P29" s="2480">
        <f>SUM(P19:U28)</f>
        <v>15</v>
      </c>
      <c r="Q29" s="2481"/>
      <c r="R29" s="2481"/>
      <c r="S29" s="2481"/>
      <c r="T29" s="2481"/>
      <c r="U29" s="2482"/>
      <c r="V29" s="2480">
        <f>SUM(V19:AA28)</f>
        <v>28</v>
      </c>
      <c r="W29" s="2481"/>
      <c r="X29" s="2481"/>
      <c r="Y29" s="2481"/>
      <c r="Z29" s="2481"/>
      <c r="AA29" s="2482"/>
      <c r="AB29" s="2480">
        <f>SUM(AB19:AG28)</f>
        <v>42</v>
      </c>
      <c r="AC29" s="2481"/>
      <c r="AD29" s="2481"/>
      <c r="AE29" s="2481"/>
      <c r="AF29" s="2481"/>
      <c r="AG29" s="2482"/>
      <c r="AH29" s="2480">
        <f>SUM(AH19:AM28)</f>
        <v>36</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1799</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2472</v>
      </c>
      <c r="C32" s="2500"/>
      <c r="D32" s="2500"/>
      <c r="E32" s="2500"/>
      <c r="F32" s="2500"/>
      <c r="G32" s="2500"/>
      <c r="H32" s="2500"/>
      <c r="I32" s="2500"/>
      <c r="J32" s="2532" t="s">
        <v>2473</v>
      </c>
      <c r="K32" s="2533"/>
      <c r="L32" s="2533"/>
      <c r="M32" s="2533"/>
      <c r="N32" s="2532" t="s">
        <v>1800</v>
      </c>
      <c r="O32" s="2533"/>
      <c r="P32" s="2533"/>
      <c r="Q32" s="2535"/>
      <c r="R32" s="2493" t="s">
        <v>1801</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1802</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1803</v>
      </c>
      <c r="AT35" s="2511"/>
      <c r="AU35" s="2511"/>
      <c r="AV35" s="2511"/>
      <c r="AW35" s="2511"/>
      <c r="AX35" s="2512"/>
      <c r="AY35" s="2510" t="s">
        <v>1804</v>
      </c>
      <c r="AZ35" s="2511"/>
      <c r="BA35" s="2511"/>
      <c r="BB35" s="2511"/>
      <c r="BC35" s="2511"/>
      <c r="BD35" s="2513"/>
      <c r="BE35" s="1202"/>
    </row>
    <row r="36" spans="1:58" ht="15.75" customHeight="1">
      <c r="A36" s="1206"/>
      <c r="B36" s="2241" t="s">
        <v>1805</v>
      </c>
      <c r="C36" s="2242"/>
      <c r="D36" s="2242"/>
      <c r="E36" s="2242"/>
      <c r="F36" s="2242"/>
      <c r="G36" s="2242"/>
      <c r="H36" s="2242"/>
      <c r="I36" s="2242"/>
      <c r="J36" s="2473" t="s">
        <v>1806</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0.41322314049586778</v>
      </c>
      <c r="AZ36" s="2478"/>
      <c r="BA36" s="2478"/>
      <c r="BB36" s="2478"/>
      <c r="BC36" s="2478"/>
      <c r="BD36" s="2479"/>
      <c r="BE36" s="1202"/>
    </row>
    <row r="37" spans="1:58" ht="15.75" customHeight="1">
      <c r="A37" s="1206"/>
      <c r="B37" s="2241" t="s">
        <v>2474</v>
      </c>
      <c r="C37" s="2242"/>
      <c r="D37" s="2242"/>
      <c r="E37" s="2242"/>
      <c r="F37" s="2242"/>
      <c r="G37" s="2242"/>
      <c r="H37" s="2242"/>
      <c r="I37" s="2242"/>
      <c r="J37" s="2473" t="s">
        <v>1807</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8.2644628099173556E-2</v>
      </c>
      <c r="AZ37" s="2478"/>
      <c r="BA37" s="2478"/>
      <c r="BB37" s="2478"/>
      <c r="BC37" s="2478"/>
      <c r="BD37" s="2479"/>
      <c r="BE37" s="1202"/>
    </row>
    <row r="38" spans="1:58" ht="15.75" customHeight="1">
      <c r="A38" s="1206"/>
      <c r="B38" s="2241" t="s">
        <v>2413</v>
      </c>
      <c r="C38" s="2242"/>
      <c r="D38" s="2242"/>
      <c r="E38" s="2242"/>
      <c r="F38" s="2242"/>
      <c r="G38" s="2242"/>
      <c r="H38" s="2242"/>
      <c r="I38" s="2242"/>
      <c r="J38" s="2473" t="s">
        <v>1808</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1809</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1809</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1810</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1810</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1811</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1812</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1813</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1814</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1815</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1816</v>
      </c>
      <c r="C51" s="2173"/>
      <c r="D51" s="2173"/>
      <c r="E51" s="2173"/>
      <c r="F51" s="2173"/>
      <c r="G51" s="2173"/>
      <c r="H51" s="2173"/>
      <c r="I51" s="2173"/>
      <c r="J51" s="2173" t="s">
        <v>2476</v>
      </c>
      <c r="K51" s="2173"/>
      <c r="L51" s="2173"/>
      <c r="M51" s="2173"/>
      <c r="N51" s="2173"/>
      <c r="O51" s="2173"/>
      <c r="P51" s="2173"/>
      <c r="Q51" s="2173"/>
      <c r="R51" s="2464" t="s">
        <v>2477</v>
      </c>
      <c r="S51" s="2464"/>
      <c r="T51" s="2464"/>
      <c r="U51" s="2464"/>
      <c r="V51" s="2464"/>
      <c r="W51" s="2464"/>
      <c r="X51" s="2464"/>
      <c r="Y51" s="2464"/>
      <c r="Z51" s="2464" t="s">
        <v>1817</v>
      </c>
      <c r="AA51" s="2464"/>
      <c r="AB51" s="2464"/>
      <c r="AC51" s="2464"/>
      <c r="AD51" s="2464"/>
      <c r="AE51" s="2464"/>
      <c r="AF51" s="2464"/>
      <c r="AG51" s="2464"/>
      <c r="AH51" s="2464" t="s">
        <v>1818</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2184</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2185</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1697</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1816</v>
      </c>
      <c r="C59" s="2461"/>
      <c r="D59" s="2461"/>
      <c r="E59" s="2461"/>
      <c r="F59" s="2461"/>
      <c r="G59" s="2461"/>
      <c r="H59" s="2461"/>
      <c r="I59" s="2462"/>
      <c r="J59" s="2426" t="s">
        <v>2478</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1820</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1821</v>
      </c>
      <c r="AD68" s="2178"/>
      <c r="AE68" s="2178"/>
      <c r="AF68" s="2178"/>
      <c r="AG68" s="2178"/>
      <c r="AH68" s="2178"/>
      <c r="AI68" s="2178"/>
      <c r="AJ68" s="2178"/>
      <c r="AK68" s="2178"/>
      <c r="AL68" s="2178"/>
      <c r="AM68" s="2178"/>
      <c r="AN68" s="2178"/>
      <c r="AO68" s="2178"/>
      <c r="AP68" s="2178"/>
      <c r="AQ68" s="2178"/>
      <c r="AR68" s="2178"/>
      <c r="AS68" s="2178"/>
      <c r="AT68" s="2178"/>
      <c r="AU68" s="2178"/>
      <c r="AV68" s="2228" t="s">
        <v>678</v>
      </c>
      <c r="AW68" s="2229"/>
      <c r="AX68" s="2229"/>
      <c r="AY68" s="2229"/>
      <c r="AZ68" s="2229"/>
      <c r="BA68" s="2229"/>
      <c r="BB68" s="2229"/>
      <c r="BC68" s="2230"/>
      <c r="BD68" s="1206"/>
      <c r="BE68" s="1202"/>
      <c r="BM68" s="1251" t="s">
        <v>2479</v>
      </c>
    </row>
    <row r="69" spans="1:65" ht="15.75" customHeight="1" thickTop="1" thickBot="1">
      <c r="A69" s="1206"/>
      <c r="B69" s="2231" t="s">
        <v>1822</v>
      </c>
      <c r="C69" s="2232"/>
      <c r="D69" s="2232"/>
      <c r="E69" s="2232"/>
      <c r="F69" s="2232"/>
      <c r="G69" s="2232"/>
      <c r="H69" s="2232"/>
      <c r="I69" s="2232"/>
      <c r="J69" s="2232"/>
      <c r="K69" s="2232"/>
      <c r="L69" s="2232"/>
      <c r="M69" s="2232"/>
      <c r="N69" s="2232"/>
      <c r="O69" s="2233" t="s">
        <v>1823</v>
      </c>
      <c r="P69" s="2234"/>
      <c r="Q69" s="2234"/>
      <c r="R69" s="2234"/>
      <c r="S69" s="2234"/>
      <c r="T69" s="2234"/>
      <c r="U69" s="2234"/>
      <c r="V69" s="2234"/>
      <c r="W69" s="2234"/>
      <c r="X69" s="2234"/>
      <c r="Y69" s="2234"/>
      <c r="Z69" s="2234"/>
      <c r="AA69" s="2235"/>
      <c r="AB69" s="1206"/>
      <c r="AC69" s="2236" t="s">
        <v>1824</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554</v>
      </c>
    </row>
    <row r="70" spans="1:65" ht="15.75" customHeight="1">
      <c r="A70" s="1206"/>
      <c r="B70" s="2241" t="s">
        <v>2480</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1825</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678</v>
      </c>
    </row>
    <row r="71" spans="1:65" ht="15.75" customHeight="1" thickBot="1">
      <c r="A71" s="1206"/>
      <c r="B71" s="2241" t="s">
        <v>2481</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1826</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2482</v>
      </c>
    </row>
    <row r="72" spans="1:65" ht="15.75" customHeight="1">
      <c r="A72" s="1206"/>
      <c r="B72" s="2241" t="s">
        <v>2483</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2484</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2485</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0" t="s">
        <v>2550</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2169</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2617</v>
      </c>
      <c r="AK83" s="2181"/>
      <c r="AL83" s="2181"/>
      <c r="AM83" s="2181"/>
      <c r="AN83" s="2181"/>
      <c r="AO83" s="2181"/>
      <c r="AP83" s="2181"/>
      <c r="AQ83" s="2181"/>
      <c r="AR83" s="2181"/>
      <c r="AS83" s="2181"/>
      <c r="AT83" s="2181"/>
      <c r="AU83" s="2181"/>
      <c r="AV83" s="2181"/>
      <c r="AW83" s="2181"/>
      <c r="AX83" s="2181"/>
      <c r="AY83" s="2202" t="s">
        <v>554</v>
      </c>
      <c r="AZ83" s="2202"/>
      <c r="BA83" s="2202"/>
      <c r="BB83" s="2203"/>
      <c r="BC83" s="1206"/>
      <c r="BD83" s="1206"/>
      <c r="BE83" s="1202"/>
    </row>
    <row r="84" spans="1:70" ht="15.75" customHeight="1">
      <c r="A84" s="1206"/>
      <c r="B84" s="2172"/>
      <c r="C84" s="2173"/>
      <c r="D84" s="2173"/>
      <c r="E84" s="2173"/>
      <c r="F84" s="2173"/>
      <c r="G84" s="2173"/>
      <c r="H84" s="2173"/>
      <c r="I84" s="2173" t="s">
        <v>1827</v>
      </c>
      <c r="J84" s="2173"/>
      <c r="K84" s="2173"/>
      <c r="L84" s="2173"/>
      <c r="M84" s="2173"/>
      <c r="N84" s="2173"/>
      <c r="O84" s="2173" t="s">
        <v>1828</v>
      </c>
      <c r="P84" s="2173"/>
      <c r="Q84" s="2173"/>
      <c r="R84" s="2173"/>
      <c r="S84" s="2173"/>
      <c r="T84" s="2173"/>
      <c r="U84" s="2173"/>
      <c r="V84" s="2174" t="s">
        <v>2187</v>
      </c>
      <c r="W84" s="2174"/>
      <c r="X84" s="2174"/>
      <c r="Y84" s="2174"/>
      <c r="Z84" s="2174"/>
      <c r="AA84" s="2174"/>
      <c r="AB84" s="2175" t="s">
        <v>1829</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2170</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2171</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2486</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1830</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0" t="s">
        <v>2550</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2614</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2613</v>
      </c>
      <c r="AK96" s="2181"/>
      <c r="AL96" s="2181"/>
      <c r="AM96" s="2181"/>
      <c r="AN96" s="2181"/>
      <c r="AO96" s="2181"/>
      <c r="AP96" s="2181"/>
      <c r="AQ96" s="2181"/>
      <c r="AR96" s="2181"/>
      <c r="AS96" s="2181"/>
      <c r="AT96" s="2181"/>
      <c r="AU96" s="2181"/>
      <c r="AV96" s="2181"/>
      <c r="AW96" s="2181"/>
      <c r="AX96" s="2181"/>
      <c r="AY96" s="2202" t="s">
        <v>554</v>
      </c>
      <c r="AZ96" s="2202"/>
      <c r="BA96" s="2202"/>
      <c r="BB96" s="2203"/>
      <c r="BC96" s="1206"/>
      <c r="BD96" s="1206"/>
      <c r="BE96" s="1202"/>
      <c r="BQ96" s="1245" t="str">
        <f>Application!M243</f>
        <v>Central Valley Coalition for Affordable Housing</v>
      </c>
      <c r="BR96" s="1245">
        <f>Application!AH245</f>
        <v>0</v>
      </c>
    </row>
    <row r="97" spans="1:70" ht="15.75" customHeight="1">
      <c r="A97" s="1206"/>
      <c r="B97" s="2172"/>
      <c r="C97" s="2173"/>
      <c r="D97" s="2173"/>
      <c r="E97" s="2173"/>
      <c r="F97" s="2173"/>
      <c r="G97" s="2173"/>
      <c r="H97" s="2173"/>
      <c r="I97" s="2173" t="s">
        <v>1827</v>
      </c>
      <c r="J97" s="2173"/>
      <c r="K97" s="2173"/>
      <c r="L97" s="2173"/>
      <c r="M97" s="2173"/>
      <c r="N97" s="2173"/>
      <c r="O97" s="2173" t="s">
        <v>1828</v>
      </c>
      <c r="P97" s="2173"/>
      <c r="Q97" s="2173"/>
      <c r="R97" s="2173"/>
      <c r="S97" s="2173"/>
      <c r="T97" s="2173"/>
      <c r="U97" s="2173"/>
      <c r="V97" s="2174" t="s">
        <v>2187</v>
      </c>
      <c r="W97" s="2174"/>
      <c r="X97" s="2174"/>
      <c r="Y97" s="2174"/>
      <c r="Z97" s="2174"/>
      <c r="AA97" s="2174"/>
      <c r="AB97" s="2175" t="s">
        <v>1829</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West Jefferson Investment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2170</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2171</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2486</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1830</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2610</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1827</v>
      </c>
      <c r="J108" s="2173"/>
      <c r="K108" s="2173"/>
      <c r="L108" s="2173"/>
      <c r="M108" s="2173"/>
      <c r="N108" s="2173"/>
      <c r="O108" s="2173" t="s">
        <v>1828</v>
      </c>
      <c r="P108" s="2173"/>
      <c r="Q108" s="2173"/>
      <c r="R108" s="2173"/>
      <c r="S108" s="2173"/>
      <c r="T108" s="2173"/>
      <c r="U108" s="2173"/>
      <c r="V108" s="2174" t="s">
        <v>2187</v>
      </c>
      <c r="W108" s="2174"/>
      <c r="X108" s="2174"/>
      <c r="Y108" s="2174"/>
      <c r="Z108" s="2174"/>
      <c r="AA108" s="2174"/>
      <c r="AB108" s="2175" t="s">
        <v>1829</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2170</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2171</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1830</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2487</v>
      </c>
      <c r="C117" s="2181"/>
      <c r="D117" s="2181"/>
      <c r="E117" s="2181"/>
      <c r="F117" s="2181"/>
      <c r="G117" s="2181"/>
      <c r="H117" s="2181"/>
      <c r="I117" s="2181"/>
      <c r="J117" s="2181"/>
      <c r="K117" s="2181"/>
      <c r="L117" s="2181"/>
      <c r="M117" s="2181"/>
      <c r="N117" s="2181"/>
      <c r="O117" s="2181"/>
      <c r="P117" s="2181"/>
      <c r="Q117" s="2202" t="s">
        <v>554</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2188</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2172</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1687</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2173</v>
      </c>
      <c r="J127" s="2173"/>
      <c r="K127" s="2173"/>
      <c r="L127" s="2173"/>
      <c r="M127" s="2173"/>
      <c r="N127" s="2173"/>
      <c r="O127" s="2433" t="s">
        <v>2174</v>
      </c>
      <c r="P127" s="2433"/>
      <c r="Q127" s="2433"/>
      <c r="R127" s="2433"/>
      <c r="S127" s="2433"/>
      <c r="T127" s="2433"/>
      <c r="U127" s="2434"/>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2175</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2176</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1833</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1828</v>
      </c>
      <c r="J134" s="2408"/>
      <c r="K134" s="2408"/>
      <c r="L134" s="2408"/>
      <c r="M134" s="2408"/>
      <c r="N134" s="2408"/>
      <c r="O134" s="2408"/>
      <c r="P134" s="2408" t="s">
        <v>2187</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2175</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2176</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1834</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554</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1835</v>
      </c>
      <c r="C140" s="2416"/>
      <c r="D140" s="2416"/>
      <c r="E140" s="2416"/>
      <c r="F140" s="2416"/>
      <c r="G140" s="2416"/>
      <c r="H140" s="2416"/>
      <c r="I140" s="2416"/>
      <c r="J140" s="2416"/>
      <c r="K140" s="2416"/>
      <c r="L140" s="2416"/>
      <c r="M140" s="2416"/>
      <c r="N140" s="2416"/>
      <c r="O140" s="2416"/>
      <c r="P140" s="2416"/>
      <c r="Q140" s="2416"/>
      <c r="R140" s="2417" t="s">
        <v>2189</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75" customHeight="1">
      <c r="A141" s="1206"/>
      <c r="B141" s="2419" t="s">
        <v>2190</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1837</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2192</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1828</v>
      </c>
      <c r="J155" s="2408"/>
      <c r="K155" s="2408"/>
      <c r="L155" s="2408"/>
      <c r="M155" s="2408"/>
      <c r="N155" s="2408"/>
      <c r="O155" s="2408"/>
      <c r="P155" s="2408" t="s">
        <v>2193</v>
      </c>
      <c r="Q155" s="2408"/>
      <c r="R155" s="2408"/>
      <c r="S155" s="2408"/>
      <c r="T155" s="2408"/>
      <c r="U155" s="2409"/>
      <c r="V155" s="1206"/>
      <c r="W155" s="1206"/>
      <c r="X155" s="2393"/>
      <c r="Y155" s="2394"/>
      <c r="Z155" s="2394"/>
      <c r="AA155" s="2394"/>
      <c r="AB155" s="2394"/>
      <c r="AC155" s="2394"/>
      <c r="AD155" s="2394"/>
      <c r="AE155" s="2408" t="s">
        <v>1828</v>
      </c>
      <c r="AF155" s="2408"/>
      <c r="AG155" s="2408"/>
      <c r="AH155" s="2408"/>
      <c r="AI155" s="2408"/>
      <c r="AJ155" s="2408"/>
      <c r="AK155" s="2408"/>
      <c r="AL155" s="2408" t="s">
        <v>2187</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2175</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2175</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2176</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2177</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1838</v>
      </c>
      <c r="D161" s="2394"/>
      <c r="E161" s="2394"/>
      <c r="F161" s="2394"/>
      <c r="G161" s="2394"/>
      <c r="H161" s="2394"/>
      <c r="I161" s="2394"/>
      <c r="J161" s="2394"/>
      <c r="K161" s="2394"/>
      <c r="L161" s="2394"/>
      <c r="M161" s="2394"/>
      <c r="N161" s="2394"/>
      <c r="O161" s="2394"/>
      <c r="P161" s="2394"/>
      <c r="Q161" s="2394" t="s">
        <v>1839</v>
      </c>
      <c r="R161" s="2394"/>
      <c r="S161" s="2394"/>
      <c r="T161" s="2175" t="s">
        <v>2178</v>
      </c>
      <c r="U161" s="2175"/>
      <c r="V161" s="2175"/>
      <c r="W161" s="2175"/>
      <c r="X161" s="2175"/>
      <c r="Y161" s="2175"/>
      <c r="Z161" s="2175"/>
      <c r="AA161" s="2175"/>
      <c r="AB161" s="2394" t="s">
        <v>1840</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1841</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1842</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1843</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1814</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170</v>
      </c>
      <c r="D166" s="2403"/>
      <c r="E166" s="2403"/>
      <c r="F166" s="2404" t="s">
        <v>1844</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170</v>
      </c>
      <c r="D167" s="2403"/>
      <c r="E167" s="2403"/>
      <c r="F167" s="2404" t="s">
        <v>1844</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170</v>
      </c>
      <c r="D168" s="2374"/>
      <c r="E168" s="2374"/>
      <c r="F168" s="2375" t="s">
        <v>1844</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1845</v>
      </c>
      <c r="D170" s="2178"/>
      <c r="E170" s="2178"/>
      <c r="F170" s="2178"/>
      <c r="G170" s="2178"/>
      <c r="H170" s="2178"/>
      <c r="I170" s="2178"/>
      <c r="J170" s="2178"/>
      <c r="K170" s="2178"/>
      <c r="L170" s="2178"/>
      <c r="M170" s="2178"/>
      <c r="N170" s="2179"/>
      <c r="O170" s="1206"/>
      <c r="P170" s="2390" t="s">
        <v>1846</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1847</v>
      </c>
      <c r="D171" s="2394"/>
      <c r="E171" s="2394"/>
      <c r="F171" s="2394"/>
      <c r="G171" s="2394"/>
      <c r="H171" s="2394"/>
      <c r="I171" s="2394" t="s">
        <v>1848</v>
      </c>
      <c r="J171" s="2394"/>
      <c r="K171" s="2394"/>
      <c r="L171" s="2394"/>
      <c r="M171" s="2394"/>
      <c r="N171" s="2395"/>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2603</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2624</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1838</v>
      </c>
      <c r="D182" s="2178"/>
      <c r="E182" s="2178"/>
      <c r="F182" s="2178"/>
      <c r="G182" s="2178"/>
      <c r="H182" s="2178"/>
      <c r="I182" s="2178"/>
      <c r="J182" s="2178"/>
      <c r="K182" s="2178"/>
      <c r="L182" s="2178"/>
      <c r="M182" s="2178"/>
      <c r="N182" s="2178" t="s">
        <v>1849</v>
      </c>
      <c r="O182" s="2178"/>
      <c r="P182" s="2178"/>
      <c r="Q182" s="2178"/>
      <c r="R182" s="2178"/>
      <c r="S182" s="2178"/>
      <c r="T182" s="2178"/>
      <c r="U182" s="2210" t="s">
        <v>1838</v>
      </c>
      <c r="V182" s="2210"/>
      <c r="W182" s="2210"/>
      <c r="X182" s="2210"/>
      <c r="Y182" s="2210"/>
      <c r="Z182" s="2210"/>
      <c r="AA182" s="2210"/>
      <c r="AB182" s="2210"/>
      <c r="AC182" s="2210"/>
      <c r="AD182" s="2210"/>
      <c r="AE182" s="2211"/>
      <c r="AF182" s="1206"/>
      <c r="AG182" s="1206"/>
      <c r="AH182" s="2365" t="s">
        <v>2608</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2489</v>
      </c>
      <c r="D183" s="2355"/>
      <c r="E183" s="2355"/>
      <c r="F183" s="2355"/>
      <c r="G183" s="2355"/>
      <c r="H183" s="2355"/>
      <c r="I183" s="2355"/>
      <c r="J183" s="2355"/>
      <c r="K183" s="2355"/>
      <c r="L183" s="2355"/>
      <c r="M183" s="2355"/>
      <c r="N183" s="2368">
        <f>'Sources and Uses Budget'!B105</f>
        <v>92485901</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2607</v>
      </c>
      <c r="AI183" s="2365"/>
      <c r="AJ183" s="2365"/>
      <c r="AK183" s="2365"/>
      <c r="AL183" s="2365"/>
      <c r="AM183" s="2365"/>
      <c r="AN183" s="2365"/>
      <c r="AO183" s="2365"/>
      <c r="AP183" s="2365"/>
      <c r="AQ183" s="2365"/>
      <c r="AR183" s="2365"/>
      <c r="AS183" s="2365"/>
      <c r="AT183" s="2365"/>
      <c r="AU183" s="2591">
        <f>MAX(0,Application!AG439-100)*20000</f>
        <v>420000</v>
      </c>
      <c r="AV183" s="2591"/>
      <c r="AW183" s="2591"/>
      <c r="AX183" s="2591"/>
      <c r="AY183" s="2591"/>
      <c r="AZ183" s="2591"/>
      <c r="BA183" s="2591"/>
      <c r="BB183" s="2591"/>
      <c r="BC183" s="2324"/>
      <c r="BD183" s="2325"/>
      <c r="BE183" s="2326"/>
    </row>
    <row r="184" spans="1:57" ht="15.75" customHeight="1">
      <c r="A184" s="1206"/>
      <c r="B184" s="1206"/>
      <c r="C184" s="2354" t="s">
        <v>2490</v>
      </c>
      <c r="D184" s="2355"/>
      <c r="E184" s="2355"/>
      <c r="F184" s="2355"/>
      <c r="G184" s="2355"/>
      <c r="H184" s="2355"/>
      <c r="I184" s="2355"/>
      <c r="J184" s="2355"/>
      <c r="K184" s="2355"/>
      <c r="L184" s="2355"/>
      <c r="M184" s="2355"/>
      <c r="N184" s="2368">
        <f>N183/J29</f>
        <v>764346.28925619833</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2606</v>
      </c>
      <c r="AI184" s="2583"/>
      <c r="AJ184" s="2583"/>
      <c r="AK184" s="2583"/>
      <c r="AL184" s="2583"/>
      <c r="AM184" s="2583"/>
      <c r="AN184" s="2583"/>
      <c r="AO184" s="2583"/>
      <c r="AP184" s="2583"/>
      <c r="AQ184" s="2583"/>
      <c r="AR184" s="2583"/>
      <c r="AS184" s="2583"/>
      <c r="AT184" s="2583"/>
      <c r="AU184" s="2323">
        <f>AU182+AU183</f>
        <v>2920000</v>
      </c>
      <c r="AV184" s="2323"/>
      <c r="AW184" s="2323"/>
      <c r="AX184" s="2323"/>
      <c r="AY184" s="2323"/>
      <c r="AZ184" s="2323"/>
      <c r="BA184" s="2323"/>
      <c r="BB184" s="2323"/>
      <c r="BC184" s="2324"/>
      <c r="BD184" s="2325"/>
      <c r="BE184" s="2326"/>
    </row>
    <row r="185" spans="1:57" ht="15.75" customHeight="1">
      <c r="A185" s="1206"/>
      <c r="B185" s="1206"/>
      <c r="C185" s="2371" t="s">
        <v>2491</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2605</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2492</v>
      </c>
      <c r="D186" s="2355"/>
      <c r="E186" s="2355"/>
      <c r="F186" s="2355"/>
      <c r="G186" s="2355"/>
      <c r="H186" s="2355"/>
      <c r="I186" s="2355"/>
      <c r="J186" s="2355"/>
      <c r="K186" s="2355"/>
      <c r="L186" s="2355"/>
      <c r="M186" s="2355"/>
      <c r="N186" s="2356">
        <f>SUM('Sources and Uses Budget'!B85:B86)</f>
        <v>1065964</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2493</v>
      </c>
      <c r="D187" s="2355"/>
      <c r="E187" s="2355"/>
      <c r="F187" s="2355"/>
      <c r="G187" s="2355"/>
      <c r="H187" s="2355"/>
      <c r="I187" s="2355"/>
      <c r="J187" s="2355"/>
      <c r="K187" s="2355"/>
      <c r="L187" s="2355"/>
      <c r="M187" s="2355"/>
      <c r="N187" s="2356">
        <f>'Sources and Uses Budget'!B8</f>
        <v>3062900</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1850</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2494</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1850</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2495</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2604</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301</v>
      </c>
      <c r="D190" s="2352"/>
      <c r="E190" s="2347" t="s">
        <v>1844</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2603</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301</v>
      </c>
      <c r="D191" s="2346"/>
      <c r="E191" s="2347" t="s">
        <v>1844</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301</v>
      </c>
      <c r="D192" s="2335"/>
      <c r="E192" s="2336" t="s">
        <v>1844</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1851</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1852</v>
      </c>
      <c r="D193" s="2331"/>
      <c r="E193" s="2331"/>
      <c r="F193" s="2331"/>
      <c r="G193" s="2331"/>
      <c r="H193" s="2331"/>
      <c r="I193" s="2331"/>
      <c r="J193" s="2331"/>
      <c r="K193" s="2331"/>
      <c r="L193" s="2331"/>
      <c r="M193" s="2331"/>
      <c r="N193" s="2332">
        <f>SUM(N185:T192)</f>
        <v>4128864</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2602</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2496</v>
      </c>
      <c r="D194" s="2311"/>
      <c r="E194" s="2311"/>
      <c r="F194" s="2311"/>
      <c r="G194" s="2311"/>
      <c r="H194" s="2311"/>
      <c r="I194" s="2311"/>
      <c r="J194" s="2311"/>
      <c r="K194" s="2311"/>
      <c r="L194" s="2311"/>
      <c r="M194" s="2311"/>
      <c r="N194" s="2312">
        <f>(N183-N193)/J29</f>
        <v>730223.44628099177</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2601</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2600</v>
      </c>
      <c r="D198" s="2586"/>
      <c r="E198" s="2586"/>
      <c r="F198" s="2586"/>
      <c r="G198" s="2586"/>
      <c r="H198" s="2586"/>
      <c r="I198" s="2586"/>
      <c r="J198" s="2586"/>
      <c r="K198" s="2586"/>
      <c r="L198" s="2586"/>
      <c r="M198" s="2586"/>
      <c r="N198" s="2586"/>
      <c r="O198" s="2587" t="s">
        <v>2599</v>
      </c>
      <c r="P198" s="2587"/>
      <c r="Q198" s="2587"/>
      <c r="R198" s="2587"/>
      <c r="S198" s="2587"/>
      <c r="T198" s="2587"/>
      <c r="U198" s="2587"/>
      <c r="V198" s="2587"/>
      <c r="W198" s="2587"/>
      <c r="X198" s="2587" t="s">
        <v>2598</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2597</v>
      </c>
      <c r="D199" s="2584"/>
      <c r="E199" s="2584"/>
      <c r="F199" s="2584"/>
      <c r="G199" s="2584"/>
      <c r="H199" s="2584"/>
      <c r="I199" s="2584"/>
      <c r="J199" s="2584"/>
      <c r="K199" s="2584"/>
      <c r="L199" s="2584"/>
      <c r="M199" s="2584"/>
      <c r="N199" s="2584"/>
      <c r="O199" s="2316" t="s">
        <v>2596</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866</v>
      </c>
      <c r="D200" s="2584"/>
      <c r="E200" s="2584"/>
      <c r="F200" s="2584"/>
      <c r="G200" s="2584"/>
      <c r="H200" s="2584"/>
      <c r="I200" s="2584"/>
      <c r="J200" s="2584"/>
      <c r="K200" s="2584"/>
      <c r="L200" s="2584"/>
      <c r="M200" s="2584"/>
      <c r="N200" s="2584"/>
      <c r="O200" s="2316" t="s">
        <v>2596</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2595</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2594</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2593</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2592</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2591</v>
      </c>
      <c r="D205" s="2256"/>
      <c r="E205" s="2256"/>
      <c r="F205" s="2299"/>
      <c r="G205" s="2255" t="s">
        <v>2590</v>
      </c>
      <c r="H205" s="2256"/>
      <c r="I205" s="2256"/>
      <c r="J205" s="2256"/>
      <c r="K205" s="2256"/>
      <c r="L205" s="2256"/>
      <c r="M205" s="2256"/>
      <c r="N205" s="2256"/>
      <c r="O205" s="2299"/>
      <c r="P205" s="2302" t="s">
        <v>2589</v>
      </c>
      <c r="Q205" s="2303"/>
      <c r="R205" s="2303"/>
      <c r="S205" s="2303"/>
      <c r="T205" s="2304"/>
      <c r="U205" s="2249" t="s">
        <v>2588</v>
      </c>
      <c r="V205" s="2250"/>
      <c r="W205" s="2250"/>
      <c r="X205" s="2251"/>
      <c r="Y205" s="2249" t="s">
        <v>2587</v>
      </c>
      <c r="Z205" s="2250"/>
      <c r="AA205" s="2250"/>
      <c r="AB205" s="2251"/>
      <c r="AC205" s="2249" t="s">
        <v>2586</v>
      </c>
      <c r="AD205" s="2250"/>
      <c r="AE205" s="2250"/>
      <c r="AF205" s="2251"/>
      <c r="AG205" s="2255" t="s">
        <v>2585</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2153</v>
      </c>
      <c r="H207" s="2263"/>
      <c r="I207" s="2263"/>
      <c r="J207" s="2263"/>
      <c r="K207" s="2263"/>
      <c r="L207" s="2263"/>
      <c r="M207" s="2263"/>
      <c r="N207" s="2263"/>
      <c r="O207" s="2263"/>
      <c r="P207" s="2264"/>
      <c r="Q207" s="2265"/>
      <c r="R207" s="2265"/>
      <c r="S207" s="2265"/>
      <c r="T207" s="2265"/>
      <c r="U207" s="2266" t="s">
        <v>2153</v>
      </c>
      <c r="V207" s="2266"/>
      <c r="W207" s="2266"/>
      <c r="X207" s="2266"/>
      <c r="Y207" s="2266" t="s">
        <v>2153</v>
      </c>
      <c r="Z207" s="2266"/>
      <c r="AA207" s="2266"/>
      <c r="AB207" s="2266"/>
      <c r="AC207" s="2267" t="s">
        <v>2153</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2153</v>
      </c>
      <c r="H208" s="2263"/>
      <c r="I208" s="2263"/>
      <c r="J208" s="2263"/>
      <c r="K208" s="2263"/>
      <c r="L208" s="2263"/>
      <c r="M208" s="2263"/>
      <c r="N208" s="2263"/>
      <c r="O208" s="2263"/>
      <c r="P208" s="2264"/>
      <c r="Q208" s="2264"/>
      <c r="R208" s="2264"/>
      <c r="S208" s="2264"/>
      <c r="T208" s="2264"/>
      <c r="U208" s="2266" t="s">
        <v>2153</v>
      </c>
      <c r="V208" s="2266"/>
      <c r="W208" s="2266"/>
      <c r="X208" s="2266"/>
      <c r="Y208" s="2266" t="s">
        <v>2153</v>
      </c>
      <c r="Z208" s="2266"/>
      <c r="AA208" s="2266"/>
      <c r="AB208" s="2266"/>
      <c r="AC208" s="2267" t="s">
        <v>2153</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2153</v>
      </c>
      <c r="H209" s="2263"/>
      <c r="I209" s="2263"/>
      <c r="J209" s="2263"/>
      <c r="K209" s="2263"/>
      <c r="L209" s="2263"/>
      <c r="M209" s="2263"/>
      <c r="N209" s="2263"/>
      <c r="O209" s="2263"/>
      <c r="P209" s="2264"/>
      <c r="Q209" s="2264"/>
      <c r="R209" s="2264"/>
      <c r="S209" s="2264"/>
      <c r="T209" s="2264"/>
      <c r="U209" s="2266" t="s">
        <v>2153</v>
      </c>
      <c r="V209" s="2266"/>
      <c r="W209" s="2266"/>
      <c r="X209" s="2266"/>
      <c r="Y209" s="2266" t="s">
        <v>2153</v>
      </c>
      <c r="Z209" s="2266"/>
      <c r="AA209" s="2266"/>
      <c r="AB209" s="2266"/>
      <c r="AC209" s="2267" t="s">
        <v>2153</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2153</v>
      </c>
      <c r="H210" s="2263"/>
      <c r="I210" s="2263"/>
      <c r="J210" s="2263"/>
      <c r="K210" s="2263"/>
      <c r="L210" s="2263"/>
      <c r="M210" s="2263"/>
      <c r="N210" s="2263"/>
      <c r="O210" s="2263"/>
      <c r="P210" s="2264"/>
      <c r="Q210" s="2264"/>
      <c r="R210" s="2264"/>
      <c r="S210" s="2264"/>
      <c r="T210" s="2264"/>
      <c r="U210" s="2266" t="s">
        <v>2153</v>
      </c>
      <c r="V210" s="2266"/>
      <c r="W210" s="2266"/>
      <c r="X210" s="2266"/>
      <c r="Y210" s="2266" t="s">
        <v>2153</v>
      </c>
      <c r="Z210" s="2266"/>
      <c r="AA210" s="2266"/>
      <c r="AB210" s="2266"/>
      <c r="AC210" s="2267" t="s">
        <v>2153</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2153</v>
      </c>
      <c r="V211" s="2266"/>
      <c r="W211" s="2266"/>
      <c r="X211" s="2266"/>
      <c r="Y211" s="2266" t="s">
        <v>2153</v>
      </c>
      <c r="Z211" s="2266"/>
      <c r="AA211" s="2266"/>
      <c r="AB211" s="2266"/>
      <c r="AC211" s="2267" t="s">
        <v>2153</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2153</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2153</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2153</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2584</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1853</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1854</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1855</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1856</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1858</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2497</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1859</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1860</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1861</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444</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1862</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1863</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M54" sqref="AM54"/>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1389</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84408091</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506</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507</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508</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509</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815</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510</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59" t="s">
        <v>980</v>
      </c>
      <c r="D18" s="1759"/>
      <c r="E18" s="1759"/>
      <c r="F18" s="1759"/>
      <c r="G18" s="1759"/>
      <c r="H18" s="1759"/>
      <c r="I18" s="1759"/>
      <c r="J18" s="1759"/>
      <c r="K18" s="1759"/>
      <c r="L18" s="1759"/>
      <c r="M18" s="1759"/>
      <c r="N18" s="1759"/>
      <c r="O18" s="1759"/>
      <c r="P18" s="1759"/>
      <c r="Q18" s="1759"/>
      <c r="R18" s="1759"/>
      <c r="S18" s="1760"/>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59" t="s">
        <v>980</v>
      </c>
      <c r="D19" s="1759"/>
      <c r="E19" s="1759"/>
      <c r="F19" s="1759"/>
      <c r="G19" s="1759"/>
      <c r="H19" s="1759"/>
      <c r="I19" s="1759"/>
      <c r="J19" s="1759"/>
      <c r="K19" s="1759"/>
      <c r="L19" s="1759"/>
      <c r="M19" s="1759"/>
      <c r="N19" s="1759"/>
      <c r="O19" s="1759"/>
      <c r="P19" s="1759"/>
      <c r="Q19" s="1759"/>
      <c r="R19" s="1759"/>
      <c r="S19" s="1760"/>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1372</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10">
        <f>T11+T22</f>
        <v>84408091</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981</v>
      </c>
      <c r="C24" s="2618"/>
      <c r="D24" s="2618"/>
      <c r="E24" s="2618"/>
      <c r="F24" s="2618"/>
      <c r="G24" s="2618"/>
      <c r="H24" s="2618"/>
      <c r="I24" s="2618"/>
      <c r="J24" s="2618"/>
      <c r="K24" s="2618"/>
      <c r="L24" s="2618"/>
      <c r="M24" s="2618"/>
      <c r="N24" s="2618"/>
      <c r="O24" s="2618"/>
      <c r="P24" s="2618"/>
      <c r="Q24" s="2618"/>
      <c r="R24" s="2618"/>
      <c r="S24" s="2619"/>
      <c r="T24" s="2612">
        <f>Application!AJ1052</f>
        <v>129222008.48</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1373</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10">
        <f>T23*T25</f>
        <v>109730518.3</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427</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10">
        <f>IF(ISERROR((T26*T27)),0,(T26*T27))</f>
        <v>109730518.3</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12">
        <f>T28+Y28+AD28+AI28</f>
        <v>109730518.3</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1375</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1374</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61" t="s">
        <v>370</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109730518.3</v>
      </c>
      <c r="Z38" s="2611"/>
      <c r="AA38" s="2611"/>
      <c r="AB38" s="2611"/>
      <c r="AC38" s="2611"/>
      <c r="AD38" s="2611">
        <f>IF(T24&gt;=(T23+Y23+AD23+AI23),AD28+AI28,0)</f>
        <v>0</v>
      </c>
      <c r="AE38" s="2611"/>
      <c r="AF38" s="2611"/>
      <c r="AG38" s="2611"/>
      <c r="AH38" s="2611"/>
    </row>
    <row r="39" spans="1:76" ht="12.95"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4389221</v>
      </c>
      <c r="Z40" s="2611"/>
      <c r="AA40" s="2611"/>
      <c r="AB40" s="2611"/>
      <c r="AC40" s="2611"/>
      <c r="AD40" s="2610">
        <f>ROUND(AD38*AD39,0)</f>
        <v>0</v>
      </c>
      <c r="AE40" s="2611"/>
      <c r="AF40" s="2611"/>
      <c r="AG40" s="2611"/>
      <c r="AH40" s="2611"/>
    </row>
    <row r="41" spans="1:76" ht="12.95"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4389221</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1385</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595</v>
      </c>
      <c r="C46" s="435" t="s">
        <v>283</v>
      </c>
    </row>
    <row r="47" spans="1:76" ht="12.95" customHeight="1">
      <c r="D47" s="435" t="s">
        <v>284</v>
      </c>
      <c r="AB47" s="2627">
        <f>'Sources and Uses Budget'!B105-MAX(IF('Sources and Uses Budget'!B15="",0,'Sources and Uses Budget'!B15),IF(Application!AG394="",0,Application!AG394))</f>
        <v>92485901</v>
      </c>
      <c r="AC47" s="2628"/>
      <c r="AD47" s="2628"/>
      <c r="AE47" s="2628"/>
      <c r="AF47" s="2629"/>
    </row>
    <row r="48" spans="1:76" ht="12.95" customHeight="1">
      <c r="D48" s="435" t="s">
        <v>21</v>
      </c>
      <c r="AB48" s="2627">
        <f>Application!AO639-MAX(IF('Sources and Uses Budget'!B15="",0,'Sources and Uses Budget'!B15),IF(Application!AG394="",0,Application!AG394))</f>
        <v>54738603</v>
      </c>
      <c r="AC48" s="2628"/>
      <c r="AD48" s="2628"/>
      <c r="AE48" s="2628"/>
      <c r="AF48" s="2629"/>
    </row>
    <row r="49" spans="1:76" ht="12.95" customHeight="1">
      <c r="D49" s="435" t="s">
        <v>91</v>
      </c>
      <c r="AB49" s="2627">
        <f>AB47-AB48</f>
        <v>37747298</v>
      </c>
      <c r="AC49" s="2628"/>
      <c r="AD49" s="2628"/>
      <c r="AE49" s="2628"/>
      <c r="AF49" s="2629"/>
    </row>
    <row r="50" spans="1:76" ht="12.95" customHeight="1">
      <c r="D50" s="435" t="s">
        <v>690</v>
      </c>
      <c r="AA50" s="446"/>
      <c r="AB50" s="2654">
        <v>0.86</v>
      </c>
      <c r="AC50" s="2655"/>
      <c r="AD50" s="2655"/>
      <c r="AE50" s="2655"/>
      <c r="AF50" s="2656"/>
    </row>
    <row r="51" spans="1:76" s="448" customFormat="1" ht="12.95" customHeight="1">
      <c r="A51" s="433"/>
      <c r="B51" s="433"/>
      <c r="C51" s="433"/>
      <c r="D51" s="433"/>
      <c r="E51" s="2657" t="s">
        <v>2040</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43892207</v>
      </c>
      <c r="AC54" s="2628"/>
      <c r="AD54" s="2628"/>
      <c r="AE54" s="2628"/>
      <c r="AF54" s="2629"/>
    </row>
    <row r="55" spans="1:76" ht="12.95" customHeight="1">
      <c r="D55" s="435" t="s">
        <v>334</v>
      </c>
      <c r="AB55" s="2627">
        <f>(AB54/10)</f>
        <v>4389220.7</v>
      </c>
      <c r="AC55" s="2628"/>
      <c r="AD55" s="2628"/>
      <c r="AE55" s="2628"/>
      <c r="AF55" s="2629"/>
    </row>
    <row r="56" spans="1:76" ht="12.95" customHeight="1">
      <c r="D56" s="435" t="s">
        <v>766</v>
      </c>
      <c r="AB56" s="2658">
        <f>(IF((Y41&lt;AB55),Y41,AB55))</f>
        <v>4389220.7</v>
      </c>
      <c r="AC56" s="2659"/>
      <c r="AD56" s="2659"/>
      <c r="AE56" s="2659"/>
      <c r="AF56" s="2660"/>
    </row>
    <row r="57" spans="1:76" ht="12.95" customHeight="1">
      <c r="D57" s="435" t="s">
        <v>765</v>
      </c>
      <c r="AB57" s="2627">
        <f>ROUND((10*AB56*AB50),0)</f>
        <v>37747298</v>
      </c>
      <c r="AC57" s="2628"/>
      <c r="AD57" s="2628"/>
      <c r="AE57" s="2628"/>
      <c r="AF57" s="2629"/>
    </row>
    <row r="58" spans="1:76" ht="12.95" customHeight="1">
      <c r="D58" s="435"/>
      <c r="AB58" s="454"/>
      <c r="AC58" s="454"/>
      <c r="AD58" s="454"/>
      <c r="AE58" s="454"/>
      <c r="AF58" s="454"/>
    </row>
    <row r="59" spans="1:76" ht="12.95" customHeight="1">
      <c r="D59" s="435" t="s">
        <v>764</v>
      </c>
      <c r="AB59" s="2650">
        <f>AB49-AB57</f>
        <v>0</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598</v>
      </c>
      <c r="C63" s="219" t="s">
        <v>1357</v>
      </c>
      <c r="Y63" s="2651" t="s">
        <v>1004</v>
      </c>
      <c r="Z63" s="2651"/>
      <c r="AA63" s="2651"/>
      <c r="AB63" s="2651"/>
      <c r="AC63" s="2651"/>
      <c r="AD63" s="2651" t="s">
        <v>370</v>
      </c>
      <c r="AE63" s="2651"/>
      <c r="AF63" s="2651"/>
      <c r="AG63" s="2651"/>
      <c r="AH63" s="265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84408091</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2636</v>
      </c>
      <c r="Y68" s="2611">
        <f>ROUND(Y64*Y67,0)</f>
        <v>25322427</v>
      </c>
      <c r="Z68" s="2669"/>
      <c r="AA68" s="2669"/>
      <c r="AB68" s="2669"/>
      <c r="AC68" s="2669"/>
      <c r="AD68" s="2611">
        <f>ROUND(AD64*AD67,0)</f>
        <v>0</v>
      </c>
      <c r="AE68" s="2669"/>
      <c r="AF68" s="2669"/>
      <c r="AG68" s="2669"/>
      <c r="AH68" s="2669"/>
    </row>
    <row r="69" spans="1:36" ht="12.95" customHeight="1">
      <c r="C69" s="435"/>
      <c r="D69" s="219" t="s">
        <v>2637</v>
      </c>
      <c r="Y69" s="2611">
        <f>IF(OR(Application!Z205="State Farmworker Credit",Application!Z205="$500M (Farmworker Housing)"),Y68+AD68,MIN(Y68+AD68,200000*(Application!G753+Application!O777)))</f>
        <v>24400000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4"/>
      <c r="AC72" s="2655"/>
      <c r="AD72" s="2655"/>
      <c r="AE72" s="2655"/>
      <c r="AF72" s="2656"/>
    </row>
    <row r="73" spans="1:36" ht="12.95" customHeight="1">
      <c r="A73" s="435"/>
      <c r="C73" s="435"/>
      <c r="D73" s="435"/>
      <c r="E73" s="2670" t="s">
        <v>1360</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3">
        <f>ROUND(IF(ISERROR((AB59/AB72)),0,(AB59/AB72)),0)</f>
        <v>0</v>
      </c>
      <c r="AC77" s="2663"/>
      <c r="AD77" s="2663"/>
      <c r="AE77" s="2663"/>
      <c r="AF77" s="2663"/>
    </row>
    <row r="78" spans="1:36" ht="12.95" customHeight="1">
      <c r="C78" s="435"/>
      <c r="D78" s="219" t="s">
        <v>1362</v>
      </c>
      <c r="AB78" s="2664">
        <f>MIN(Y69,AB77)</f>
        <v>0</v>
      </c>
      <c r="AC78" s="2665"/>
      <c r="AD78" s="2665"/>
      <c r="AE78" s="2665"/>
      <c r="AF78" s="2666"/>
    </row>
    <row r="79" spans="1:36" ht="12.95" customHeight="1">
      <c r="C79" s="435"/>
      <c r="D79" s="219" t="s">
        <v>1363</v>
      </c>
      <c r="AB79" s="2667">
        <f>AB78*AB72</f>
        <v>0</v>
      </c>
      <c r="AC79" s="2667"/>
      <c r="AD79" s="2667"/>
      <c r="AE79" s="2667"/>
      <c r="AF79" s="2667"/>
    </row>
    <row r="80" spans="1:36" ht="12.95" customHeight="1">
      <c r="C80" s="435"/>
      <c r="D80" s="435"/>
      <c r="AB80" s="456"/>
      <c r="AC80" s="456"/>
      <c r="AD80" s="456"/>
      <c r="AE80" s="456"/>
      <c r="AF80" s="456"/>
    </row>
    <row r="81" spans="1:78" ht="12.95" customHeight="1">
      <c r="D81" s="435" t="s">
        <v>764</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0" workbookViewId="0">
      <selection activeCell="F21" sqref="F2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925</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2</v>
      </c>
      <c r="C4" s="1122"/>
      <c r="D4" s="459">
        <f>Application!O718</f>
        <v>656</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2</v>
      </c>
      <c r="C5" s="1122"/>
      <c r="D5" s="459">
        <f>Application!O719</f>
        <v>1141</v>
      </c>
      <c r="E5" s="460"/>
      <c r="F5" s="1123"/>
      <c r="G5" s="459">
        <f t="shared" ref="G5:G38" si="2">F5*B5</f>
        <v>0</v>
      </c>
      <c r="H5" s="460"/>
      <c r="I5" s="459" t="str">
        <f t="shared" si="0"/>
        <v/>
      </c>
      <c r="J5" s="459" t="str">
        <f t="shared" si="1"/>
        <v/>
      </c>
      <c r="K5" s="218"/>
      <c r="L5" s="328"/>
    </row>
    <row r="6" spans="1:12">
      <c r="A6" s="459" t="str">
        <f>Application!B720</f>
        <v>SRO/Studio</v>
      </c>
      <c r="B6" s="1121">
        <f>Application!G720</f>
        <v>8</v>
      </c>
      <c r="C6" s="1122"/>
      <c r="D6" s="459">
        <f>Application!O720</f>
        <v>1384</v>
      </c>
      <c r="E6" s="460"/>
      <c r="F6" s="1123"/>
      <c r="G6" s="459">
        <f t="shared" si="2"/>
        <v>0</v>
      </c>
      <c r="H6" s="460"/>
      <c r="I6" s="459" t="str">
        <f t="shared" si="0"/>
        <v/>
      </c>
      <c r="J6" s="459" t="str">
        <f t="shared" si="1"/>
        <v/>
      </c>
      <c r="K6" s="218"/>
      <c r="L6" s="328"/>
    </row>
    <row r="7" spans="1:12">
      <c r="A7" s="459" t="str">
        <f>Application!B721</f>
        <v>SRO/Studio</v>
      </c>
      <c r="B7" s="1121">
        <f>Application!G721</f>
        <v>3</v>
      </c>
      <c r="C7" s="1122"/>
      <c r="D7" s="459">
        <f>Application!O721</f>
        <v>1795</v>
      </c>
      <c r="E7" s="460"/>
      <c r="F7" s="1123"/>
      <c r="G7" s="459">
        <f t="shared" si="2"/>
        <v>0</v>
      </c>
      <c r="H7" s="460"/>
      <c r="I7" s="459" t="str">
        <f t="shared" si="0"/>
        <v/>
      </c>
      <c r="J7" s="459" t="str">
        <f t="shared" si="1"/>
        <v/>
      </c>
      <c r="K7" s="218"/>
      <c r="L7" s="328"/>
    </row>
    <row r="8" spans="1:12">
      <c r="A8" s="459" t="str">
        <f>Application!B722</f>
        <v>1 Bedroom</v>
      </c>
      <c r="B8" s="1121">
        <f>Application!G722</f>
        <v>3</v>
      </c>
      <c r="C8" s="1122" t="s">
        <v>386</v>
      </c>
      <c r="D8" s="459">
        <f>Application!O722</f>
        <v>678</v>
      </c>
      <c r="E8" s="460"/>
      <c r="F8" s="1123">
        <v>4250</v>
      </c>
      <c r="G8" s="459">
        <f t="shared" si="2"/>
        <v>12750</v>
      </c>
      <c r="H8" s="460"/>
      <c r="I8" s="459">
        <f t="shared" si="0"/>
        <v>3572</v>
      </c>
      <c r="J8" s="459">
        <f t="shared" si="1"/>
        <v>10716</v>
      </c>
      <c r="K8" s="218"/>
      <c r="L8" s="328"/>
    </row>
    <row r="9" spans="1:12">
      <c r="A9" s="459" t="str">
        <f>Application!B723</f>
        <v>1 Bedroom</v>
      </c>
      <c r="B9" s="1121">
        <f>Application!G723</f>
        <v>3</v>
      </c>
      <c r="C9" s="1122" t="s">
        <v>386</v>
      </c>
      <c r="D9" s="459">
        <f>Application!O723</f>
        <v>1198</v>
      </c>
      <c r="E9" s="460"/>
      <c r="F9" s="1123">
        <v>4250</v>
      </c>
      <c r="G9" s="459">
        <f t="shared" si="2"/>
        <v>12750</v>
      </c>
      <c r="H9" s="460"/>
      <c r="I9" s="459">
        <f t="shared" si="0"/>
        <v>3052</v>
      </c>
      <c r="J9" s="459">
        <f t="shared" si="1"/>
        <v>9156</v>
      </c>
      <c r="K9" s="218"/>
      <c r="L9" s="328"/>
    </row>
    <row r="10" spans="1:12">
      <c r="A10" s="459" t="str">
        <f>Application!B724</f>
        <v>1 Bedroom</v>
      </c>
      <c r="B10" s="1121">
        <f>Application!G724</f>
        <v>13</v>
      </c>
      <c r="C10" s="1122"/>
      <c r="D10" s="459">
        <f>Application!O724</f>
        <v>1458</v>
      </c>
      <c r="E10" s="460"/>
      <c r="F10" s="1123"/>
      <c r="G10" s="459">
        <f t="shared" si="2"/>
        <v>0</v>
      </c>
      <c r="H10" s="460"/>
      <c r="I10" s="459" t="str">
        <f t="shared" si="0"/>
        <v/>
      </c>
      <c r="J10" s="459" t="str">
        <f t="shared" si="1"/>
        <v/>
      </c>
      <c r="K10" s="218"/>
      <c r="L10" s="328"/>
    </row>
    <row r="11" spans="1:12">
      <c r="A11" s="459" t="str">
        <f>Application!B725</f>
        <v>1 Bedroom</v>
      </c>
      <c r="B11" s="1121">
        <f>Application!G725</f>
        <v>4</v>
      </c>
      <c r="C11" s="1122" t="s">
        <v>386</v>
      </c>
      <c r="D11" s="459">
        <f>Application!O725</f>
        <v>1458</v>
      </c>
      <c r="E11" s="460"/>
      <c r="F11" s="1123">
        <v>4250</v>
      </c>
      <c r="G11" s="459">
        <f t="shared" si="2"/>
        <v>17000</v>
      </c>
      <c r="H11" s="460"/>
      <c r="I11" s="459">
        <f t="shared" si="0"/>
        <v>2792</v>
      </c>
      <c r="J11" s="459">
        <f t="shared" si="1"/>
        <v>11168</v>
      </c>
      <c r="K11" s="218"/>
      <c r="L11" s="328"/>
    </row>
    <row r="12" spans="1:12">
      <c r="A12" s="459" t="str">
        <f>Application!B726</f>
        <v>1 Bedroom</v>
      </c>
      <c r="B12" s="1121">
        <f>Application!G726</f>
        <v>5</v>
      </c>
      <c r="C12" s="1122"/>
      <c r="D12" s="459">
        <f>Application!O726</f>
        <v>1900</v>
      </c>
      <c r="E12" s="460"/>
      <c r="F12" s="1123"/>
      <c r="G12" s="459">
        <f t="shared" si="2"/>
        <v>0</v>
      </c>
      <c r="H12" s="460"/>
      <c r="I12" s="459" t="str">
        <f t="shared" si="0"/>
        <v/>
      </c>
      <c r="J12" s="459" t="str">
        <f t="shared" si="1"/>
        <v/>
      </c>
      <c r="K12" s="218"/>
      <c r="L12" s="328"/>
    </row>
    <row r="13" spans="1:12">
      <c r="A13" s="459" t="str">
        <f>Application!B727</f>
        <v>2 Bedrooms</v>
      </c>
      <c r="B13" s="1121">
        <f>Application!G727</f>
        <v>4</v>
      </c>
      <c r="C13" s="1122" t="s">
        <v>386</v>
      </c>
      <c r="D13" s="459">
        <f>Application!O727</f>
        <v>807</v>
      </c>
      <c r="E13" s="460"/>
      <c r="F13" s="1123">
        <v>5400</v>
      </c>
      <c r="G13" s="459">
        <f t="shared" si="2"/>
        <v>21600</v>
      </c>
      <c r="H13" s="460"/>
      <c r="I13" s="459">
        <f t="shared" si="0"/>
        <v>4593</v>
      </c>
      <c r="J13" s="459">
        <f t="shared" si="1"/>
        <v>18372</v>
      </c>
      <c r="K13" s="218"/>
      <c r="L13" s="328"/>
    </row>
    <row r="14" spans="1:12">
      <c r="A14" s="459" t="str">
        <f>Application!B728</f>
        <v>2 Bedrooms</v>
      </c>
      <c r="B14" s="1121">
        <f>Application!G728</f>
        <v>4</v>
      </c>
      <c r="C14" s="1122" t="s">
        <v>386</v>
      </c>
      <c r="D14" s="459">
        <f>Application!O728</f>
        <v>1431</v>
      </c>
      <c r="E14" s="460"/>
      <c r="F14" s="1123">
        <v>5400</v>
      </c>
      <c r="G14" s="459">
        <f t="shared" si="2"/>
        <v>21600</v>
      </c>
      <c r="H14" s="460"/>
      <c r="I14" s="459">
        <f t="shared" si="0"/>
        <v>3969</v>
      </c>
      <c r="J14" s="459">
        <f t="shared" si="1"/>
        <v>15876</v>
      </c>
      <c r="K14" s="218"/>
      <c r="L14" s="328"/>
    </row>
    <row r="15" spans="1:12">
      <c r="A15" s="459" t="str">
        <f>Application!B729</f>
        <v>2 Bedrooms</v>
      </c>
      <c r="B15" s="1121">
        <f>Application!G729</f>
        <v>4</v>
      </c>
      <c r="C15" s="1122" t="s">
        <v>386</v>
      </c>
      <c r="D15" s="459">
        <f>Application!O729</f>
        <v>1743</v>
      </c>
      <c r="E15" s="460"/>
      <c r="F15" s="1123">
        <v>5400</v>
      </c>
      <c r="G15" s="459">
        <f t="shared" si="2"/>
        <v>21600</v>
      </c>
      <c r="H15" s="460"/>
      <c r="I15" s="459">
        <f t="shared" si="0"/>
        <v>3657</v>
      </c>
      <c r="J15" s="459">
        <f t="shared" si="1"/>
        <v>14628</v>
      </c>
      <c r="K15" s="218"/>
      <c r="L15" s="328"/>
    </row>
    <row r="16" spans="1:12">
      <c r="A16" s="459" t="str">
        <f>Application!B730</f>
        <v>2 Bedrooms</v>
      </c>
      <c r="B16" s="1121">
        <f>Application!G730</f>
        <v>23</v>
      </c>
      <c r="C16" s="1122"/>
      <c r="D16" s="459">
        <f>Application!O730</f>
        <v>1743</v>
      </c>
      <c r="E16" s="460"/>
      <c r="F16" s="1123"/>
      <c r="G16" s="459">
        <f t="shared" si="2"/>
        <v>0</v>
      </c>
      <c r="H16" s="460"/>
      <c r="I16" s="459" t="str">
        <f t="shared" si="0"/>
        <v/>
      </c>
      <c r="J16" s="459" t="str">
        <f t="shared" si="1"/>
        <v/>
      </c>
      <c r="K16" s="218"/>
      <c r="L16" s="328"/>
    </row>
    <row r="17" spans="1:12">
      <c r="A17" s="459" t="str">
        <f>Application!B731</f>
        <v>2 Bedrooms</v>
      </c>
      <c r="B17" s="1121">
        <f>Application!G731</f>
        <v>7</v>
      </c>
      <c r="C17" s="1122"/>
      <c r="D17" s="459">
        <f>Application!O731</f>
        <v>2367</v>
      </c>
      <c r="E17" s="460"/>
      <c r="F17" s="1123"/>
      <c r="G17" s="459">
        <f t="shared" si="2"/>
        <v>0</v>
      </c>
      <c r="H17" s="460"/>
      <c r="I17" s="459" t="str">
        <f t="shared" si="0"/>
        <v/>
      </c>
      <c r="J17" s="459" t="str">
        <f t="shared" si="1"/>
        <v/>
      </c>
      <c r="K17" s="218"/>
      <c r="L17" s="328"/>
    </row>
    <row r="18" spans="1:12">
      <c r="A18" s="459" t="str">
        <f>Application!B732</f>
        <v>3 Bedrooms</v>
      </c>
      <c r="B18" s="1121">
        <f>Application!G732</f>
        <v>4</v>
      </c>
      <c r="C18" s="1122" t="s">
        <v>386</v>
      </c>
      <c r="D18" s="459">
        <f>Application!O732</f>
        <v>921</v>
      </c>
      <c r="E18" s="460"/>
      <c r="F18" s="1123">
        <v>7150</v>
      </c>
      <c r="G18" s="459">
        <f t="shared" si="2"/>
        <v>28600</v>
      </c>
      <c r="H18" s="460"/>
      <c r="I18" s="459">
        <f t="shared" si="0"/>
        <v>6229</v>
      </c>
      <c r="J18" s="459">
        <f t="shared" si="1"/>
        <v>24916</v>
      </c>
      <c r="K18" s="218"/>
      <c r="L18" s="328"/>
    </row>
    <row r="19" spans="1:12">
      <c r="A19" s="459" t="str">
        <f>Application!B733</f>
        <v>3 Bedrooms</v>
      </c>
      <c r="B19" s="1121">
        <f>Application!G733</f>
        <v>4</v>
      </c>
      <c r="C19" s="1122" t="s">
        <v>386</v>
      </c>
      <c r="D19" s="459">
        <f>Application!O733</f>
        <v>1643</v>
      </c>
      <c r="E19" s="460"/>
      <c r="F19" s="1123">
        <v>7150</v>
      </c>
      <c r="G19" s="459">
        <f t="shared" si="2"/>
        <v>28600</v>
      </c>
      <c r="H19" s="460"/>
      <c r="I19" s="459">
        <f t="shared" si="0"/>
        <v>5507</v>
      </c>
      <c r="J19" s="459">
        <f t="shared" si="1"/>
        <v>22028</v>
      </c>
      <c r="K19" s="218"/>
      <c r="L19" s="328"/>
    </row>
    <row r="20" spans="1:12">
      <c r="A20" s="459" t="str">
        <f>Application!B734</f>
        <v>3 Bedrooms</v>
      </c>
      <c r="B20" s="1121">
        <f>Application!G734</f>
        <v>27</v>
      </c>
      <c r="C20" s="1122" t="s">
        <v>386</v>
      </c>
      <c r="D20" s="459">
        <f>Application!O734</f>
        <v>2003</v>
      </c>
      <c r="E20" s="460"/>
      <c r="F20" s="1123">
        <v>7150</v>
      </c>
      <c r="G20" s="459">
        <f t="shared" si="2"/>
        <v>193050</v>
      </c>
      <c r="H20" s="460"/>
      <c r="I20" s="459">
        <f t="shared" si="0"/>
        <v>5147</v>
      </c>
      <c r="J20" s="459">
        <f t="shared" si="1"/>
        <v>138969</v>
      </c>
      <c r="K20" s="218"/>
      <c r="L20" s="328"/>
    </row>
    <row r="21" spans="1:12">
      <c r="A21" s="459" t="str">
        <f>Application!B735</f>
        <v>3 Bedrooms</v>
      </c>
      <c r="B21" s="1121">
        <f>Application!G735</f>
        <v>1</v>
      </c>
      <c r="C21" s="1122"/>
      <c r="D21" s="459">
        <f>Application!O735</f>
        <v>2725</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199609</v>
      </c>
      <c r="E40" s="460"/>
      <c r="F40" s="460"/>
      <c r="G40" s="463">
        <f>SUM(G4:G38)*12</f>
        <v>4290600</v>
      </c>
      <c r="H40" s="464"/>
      <c r="I40" s="462"/>
      <c r="J40" s="463">
        <f>SUM(J4:J38)*12</f>
        <v>3189948</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2" workbookViewId="0">
      <selection activeCell="W63" sqref="W6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2443308</v>
      </c>
      <c r="G4" s="235">
        <f>E4*$C$4</f>
        <v>2504390.6999999997</v>
      </c>
      <c r="I4" s="235">
        <f>G4*$C$4</f>
        <v>2567000.4674999993</v>
      </c>
      <c r="K4" s="235">
        <f>I4*$C$4</f>
        <v>2631175.4791874993</v>
      </c>
      <c r="M4" s="235">
        <f>K4*$C$4</f>
        <v>2696954.8661671863</v>
      </c>
      <c r="O4" s="235">
        <f>M4*$C$4</f>
        <v>2764378.7378213657</v>
      </c>
      <c r="Q4" s="235">
        <f>O4*$C$4</f>
        <v>2833488.2062668996</v>
      </c>
      <c r="S4" s="235">
        <f>Q4*$C$4</f>
        <v>2904325.4114235719</v>
      </c>
      <c r="U4" s="235">
        <f>S4*$C$4</f>
        <v>2976933.5467091608</v>
      </c>
      <c r="W4" s="235">
        <f>U4*$C$4</f>
        <v>3051356.8853768897</v>
      </c>
      <c r="Y4" s="235">
        <f>W4*$C$4</f>
        <v>3127640.8075113115</v>
      </c>
      <c r="AA4" s="235">
        <f>Y4*$C$4</f>
        <v>3205831.8276990941</v>
      </c>
      <c r="AC4" s="235">
        <f>AA4*$C$4</f>
        <v>3285977.623391571</v>
      </c>
      <c r="AE4" s="235">
        <f>AC4*$C$4</f>
        <v>3368127.06397636</v>
      </c>
      <c r="AG4" s="235">
        <f>AE4*$C$4</f>
        <v>3452330.2405757685</v>
      </c>
    </row>
    <row r="5" spans="1:34" s="225" customFormat="1" ht="14.25">
      <c r="B5" s="225" t="s">
        <v>850</v>
      </c>
      <c r="C5" s="254">
        <f>IF(Application!$D$211="Special Needs",0.1,0.05)</f>
        <v>0.05</v>
      </c>
      <c r="E5" s="237">
        <f>-E4*$C$5</f>
        <v>-122165.40000000001</v>
      </c>
      <c r="F5" s="237"/>
      <c r="G5" s="237">
        <f>-G4*$C$5</f>
        <v>-125219.53499999999</v>
      </c>
      <c r="H5" s="237"/>
      <c r="I5" s="237">
        <f>-I4*$C$5</f>
        <v>-128350.02337499998</v>
      </c>
      <c r="J5" s="237"/>
      <c r="K5" s="237">
        <f>-K4*$C$5</f>
        <v>-131558.77395937496</v>
      </c>
      <c r="L5" s="237"/>
      <c r="M5" s="237">
        <f>-M4*$C$5</f>
        <v>-134847.74330835932</v>
      </c>
      <c r="N5" s="237"/>
      <c r="O5" s="237">
        <f>-O4*$C$5</f>
        <v>-138218.9368910683</v>
      </c>
      <c r="P5" s="237"/>
      <c r="Q5" s="237">
        <f>-Q4*$C$5</f>
        <v>-141674.410313345</v>
      </c>
      <c r="R5" s="237"/>
      <c r="S5" s="237">
        <f>-S4*$C$5</f>
        <v>-145216.27057117861</v>
      </c>
      <c r="T5" s="237"/>
      <c r="U5" s="237">
        <f>-U4*$C$5</f>
        <v>-148846.67733545805</v>
      </c>
      <c r="V5" s="237"/>
      <c r="W5" s="237">
        <f>-W4*$C$5</f>
        <v>-152567.84426884449</v>
      </c>
      <c r="X5" s="237"/>
      <c r="Y5" s="237">
        <f>-Y4*$C$5</f>
        <v>-156382.04037556559</v>
      </c>
      <c r="Z5" s="237"/>
      <c r="AA5" s="237">
        <f>-AA4*$C$5</f>
        <v>-160291.59138495472</v>
      </c>
      <c r="AB5" s="237"/>
      <c r="AC5" s="237">
        <f>-AC4*$C$5</f>
        <v>-164298.88116957856</v>
      </c>
      <c r="AD5" s="237"/>
      <c r="AE5" s="237">
        <f>-AE4*$C$5</f>
        <v>-168406.35319881802</v>
      </c>
      <c r="AF5" s="237"/>
      <c r="AG5" s="237">
        <f>-AG4*$C$5</f>
        <v>-172616.51202878845</v>
      </c>
    </row>
    <row r="6" spans="1:34" s="225" customFormat="1" ht="14.25">
      <c r="A6" s="225" t="s">
        <v>848</v>
      </c>
      <c r="C6" s="253">
        <v>1.0249999999999999</v>
      </c>
      <c r="E6" s="238">
        <f>Application!Z809</f>
        <v>3189948</v>
      </c>
      <c r="F6" s="238"/>
      <c r="G6" s="238">
        <f>E6*$C$6</f>
        <v>3269696.6999999997</v>
      </c>
      <c r="H6" s="238"/>
      <c r="I6" s="238">
        <f>G6*$C$6</f>
        <v>3351439.1174999992</v>
      </c>
      <c r="J6" s="238"/>
      <c r="K6" s="238">
        <f>I6*$C$6</f>
        <v>3435225.0954374988</v>
      </c>
      <c r="L6" s="238"/>
      <c r="M6" s="238">
        <f>K6*$C$6</f>
        <v>3521105.7228234359</v>
      </c>
      <c r="N6" s="238"/>
      <c r="O6" s="238">
        <f>M6*$C$6</f>
        <v>3609133.3658940215</v>
      </c>
      <c r="P6" s="238"/>
      <c r="Q6" s="238">
        <f>O6*$C$6</f>
        <v>3699361.7000413719</v>
      </c>
      <c r="R6" s="238"/>
      <c r="S6" s="238">
        <f>Q6*$C$6</f>
        <v>3791845.7425424056</v>
      </c>
      <c r="T6" s="238"/>
      <c r="U6" s="238">
        <f>S6*$C$6</f>
        <v>3886641.8861059654</v>
      </c>
      <c r="V6" s="238"/>
      <c r="W6" s="238">
        <f>U6*$C$6</f>
        <v>3983807.933258614</v>
      </c>
      <c r="X6" s="238"/>
      <c r="Y6" s="238">
        <f>W6*$C$6</f>
        <v>4083403.1315900791</v>
      </c>
      <c r="Z6" s="238"/>
      <c r="AA6" s="238">
        <f>Y6*$C$6</f>
        <v>4185488.2098798305</v>
      </c>
      <c r="AB6" s="238"/>
      <c r="AC6" s="238">
        <f>AA6*$C$6</f>
        <v>4290125.4151268257</v>
      </c>
      <c r="AD6" s="238"/>
      <c r="AE6" s="238">
        <f>AC6*$C$6</f>
        <v>4397378.5505049955</v>
      </c>
      <c r="AF6" s="238"/>
      <c r="AG6" s="238">
        <f>AE6*$C$6</f>
        <v>4507313.0142676197</v>
      </c>
    </row>
    <row r="7" spans="1:34" s="225" customFormat="1" ht="14.25">
      <c r="B7" s="225" t="s">
        <v>850</v>
      </c>
      <c r="C7" s="254">
        <f>IF(Application!$D$211="Special Needs",0.1,0.05)</f>
        <v>0.05</v>
      </c>
      <c r="E7" s="237">
        <f>-E6*$C$7</f>
        <v>-159497.40000000002</v>
      </c>
      <c r="F7" s="237"/>
      <c r="G7" s="237">
        <f>-G6*$C$7</f>
        <v>-163484.83499999999</v>
      </c>
      <c r="H7" s="237"/>
      <c r="I7" s="237">
        <f>-I6*$C$7</f>
        <v>-167571.95587499999</v>
      </c>
      <c r="J7" s="237"/>
      <c r="K7" s="237">
        <f>-K6*$C$7</f>
        <v>-171761.25477187496</v>
      </c>
      <c r="L7" s="237"/>
      <c r="M7" s="237">
        <f>-M6*$C$7</f>
        <v>-176055.28614117182</v>
      </c>
      <c r="N7" s="237"/>
      <c r="O7" s="237">
        <f>-O6*$C$7</f>
        <v>-180456.66829470108</v>
      </c>
      <c r="P7" s="237"/>
      <c r="Q7" s="237">
        <f>-Q6*$C$7</f>
        <v>-184968.0850020686</v>
      </c>
      <c r="R7" s="237"/>
      <c r="S7" s="237">
        <f>-S6*$C$7</f>
        <v>-189592.2871271203</v>
      </c>
      <c r="T7" s="237"/>
      <c r="U7" s="237">
        <f>-U6*$C$7</f>
        <v>-194332.09430529829</v>
      </c>
      <c r="V7" s="237"/>
      <c r="W7" s="237">
        <f>-W6*$C$7</f>
        <v>-199190.39666293073</v>
      </c>
      <c r="X7" s="237"/>
      <c r="Y7" s="237">
        <f>-Y6*$C$7</f>
        <v>-204170.15657950396</v>
      </c>
      <c r="Z7" s="237"/>
      <c r="AA7" s="237">
        <f>-AA6*$C$7</f>
        <v>-209274.41049399154</v>
      </c>
      <c r="AB7" s="237"/>
      <c r="AC7" s="237">
        <f>-AC6*$C$7</f>
        <v>-214506.27075634128</v>
      </c>
      <c r="AD7" s="237"/>
      <c r="AE7" s="237">
        <f>-AE6*$C$7</f>
        <v>-219868.92752524978</v>
      </c>
      <c r="AF7" s="237"/>
      <c r="AG7" s="237">
        <f>-AG6*$C$7</f>
        <v>-225365.65071338101</v>
      </c>
    </row>
    <row r="8" spans="1:34" s="225" customFormat="1" ht="14.25">
      <c r="A8" s="225" t="s">
        <v>289</v>
      </c>
      <c r="C8" s="253">
        <v>1.0249999999999999</v>
      </c>
      <c r="E8" s="238">
        <f>Application!Z817</f>
        <v>36600</v>
      </c>
      <c r="F8" s="238"/>
      <c r="G8" s="238">
        <f>E8*$C$8</f>
        <v>37515</v>
      </c>
      <c r="H8" s="238"/>
      <c r="I8" s="238">
        <f>G8*$C$8</f>
        <v>38452.875</v>
      </c>
      <c r="J8" s="238"/>
      <c r="K8" s="238">
        <f>I8*$C$8</f>
        <v>39414.196874999994</v>
      </c>
      <c r="L8" s="238"/>
      <c r="M8" s="238">
        <f>K8*$C$8</f>
        <v>40399.551796874992</v>
      </c>
      <c r="N8" s="238"/>
      <c r="O8" s="238">
        <f>M8*$C$8</f>
        <v>41409.54059179686</v>
      </c>
      <c r="P8" s="238"/>
      <c r="Q8" s="238">
        <f>O8*$C$8</f>
        <v>42444.779106591777</v>
      </c>
      <c r="R8" s="238"/>
      <c r="S8" s="238">
        <f>Q8*$C$8</f>
        <v>43505.898584256567</v>
      </c>
      <c r="T8" s="238"/>
      <c r="U8" s="238">
        <f>S8*$C$8</f>
        <v>44593.546048862976</v>
      </c>
      <c r="V8" s="238"/>
      <c r="W8" s="238">
        <f>U8*$C$8</f>
        <v>45708.384700084549</v>
      </c>
      <c r="X8" s="238"/>
      <c r="Y8" s="238">
        <f>W8*$C$8</f>
        <v>46851.094317586656</v>
      </c>
      <c r="Z8" s="238"/>
      <c r="AA8" s="238">
        <f>Y8*$C$8</f>
        <v>48022.371675526316</v>
      </c>
      <c r="AB8" s="238"/>
      <c r="AC8" s="238">
        <f>AA8*$C$8</f>
        <v>49222.930967414468</v>
      </c>
      <c r="AD8" s="238"/>
      <c r="AE8" s="238">
        <f>AC8*$C$8</f>
        <v>50453.504241599825</v>
      </c>
      <c r="AF8" s="238"/>
      <c r="AG8" s="238">
        <f>AE8*$C$8</f>
        <v>51714.841847639815</v>
      </c>
    </row>
    <row r="9" spans="1:34" s="225" customFormat="1" ht="14.25">
      <c r="B9" s="225" t="s">
        <v>850</v>
      </c>
      <c r="C9" s="254">
        <f>IF(Application!$D$211="Special Needs",0.1,0.05)</f>
        <v>0.05</v>
      </c>
      <c r="E9" s="237">
        <f>-E8*$C$9</f>
        <v>-1830</v>
      </c>
      <c r="F9" s="237"/>
      <c r="G9" s="237">
        <f>-G8*$C$9</f>
        <v>-1875.75</v>
      </c>
      <c r="H9" s="237"/>
      <c r="I9" s="237">
        <f>-I8*$C$9</f>
        <v>-1922.6437500000002</v>
      </c>
      <c r="J9" s="237"/>
      <c r="K9" s="237">
        <f>-K8*$C$9</f>
        <v>-1970.7098437499999</v>
      </c>
      <c r="L9" s="237"/>
      <c r="M9" s="237">
        <f>-M8*$C$9</f>
        <v>-2019.9775898437497</v>
      </c>
      <c r="N9" s="237"/>
      <c r="O9" s="237">
        <f>-O8*$C$9</f>
        <v>-2070.4770295898429</v>
      </c>
      <c r="P9" s="237"/>
      <c r="Q9" s="237">
        <f>-Q8*$C$9</f>
        <v>-2122.2389553295889</v>
      </c>
      <c r="R9" s="237"/>
      <c r="S9" s="237">
        <f>-S8*$C$9</f>
        <v>-2175.2949292128283</v>
      </c>
      <c r="T9" s="237"/>
      <c r="U9" s="237">
        <f>-U8*$C$9</f>
        <v>-2229.6773024431491</v>
      </c>
      <c r="V9" s="237"/>
      <c r="W9" s="237">
        <f>-W8*$C$9</f>
        <v>-2285.4192350042276</v>
      </c>
      <c r="X9" s="237"/>
      <c r="Y9" s="237">
        <f>-Y8*$C$9</f>
        <v>-2342.5547158793329</v>
      </c>
      <c r="Z9" s="237"/>
      <c r="AA9" s="237">
        <f>-AA8*$C$9</f>
        <v>-2401.118583776316</v>
      </c>
      <c r="AB9" s="237"/>
      <c r="AC9" s="237">
        <f>-AC8*$C$9</f>
        <v>-2461.1465483707234</v>
      </c>
      <c r="AD9" s="237"/>
      <c r="AE9" s="237">
        <f>-AE8*$C$9</f>
        <v>-2522.6752120799915</v>
      </c>
      <c r="AF9" s="237"/>
      <c r="AG9" s="237">
        <f>-AG8*$C$9</f>
        <v>-2585.7420923819909</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5386363.1999999993</v>
      </c>
      <c r="G11" s="239">
        <f>SUM(G4:G10)</f>
        <v>5521022.2799999993</v>
      </c>
      <c r="I11" s="239">
        <f>SUM(I4:I10)</f>
        <v>5659047.8369999984</v>
      </c>
      <c r="K11" s="239">
        <f>SUM(K4:K10)</f>
        <v>5800524.0329249976</v>
      </c>
      <c r="M11" s="239">
        <f>SUM(M4:M10)</f>
        <v>5945537.1337481225</v>
      </c>
      <c r="O11" s="239">
        <f>SUM(O4:O10)</f>
        <v>6094175.5620918246</v>
      </c>
      <c r="Q11" s="239">
        <f>SUM(Q4:Q10)</f>
        <v>6246529.9511441207</v>
      </c>
      <c r="S11" s="239">
        <f>SUM(S4:S10)</f>
        <v>6402693.1999227218</v>
      </c>
      <c r="U11" s="239">
        <f>SUM(U4:U10)</f>
        <v>6562760.5299207894</v>
      </c>
      <c r="W11" s="239">
        <f>SUM(W4:W10)</f>
        <v>6726829.5431688083</v>
      </c>
      <c r="Y11" s="239">
        <f>SUM(Y4:Y10)</f>
        <v>6895000.2817480285</v>
      </c>
      <c r="AA11" s="239">
        <f>SUM(AA4:AA10)</f>
        <v>7067375.2887917291</v>
      </c>
      <c r="AC11" s="239">
        <f>SUM(AC4:AC10)</f>
        <v>7244059.6710115205</v>
      </c>
      <c r="AE11" s="239">
        <f>SUM(AE4:AE10)</f>
        <v>7425161.1627868069</v>
      </c>
      <c r="AG11" s="239">
        <f>SUM(AG4:AG10)</f>
        <v>7610790.1918564755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50000</v>
      </c>
      <c r="G15" s="235">
        <f>E15*$C$14</f>
        <v>51749.999999999993</v>
      </c>
      <c r="I15" s="235">
        <f>G15*$C$14</f>
        <v>53561.249999999985</v>
      </c>
      <c r="K15" s="235">
        <f>I15*$C$14</f>
        <v>55435.893749999981</v>
      </c>
      <c r="M15" s="235">
        <f>K15*$C$14</f>
        <v>57376.150031249977</v>
      </c>
      <c r="O15" s="235">
        <f>M15*$C$14</f>
        <v>59384.315282343719</v>
      </c>
      <c r="Q15" s="235">
        <f>O15*$C$14</f>
        <v>61462.766317225745</v>
      </c>
      <c r="S15" s="235">
        <f>Q15*$C$14</f>
        <v>63613.96313832864</v>
      </c>
      <c r="U15" s="235">
        <f>S15*$C$14</f>
        <v>65840.451848170138</v>
      </c>
      <c r="W15" s="235">
        <f>U15*$C$14</f>
        <v>68144.867662856093</v>
      </c>
      <c r="Y15" s="235">
        <f>W15*$C$14</f>
        <v>70529.938031056052</v>
      </c>
      <c r="AA15" s="235">
        <f>Y15*$C$14</f>
        <v>72998.485862143003</v>
      </c>
      <c r="AC15" s="235">
        <f>AA15*$C$14</f>
        <v>75553.432867317999</v>
      </c>
      <c r="AE15" s="235">
        <f>AC15*$C$14</f>
        <v>78197.803017674116</v>
      </c>
      <c r="AG15" s="235">
        <f>AE15*$C$14</f>
        <v>80934.726123292698</v>
      </c>
    </row>
    <row r="16" spans="1:34" s="225" customFormat="1" ht="14.25">
      <c r="A16" s="225" t="s">
        <v>345</v>
      </c>
      <c r="C16" s="249"/>
      <c r="E16" s="238">
        <f>Application!W849</f>
        <v>100000</v>
      </c>
      <c r="F16" s="238"/>
      <c r="G16" s="238">
        <f t="shared" ref="G16:AG21" si="0">E16*$C$14</f>
        <v>103499.99999999999</v>
      </c>
      <c r="H16" s="238"/>
      <c r="I16" s="238">
        <f t="shared" si="0"/>
        <v>107122.49999999997</v>
      </c>
      <c r="J16" s="238"/>
      <c r="K16" s="238">
        <f t="shared" si="0"/>
        <v>110871.78749999996</v>
      </c>
      <c r="L16" s="238"/>
      <c r="M16" s="238">
        <f t="shared" si="0"/>
        <v>114752.30006249995</v>
      </c>
      <c r="N16" s="238"/>
      <c r="O16" s="238">
        <f t="shared" si="0"/>
        <v>118768.63056468744</v>
      </c>
      <c r="P16" s="238"/>
      <c r="Q16" s="238">
        <f t="shared" si="0"/>
        <v>122925.53263445149</v>
      </c>
      <c r="R16" s="238"/>
      <c r="S16" s="238">
        <f t="shared" si="0"/>
        <v>127227.92627665728</v>
      </c>
      <c r="T16" s="238"/>
      <c r="U16" s="238">
        <f t="shared" si="0"/>
        <v>131680.90369634028</v>
      </c>
      <c r="V16" s="238"/>
      <c r="W16" s="238">
        <f t="shared" si="0"/>
        <v>136289.73532571219</v>
      </c>
      <c r="X16" s="238"/>
      <c r="Y16" s="238">
        <f t="shared" si="0"/>
        <v>141059.8760621121</v>
      </c>
      <c r="Z16" s="238"/>
      <c r="AA16" s="238">
        <f t="shared" si="0"/>
        <v>145996.97172428601</v>
      </c>
      <c r="AB16" s="238"/>
      <c r="AC16" s="238">
        <f t="shared" si="0"/>
        <v>151106.865734636</v>
      </c>
      <c r="AD16" s="238"/>
      <c r="AE16" s="238">
        <f t="shared" si="0"/>
        <v>156395.60603534823</v>
      </c>
      <c r="AF16" s="238"/>
      <c r="AG16" s="238">
        <f t="shared" si="0"/>
        <v>161869.4522465854</v>
      </c>
    </row>
    <row r="17" spans="1:33" s="225" customFormat="1" ht="14.25">
      <c r="A17" s="225" t="s">
        <v>570</v>
      </c>
      <c r="C17" s="249"/>
      <c r="E17" s="238">
        <f>Application!W855</f>
        <v>200000</v>
      </c>
      <c r="F17" s="238"/>
      <c r="G17" s="238">
        <f t="shared" si="0"/>
        <v>206999.99999999997</v>
      </c>
      <c r="H17" s="238"/>
      <c r="I17" s="238">
        <f t="shared" si="0"/>
        <v>214244.99999999994</v>
      </c>
      <c r="J17" s="238"/>
      <c r="K17" s="238">
        <f t="shared" si="0"/>
        <v>221743.57499999992</v>
      </c>
      <c r="L17" s="238"/>
      <c r="M17" s="238">
        <f t="shared" si="0"/>
        <v>229504.60012499991</v>
      </c>
      <c r="N17" s="238"/>
      <c r="O17" s="238">
        <f t="shared" si="0"/>
        <v>237537.26112937488</v>
      </c>
      <c r="P17" s="238"/>
      <c r="Q17" s="238">
        <f t="shared" si="0"/>
        <v>245851.06526890298</v>
      </c>
      <c r="R17" s="238"/>
      <c r="S17" s="238">
        <f t="shared" si="0"/>
        <v>254455.85255331456</v>
      </c>
      <c r="T17" s="238"/>
      <c r="U17" s="238">
        <f t="shared" si="0"/>
        <v>263361.80739268055</v>
      </c>
      <c r="V17" s="238"/>
      <c r="W17" s="238">
        <f t="shared" si="0"/>
        <v>272579.47065142437</v>
      </c>
      <c r="X17" s="238"/>
      <c r="Y17" s="238">
        <f t="shared" si="0"/>
        <v>282119.75212422421</v>
      </c>
      <c r="Z17" s="238"/>
      <c r="AA17" s="238">
        <f t="shared" si="0"/>
        <v>291993.94344857201</v>
      </c>
      <c r="AB17" s="238"/>
      <c r="AC17" s="238">
        <f t="shared" si="0"/>
        <v>302213.731469272</v>
      </c>
      <c r="AD17" s="238"/>
      <c r="AE17" s="238">
        <f t="shared" si="0"/>
        <v>312791.21207069646</v>
      </c>
      <c r="AF17" s="238"/>
      <c r="AG17" s="238">
        <f t="shared" si="0"/>
        <v>323738.90449317079</v>
      </c>
    </row>
    <row r="18" spans="1:33" s="225" customFormat="1" ht="14.25">
      <c r="A18" s="225" t="s">
        <v>854</v>
      </c>
      <c r="C18" s="249"/>
      <c r="E18" s="238">
        <f>Application!W862</f>
        <v>200000</v>
      </c>
      <c r="F18" s="238"/>
      <c r="G18" s="238">
        <f t="shared" si="0"/>
        <v>206999.99999999997</v>
      </c>
      <c r="H18" s="238"/>
      <c r="I18" s="238">
        <f t="shared" si="0"/>
        <v>214244.99999999994</v>
      </c>
      <c r="J18" s="238"/>
      <c r="K18" s="238">
        <f t="shared" si="0"/>
        <v>221743.57499999992</v>
      </c>
      <c r="L18" s="238"/>
      <c r="M18" s="238">
        <f t="shared" si="0"/>
        <v>229504.60012499991</v>
      </c>
      <c r="N18" s="238"/>
      <c r="O18" s="238">
        <f t="shared" si="0"/>
        <v>237537.26112937488</v>
      </c>
      <c r="P18" s="238"/>
      <c r="Q18" s="238">
        <f t="shared" si="0"/>
        <v>245851.06526890298</v>
      </c>
      <c r="R18" s="238"/>
      <c r="S18" s="238">
        <f t="shared" si="0"/>
        <v>254455.85255331456</v>
      </c>
      <c r="T18" s="238"/>
      <c r="U18" s="238">
        <f t="shared" si="0"/>
        <v>263361.80739268055</v>
      </c>
      <c r="V18" s="238"/>
      <c r="W18" s="238">
        <f t="shared" si="0"/>
        <v>272579.47065142437</v>
      </c>
      <c r="X18" s="238"/>
      <c r="Y18" s="238">
        <f t="shared" si="0"/>
        <v>282119.75212422421</v>
      </c>
      <c r="Z18" s="238"/>
      <c r="AA18" s="238">
        <f t="shared" si="0"/>
        <v>291993.94344857201</v>
      </c>
      <c r="AB18" s="238"/>
      <c r="AC18" s="238">
        <f t="shared" si="0"/>
        <v>302213.731469272</v>
      </c>
      <c r="AD18" s="238"/>
      <c r="AE18" s="238">
        <f t="shared" si="0"/>
        <v>312791.21207069646</v>
      </c>
      <c r="AF18" s="238"/>
      <c r="AG18" s="238">
        <f t="shared" si="0"/>
        <v>323738.90449317079</v>
      </c>
    </row>
    <row r="19" spans="1:33" s="225" customFormat="1" ht="14.25">
      <c r="A19" s="225" t="s">
        <v>155</v>
      </c>
      <c r="C19" s="249"/>
      <c r="E19" s="238">
        <f>Application!W863</f>
        <v>53900</v>
      </c>
      <c r="F19" s="238"/>
      <c r="G19" s="238">
        <f t="shared" si="0"/>
        <v>55786.499999999993</v>
      </c>
      <c r="H19" s="238"/>
      <c r="I19" s="238">
        <f t="shared" si="0"/>
        <v>57739.027499999989</v>
      </c>
      <c r="J19" s="238"/>
      <c r="K19" s="238">
        <f t="shared" si="0"/>
        <v>59759.893462499982</v>
      </c>
      <c r="L19" s="238"/>
      <c r="M19" s="238">
        <f t="shared" si="0"/>
        <v>61851.489733687478</v>
      </c>
      <c r="N19" s="238"/>
      <c r="O19" s="238">
        <f t="shared" si="0"/>
        <v>64016.291874366536</v>
      </c>
      <c r="P19" s="238"/>
      <c r="Q19" s="238">
        <f t="shared" si="0"/>
        <v>66256.862089969363</v>
      </c>
      <c r="R19" s="238"/>
      <c r="S19" s="238">
        <f t="shared" si="0"/>
        <v>68575.852263118286</v>
      </c>
      <c r="T19" s="238"/>
      <c r="U19" s="238">
        <f t="shared" si="0"/>
        <v>70976.007092327418</v>
      </c>
      <c r="V19" s="238"/>
      <c r="W19" s="238">
        <f t="shared" si="0"/>
        <v>73460.167340558866</v>
      </c>
      <c r="X19" s="238"/>
      <c r="Y19" s="238">
        <f t="shared" si="0"/>
        <v>76031.273197478426</v>
      </c>
      <c r="Z19" s="238"/>
      <c r="AA19" s="238">
        <f t="shared" si="0"/>
        <v>78692.367759390167</v>
      </c>
      <c r="AB19" s="238"/>
      <c r="AC19" s="238">
        <f t="shared" si="0"/>
        <v>81446.600630968809</v>
      </c>
      <c r="AD19" s="238"/>
      <c r="AE19" s="238">
        <f t="shared" si="0"/>
        <v>84297.231653052717</v>
      </c>
      <c r="AF19" s="238"/>
      <c r="AG19" s="238">
        <f t="shared" si="0"/>
        <v>87247.634760909554</v>
      </c>
    </row>
    <row r="20" spans="1:33" s="225" customFormat="1" ht="14.25">
      <c r="A20" s="225" t="s">
        <v>391</v>
      </c>
      <c r="C20" s="249"/>
      <c r="E20" s="238">
        <f>Application!W872</f>
        <v>152500</v>
      </c>
      <c r="F20" s="238"/>
      <c r="G20" s="238">
        <f t="shared" si="0"/>
        <v>157837.5</v>
      </c>
      <c r="H20" s="238"/>
      <c r="I20" s="238">
        <f t="shared" si="0"/>
        <v>163361.8125</v>
      </c>
      <c r="J20" s="238"/>
      <c r="K20" s="238">
        <f t="shared" si="0"/>
        <v>169079.47593749998</v>
      </c>
      <c r="L20" s="238"/>
      <c r="M20" s="238">
        <f t="shared" si="0"/>
        <v>174997.25759531246</v>
      </c>
      <c r="N20" s="238"/>
      <c r="O20" s="238">
        <f t="shared" si="0"/>
        <v>181122.16161114839</v>
      </c>
      <c r="P20" s="238"/>
      <c r="Q20" s="238">
        <f t="shared" si="0"/>
        <v>187461.43726753857</v>
      </c>
      <c r="R20" s="238"/>
      <c r="S20" s="238">
        <f t="shared" si="0"/>
        <v>194022.5875719024</v>
      </c>
      <c r="T20" s="238"/>
      <c r="U20" s="238">
        <f t="shared" si="0"/>
        <v>200813.37813691897</v>
      </c>
      <c r="V20" s="238"/>
      <c r="W20" s="238">
        <f t="shared" si="0"/>
        <v>207841.84637171112</v>
      </c>
      <c r="X20" s="238"/>
      <c r="Y20" s="238">
        <f t="shared" si="0"/>
        <v>215116.31099472099</v>
      </c>
      <c r="Z20" s="238"/>
      <c r="AA20" s="238">
        <f t="shared" si="0"/>
        <v>222645.3818795362</v>
      </c>
      <c r="AB20" s="238"/>
      <c r="AC20" s="238">
        <f t="shared" si="0"/>
        <v>230437.97024531994</v>
      </c>
      <c r="AD20" s="238"/>
      <c r="AE20" s="238">
        <f t="shared" si="0"/>
        <v>238503.29920390612</v>
      </c>
      <c r="AF20" s="238"/>
      <c r="AG20" s="238">
        <f t="shared" si="0"/>
        <v>246850.91467604283</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756400</v>
      </c>
      <c r="G22" s="239">
        <f>SUM(G15:G21)</f>
        <v>782873.99999999988</v>
      </c>
      <c r="I22" s="239">
        <f>SUM(I15:I21)</f>
        <v>810274.58999999973</v>
      </c>
      <c r="K22" s="239">
        <f>SUM(K15:K21)</f>
        <v>838634.20064999978</v>
      </c>
      <c r="M22" s="239">
        <f>SUM(M15:M21)</f>
        <v>867986.39767274971</v>
      </c>
      <c r="O22" s="239">
        <f>SUM(O15:O21)</f>
        <v>898365.92159129586</v>
      </c>
      <c r="Q22" s="239">
        <f>SUM(Q15:Q21)</f>
        <v>929808.72884699097</v>
      </c>
      <c r="S22" s="239">
        <f>SUM(S15:S21)</f>
        <v>962352.03435663576</v>
      </c>
      <c r="U22" s="239">
        <f>SUM(U15:U21)</f>
        <v>996034.35555911798</v>
      </c>
      <c r="W22" s="239">
        <f>SUM(W15:W21)</f>
        <v>1030895.558003687</v>
      </c>
      <c r="Y22" s="239">
        <f>SUM(Y15:Y21)</f>
        <v>1066976.9025338159</v>
      </c>
      <c r="AA22" s="239">
        <f>SUM(AA15:AA21)</f>
        <v>1104321.0941224992</v>
      </c>
      <c r="AC22" s="239">
        <f>SUM(AC15:AC21)</f>
        <v>1142972.3324167866</v>
      </c>
      <c r="AE22" s="239">
        <f>SUM(AE15:AE21)</f>
        <v>1182976.3640513741</v>
      </c>
      <c r="AG22" s="239">
        <f>SUM(AG15:AG21)</f>
        <v>1224380.5367931721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25800</v>
      </c>
      <c r="F27" s="238"/>
      <c r="G27" s="238">
        <f>E27*$C$27</f>
        <v>26702.999999999996</v>
      </c>
      <c r="H27" s="238"/>
      <c r="I27" s="238">
        <f>G27*$C$27</f>
        <v>27637.604999999992</v>
      </c>
      <c r="J27" s="238"/>
      <c r="K27" s="238">
        <f>I27*$C$27</f>
        <v>28604.921174999989</v>
      </c>
      <c r="L27" s="238"/>
      <c r="M27" s="238">
        <f>K27*$C$27</f>
        <v>29606.093416124986</v>
      </c>
      <c r="N27" s="238"/>
      <c r="O27" s="238">
        <f>M27*$C$27</f>
        <v>30642.306685689357</v>
      </c>
      <c r="P27" s="238"/>
      <c r="Q27" s="238">
        <f>O27*$C$27</f>
        <v>31714.78741968848</v>
      </c>
      <c r="R27" s="238"/>
      <c r="S27" s="238">
        <f>Q27*$C$27</f>
        <v>32824.804979377572</v>
      </c>
      <c r="T27" s="238"/>
      <c r="U27" s="238">
        <f>S27*$C$27</f>
        <v>33973.673153655785</v>
      </c>
      <c r="V27" s="238"/>
      <c r="W27" s="238">
        <f>U27*$C$27</f>
        <v>35162.751714033737</v>
      </c>
      <c r="X27" s="238"/>
      <c r="Y27" s="238">
        <f>W27*$C$27</f>
        <v>36393.448024024918</v>
      </c>
      <c r="Z27" s="238"/>
      <c r="AA27" s="238">
        <f>Y27*$C$27</f>
        <v>37667.218704865787</v>
      </c>
      <c r="AB27" s="238"/>
      <c r="AC27" s="238">
        <f>AA27*$C$27</f>
        <v>38985.571359536087</v>
      </c>
      <c r="AD27" s="238"/>
      <c r="AE27" s="238">
        <f>AC27*$C$27</f>
        <v>40350.066357119846</v>
      </c>
      <c r="AF27" s="238"/>
      <c r="AG27" s="238">
        <f>AE27*$C$27</f>
        <v>41762.318679619035</v>
      </c>
    </row>
    <row r="28" spans="1:33" s="225" customFormat="1" ht="14.25">
      <c r="A28" s="225" t="s">
        <v>858</v>
      </c>
      <c r="C28" s="253"/>
      <c r="E28" s="238">
        <f>Application!AC889</f>
        <v>30500</v>
      </c>
      <c r="F28" s="238"/>
      <c r="G28" s="238">
        <f>$E$28</f>
        <v>30500</v>
      </c>
      <c r="H28" s="238"/>
      <c r="I28" s="238">
        <f>$E$28</f>
        <v>30500</v>
      </c>
      <c r="J28" s="238"/>
      <c r="K28" s="238">
        <f>$E$28</f>
        <v>30500</v>
      </c>
      <c r="L28" s="238"/>
      <c r="M28" s="238">
        <f>$E$28</f>
        <v>30500</v>
      </c>
      <c r="N28" s="238"/>
      <c r="O28" s="238">
        <f>$E$28</f>
        <v>30500</v>
      </c>
      <c r="P28" s="238"/>
      <c r="Q28" s="238">
        <f>$E$28</f>
        <v>30500</v>
      </c>
      <c r="R28" s="238"/>
      <c r="S28" s="238">
        <f>$E$28</f>
        <v>30500</v>
      </c>
      <c r="T28" s="238"/>
      <c r="U28" s="238">
        <f>$E$28</f>
        <v>30500</v>
      </c>
      <c r="V28" s="238"/>
      <c r="W28" s="238">
        <f>$E$28</f>
        <v>30500</v>
      </c>
      <c r="X28" s="238"/>
      <c r="Y28" s="238">
        <f>$E$28</f>
        <v>30500</v>
      </c>
      <c r="Z28" s="238"/>
      <c r="AA28" s="238">
        <f>$E$28</f>
        <v>30500</v>
      </c>
      <c r="AB28" s="238"/>
      <c r="AC28" s="238">
        <f>$E$28</f>
        <v>30500</v>
      </c>
      <c r="AD28" s="238"/>
      <c r="AE28" s="238">
        <f>$E$28</f>
        <v>30500</v>
      </c>
      <c r="AF28" s="238"/>
      <c r="AG28" s="238">
        <f>$E$28</f>
        <v>30500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Ground Lease Payments</v>
      </c>
      <c r="C32" s="340">
        <v>1.03</v>
      </c>
      <c r="E32" s="238">
        <f>Application!AC893</f>
        <v>1200000</v>
      </c>
      <c r="F32" s="238"/>
      <c r="G32" s="238">
        <f>E32*$C$32</f>
        <v>1236000</v>
      </c>
      <c r="H32" s="238"/>
      <c r="I32" s="238">
        <f>G32*$C$32</f>
        <v>1273080</v>
      </c>
      <c r="J32" s="238"/>
      <c r="K32" s="238">
        <f>I32*$C$32</f>
        <v>1311272.4000000001</v>
      </c>
      <c r="L32" s="238"/>
      <c r="M32" s="238">
        <f>K32*$C$32</f>
        <v>1350610.5720000002</v>
      </c>
      <c r="N32" s="238"/>
      <c r="O32" s="238">
        <f>M32*$C$32</f>
        <v>1391128.8891600003</v>
      </c>
      <c r="P32" s="238"/>
      <c r="Q32" s="238">
        <f>O32*$C$32</f>
        <v>1432862.7558348002</v>
      </c>
      <c r="R32" s="238"/>
      <c r="S32" s="238">
        <f>Q32*$C$32</f>
        <v>1475848.6385098442</v>
      </c>
      <c r="T32" s="238"/>
      <c r="U32" s="238">
        <f>S32*$C$32</f>
        <v>1520124.0976651395</v>
      </c>
      <c r="V32" s="238"/>
      <c r="W32" s="238">
        <f>U32*$C$32</f>
        <v>1565727.8205950938</v>
      </c>
      <c r="X32" s="238"/>
      <c r="Y32" s="238">
        <f>W32*$C$32</f>
        <v>1612699.6552129467</v>
      </c>
      <c r="Z32" s="238"/>
      <c r="AA32" s="238">
        <f>Y32*$C$32</f>
        <v>1661080.6448693352</v>
      </c>
      <c r="AB32" s="238"/>
      <c r="AC32" s="238">
        <f>AA32*$C$32</f>
        <v>1710913.0642154154</v>
      </c>
      <c r="AD32" s="238"/>
      <c r="AE32" s="238">
        <f>AC32*$C$32</f>
        <v>1762240.4561418779</v>
      </c>
      <c r="AF32" s="238"/>
      <c r="AG32" s="238">
        <f>AE32*$C$32</f>
        <v>1815107.6698261343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2012700</v>
      </c>
      <c r="G35" s="239">
        <f>SUM(G22:G33)</f>
        <v>2076077</v>
      </c>
      <c r="I35" s="239">
        <f>SUM(I22:I33)</f>
        <v>2141492.1949999998</v>
      </c>
      <c r="K35" s="239">
        <f>SUM(K22:K33)</f>
        <v>2209011.5218249997</v>
      </c>
      <c r="M35" s="239">
        <f>SUM(M22:M33)</f>
        <v>2278703.0630888748</v>
      </c>
      <c r="O35" s="239">
        <f>SUM(O22:O33)</f>
        <v>2350637.1174369855</v>
      </c>
      <c r="Q35" s="239">
        <f>SUM(Q22:Q33)</f>
        <v>2424886.2721014796</v>
      </c>
      <c r="S35" s="239">
        <f>SUM(S22:S33)</f>
        <v>2501525.4778458574</v>
      </c>
      <c r="U35" s="239">
        <f>SUM(U22:U33)</f>
        <v>2580632.1263779132</v>
      </c>
      <c r="W35" s="239">
        <f>SUM(W22:W33)</f>
        <v>2662286.1303128144</v>
      </c>
      <c r="Y35" s="239">
        <f>SUM(Y22:Y33)</f>
        <v>2746570.0057707876</v>
      </c>
      <c r="AA35" s="239">
        <f>SUM(AA22:AA33)</f>
        <v>2833568.9576967005</v>
      </c>
      <c r="AC35" s="239">
        <f>SUM(AC22:AC33)</f>
        <v>2923370.9679917381</v>
      </c>
      <c r="AE35" s="239">
        <f>SUM(AE22:AE33)</f>
        <v>3016066.886550372</v>
      </c>
      <c r="AG35" s="239">
        <f>SUM(AG22:AG33)</f>
        <v>3111750.5252989256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3373663.1999999993</v>
      </c>
      <c r="G37" s="239">
        <f>G11-G35</f>
        <v>3444945.2799999993</v>
      </c>
      <c r="I37" s="239">
        <f>I11-I35</f>
        <v>3517555.6419999986</v>
      </c>
      <c r="K37" s="239">
        <f>K11-K35</f>
        <v>3591512.5110999979</v>
      </c>
      <c r="M37" s="239">
        <f>M11-M35</f>
        <v>3666834.0706592477</v>
      </c>
      <c r="O37" s="239">
        <f>O11-O35</f>
        <v>3743538.4446548391</v>
      </c>
      <c r="Q37" s="239">
        <f>Q11-Q35</f>
        <v>3821643.6790426411</v>
      </c>
      <c r="S37" s="239">
        <f>S11-S35</f>
        <v>3901167.7220768644</v>
      </c>
      <c r="U37" s="239">
        <f>U11-U35</f>
        <v>3982128.4035428762</v>
      </c>
      <c r="W37" s="239">
        <f>W11-W35</f>
        <v>4064543.412855994</v>
      </c>
      <c r="Y37" s="239">
        <f>Y11-Y35</f>
        <v>4148430.2759772409</v>
      </c>
      <c r="AA37" s="239">
        <f>AA11-AA35</f>
        <v>4233806.3310950287</v>
      </c>
      <c r="AC37" s="239">
        <f>AC11-AC35</f>
        <v>4320688.7030197829</v>
      </c>
      <c r="AE37" s="239">
        <f>AE11-AE35</f>
        <v>4409094.2762364354</v>
      </c>
      <c r="AG37" s="239">
        <f>AG11-AG35</f>
        <v>4499039.6665575504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Rose Community Capital, LLC</v>
      </c>
      <c r="B40" s="242"/>
      <c r="C40" s="236"/>
      <c r="E40" s="238">
        <f>Application!AF627</f>
        <v>2916247</v>
      </c>
      <c r="F40" s="238"/>
      <c r="G40" s="238">
        <f>$E$40</f>
        <v>2916247</v>
      </c>
      <c r="H40" s="238"/>
      <c r="I40" s="238">
        <f>$E$40</f>
        <v>2916247</v>
      </c>
      <c r="J40" s="238"/>
      <c r="K40" s="238">
        <f>$E$40</f>
        <v>2916247</v>
      </c>
      <c r="L40" s="238"/>
      <c r="M40" s="238">
        <f>$E$40</f>
        <v>2916247</v>
      </c>
      <c r="N40" s="238"/>
      <c r="O40" s="238">
        <f>$E$40</f>
        <v>2916247</v>
      </c>
      <c r="P40" s="238"/>
      <c r="Q40" s="238">
        <f>$E$40</f>
        <v>2916247</v>
      </c>
      <c r="R40" s="238"/>
      <c r="S40" s="238">
        <f>$E$40</f>
        <v>2916247</v>
      </c>
      <c r="T40" s="238"/>
      <c r="U40" s="238">
        <f>$E$40</f>
        <v>2916247</v>
      </c>
      <c r="V40" s="238"/>
      <c r="W40" s="238">
        <f>$E$40</f>
        <v>2916247</v>
      </c>
      <c r="X40" s="238"/>
      <c r="Y40" s="238">
        <f>$E$40</f>
        <v>2916247</v>
      </c>
      <c r="Z40" s="238"/>
      <c r="AA40" s="238">
        <f>$E$40</f>
        <v>2916247</v>
      </c>
      <c r="AB40" s="238"/>
      <c r="AC40" s="238">
        <f>$E$40</f>
        <v>2916247</v>
      </c>
      <c r="AD40" s="238"/>
      <c r="AE40" s="238">
        <f>$E$40</f>
        <v>2916247</v>
      </c>
      <c r="AF40" s="238"/>
      <c r="AG40" s="238">
        <f>$E$40</f>
        <v>2916247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2916247</v>
      </c>
      <c r="G43" s="239">
        <f>SUM(G40:G42)</f>
        <v>2916247</v>
      </c>
      <c r="I43" s="239">
        <f>SUM(I40:I42)</f>
        <v>2916247</v>
      </c>
      <c r="K43" s="239">
        <f>SUM(K40:K42)</f>
        <v>2916247</v>
      </c>
      <c r="M43" s="239">
        <f>SUM(M40:M42)</f>
        <v>2916247</v>
      </c>
      <c r="O43" s="239">
        <f>SUM(O40:O42)</f>
        <v>2916247</v>
      </c>
      <c r="Q43" s="239">
        <f>SUM(Q40:Q42)</f>
        <v>2916247</v>
      </c>
      <c r="S43" s="239">
        <f>SUM(S40:S42)</f>
        <v>2916247</v>
      </c>
      <c r="U43" s="239">
        <f>SUM(U40:U42)</f>
        <v>2916247</v>
      </c>
      <c r="W43" s="239">
        <f>SUM(W40:W42)</f>
        <v>2916247</v>
      </c>
      <c r="Y43" s="239">
        <f>SUM(Y40:Y42)</f>
        <v>2916247</v>
      </c>
      <c r="AA43" s="239">
        <f>SUM(AA40:AA42)</f>
        <v>2916247</v>
      </c>
      <c r="AC43" s="239">
        <f>SUM(AC40:AC42)</f>
        <v>2916247</v>
      </c>
      <c r="AE43" s="239">
        <f>SUM(AE40:AE42)</f>
        <v>2916247</v>
      </c>
      <c r="AG43" s="239">
        <f>SUM(AG40:AG42)</f>
        <v>2916247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457416.19999999925</v>
      </c>
      <c r="G45" s="239">
        <f>G37-G43</f>
        <v>528698.27999999933</v>
      </c>
      <c r="I45" s="239">
        <f>I37-I43</f>
        <v>601308.6419999986</v>
      </c>
      <c r="K45" s="239">
        <f>K37-K43</f>
        <v>675265.51109999791</v>
      </c>
      <c r="M45" s="239">
        <f>M37-M43</f>
        <v>750587.07065924769</v>
      </c>
      <c r="O45" s="239">
        <f>O37-O43</f>
        <v>827291.44465483911</v>
      </c>
      <c r="Q45" s="239">
        <f>Q37-Q43</f>
        <v>905396.67904264107</v>
      </c>
      <c r="S45" s="239">
        <f>S37-S43</f>
        <v>984920.72207686445</v>
      </c>
      <c r="U45" s="239">
        <f>U37-U43</f>
        <v>1065881.4035428762</v>
      </c>
      <c r="W45" s="239">
        <f>W37-W43</f>
        <v>1148296.412855994</v>
      </c>
      <c r="Y45" s="239">
        <f>Y37-Y43</f>
        <v>1232183.2759772409</v>
      </c>
      <c r="AA45" s="239">
        <f>AA37-AA43</f>
        <v>1317559.3310950287</v>
      </c>
      <c r="AC45" s="239">
        <f>AC37-AC43</f>
        <v>1404441.7030197829</v>
      </c>
      <c r="AE45" s="239">
        <f>AE37-AE43</f>
        <v>1492847.2762364354</v>
      </c>
      <c r="AG45" s="239">
        <f>AG37-AG43</f>
        <v>1582792.6665575504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8.0675100037813877E-2</v>
      </c>
      <c r="G47" s="243">
        <f>G45/(G4+G6+G8)</f>
        <v>9.0972892433246869E-2</v>
      </c>
      <c r="I47" s="243">
        <f>I45/(I4+I6+I8)</f>
        <v>0.10094334353653897</v>
      </c>
      <c r="K47" s="243">
        <f>K45/(K4+K6+K8)</f>
        <v>0.11059384150530123</v>
      </c>
      <c r="M47" s="243">
        <f>M45/(M4+M6+M8)</f>
        <v>0.11993158920475315</v>
      </c>
      <c r="O47" s="243">
        <f>O45/(O4+O6+O8)</f>
        <v>0.12896360868086443</v>
      </c>
      <c r="Q47" s="243">
        <f>Q45/(Q4+Q6+Q8)</f>
        <v>0.13769674552396366</v>
      </c>
      <c r="S47" s="243">
        <f>S45/(S4+S6+S8)</f>
        <v>0.14613767312547699</v>
      </c>
      <c r="U47" s="243">
        <f>U45/(U4+U6+U8)</f>
        <v>0.15429289683040653</v>
      </c>
      <c r="W47" s="243">
        <f>W45/(W4+W6+W8)</f>
        <v>0.16216875798807778</v>
      </c>
      <c r="Y47" s="243">
        <f>Y45/(Y4+Y6+Y8)</f>
        <v>0.16977143790364191</v>
      </c>
      <c r="AA47" s="243">
        <f>AA45/(AA4+AA6+AA8)</f>
        <v>0.17710696169274329</v>
      </c>
      <c r="AC47" s="243">
        <f>AC45/(AC4+AC6+AC8)</f>
        <v>0.1841812020417124</v>
      </c>
      <c r="AE47" s="243">
        <f>AE45/(AE4+AE6+AE8)</f>
        <v>0.19099988287558375</v>
      </c>
      <c r="AG47" s="243">
        <f>AG45/(AG4+AG6+AG8)</f>
        <v>0.19756858293618151</v>
      </c>
    </row>
    <row r="48" spans="1:33" s="243" customFormat="1" ht="14.25">
      <c r="A48" s="243" t="s">
        <v>864</v>
      </c>
      <c r="C48" s="236"/>
      <c r="E48" s="243">
        <f>E45/E43</f>
        <v>0.15685098004387121</v>
      </c>
      <c r="G48" s="243">
        <f>G45/G43</f>
        <v>0.18129406734066056</v>
      </c>
      <c r="I48" s="243">
        <f>I45/I43</f>
        <v>0.2061926311454409</v>
      </c>
      <c r="K48" s="243">
        <f>K45/K43</f>
        <v>0.23155292096314128</v>
      </c>
      <c r="M48" s="243">
        <f>M45/M43</f>
        <v>0.25738117198551691</v>
      </c>
      <c r="O48" s="243">
        <f>O45/O43</f>
        <v>0.28368359904179552</v>
      </c>
      <c r="Q48" s="243">
        <f>Q45/Q43</f>
        <v>0.31046639020722216</v>
      </c>
      <c r="S48" s="243">
        <f>S45/S43</f>
        <v>0.33773570005450992</v>
      </c>
      <c r="U48" s="243">
        <f>U45/U43</f>
        <v>0.36549764253263739</v>
      </c>
      <c r="W48" s="243">
        <f>W45/W43</f>
        <v>0.39375828345678332</v>
      </c>
      <c r="Y48" s="243">
        <f>Y45/Y43</f>
        <v>0.42252363259258935</v>
      </c>
      <c r="AA48" s="243">
        <f>AA45/AA43</f>
        <v>0.45179963531725148</v>
      </c>
      <c r="AC48" s="243">
        <f>AC45/AC43</f>
        <v>0.48159216383927111</v>
      </c>
      <c r="AE48" s="243">
        <f>AE45/AE43</f>
        <v>0.51190700795798005</v>
      </c>
      <c r="AG48" s="243">
        <f>AG45/AG43</f>
        <v>0.54274986534321357</v>
      </c>
    </row>
    <row r="49" spans="1:35" s="244" customFormat="1" ht="14.25">
      <c r="A49" s="244" t="s">
        <v>862</v>
      </c>
      <c r="C49" s="245"/>
      <c r="E49" s="244">
        <f>E37/E43</f>
        <v>1.1568509800438711</v>
      </c>
      <c r="G49" s="244">
        <f>G37/G43</f>
        <v>1.1812940673406604</v>
      </c>
      <c r="I49" s="244">
        <f>I37/I43</f>
        <v>1.206192631145441</v>
      </c>
      <c r="K49" s="244">
        <f>K37/K43</f>
        <v>1.2315529209631413</v>
      </c>
      <c r="M49" s="244">
        <f>M37/M43</f>
        <v>1.2573811719855168</v>
      </c>
      <c r="O49" s="244">
        <f>O37/O43</f>
        <v>1.2836835990417956</v>
      </c>
      <c r="Q49" s="244">
        <f>Q37/Q43</f>
        <v>1.3104663902072222</v>
      </c>
      <c r="S49" s="244">
        <f>S37/S43</f>
        <v>1.33773570005451</v>
      </c>
      <c r="U49" s="244">
        <f>U37/U43</f>
        <v>1.3654976425326375</v>
      </c>
      <c r="W49" s="244">
        <f>W37/W43</f>
        <v>1.3937582834567832</v>
      </c>
      <c r="Y49" s="244">
        <f>Y37/Y43</f>
        <v>1.4225236325925894</v>
      </c>
      <c r="AA49" s="244">
        <f>AA37/AA43</f>
        <v>1.4517996353172515</v>
      </c>
      <c r="AC49" s="244">
        <f>AC37/AC43</f>
        <v>1.4815921638392711</v>
      </c>
      <c r="AE49" s="244">
        <f>AE37/AE43</f>
        <v>1.5119070079579799</v>
      </c>
      <c r="AG49" s="244">
        <f>AG37/AG43</f>
        <v>1.5427498653432135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1291</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v>23100</v>
      </c>
      <c r="G53" s="995">
        <f>E53*1.03</f>
        <v>23793</v>
      </c>
      <c r="I53" s="995">
        <f>G53*1.03</f>
        <v>24506.79</v>
      </c>
      <c r="K53" s="995">
        <f>I53*1.03</f>
        <v>25241.993700000003</v>
      </c>
      <c r="M53" s="995">
        <f>K53*1.03</f>
        <v>25999.253511000003</v>
      </c>
      <c r="O53" s="995">
        <f>M53*1.03</f>
        <v>26779.231116330004</v>
      </c>
      <c r="Q53" s="995">
        <f>O53*1.03</f>
        <v>27582.608049819904</v>
      </c>
      <c r="S53" s="995">
        <f>Q53*1.03</f>
        <v>28410.086291314503</v>
      </c>
      <c r="U53" s="995">
        <f>S53*1.03</f>
        <v>29262.388880053939</v>
      </c>
      <c r="W53" s="995">
        <f>U53*1.03</f>
        <v>30140.260546455556</v>
      </c>
      <c r="Y53" s="995">
        <f>W53*1.03</f>
        <v>31044.468362849224</v>
      </c>
      <c r="AA53" s="995">
        <f>Y53*1.03</f>
        <v>31975.802413734702</v>
      </c>
      <c r="AC53" s="995">
        <f>AA53*1.03</f>
        <v>32935.076486146747</v>
      </c>
      <c r="AE53" s="995">
        <f>AC53*1.03</f>
        <v>33923.128780731153</v>
      </c>
      <c r="AG53" s="995">
        <f>AE53*1.03</f>
        <v>34940.822644153086</v>
      </c>
    </row>
    <row r="54" spans="1:35" s="3" customFormat="1">
      <c r="A54" s="3" t="s">
        <v>867</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868</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28100</v>
      </c>
      <c r="F58" s="995"/>
      <c r="G58" s="995">
        <f>SUM(G53:G57)</f>
        <v>28943</v>
      </c>
      <c r="H58" s="995"/>
      <c r="I58" s="995">
        <f>SUM(I53:I57)</f>
        <v>29811.29</v>
      </c>
      <c r="J58" s="995"/>
      <c r="K58" s="995">
        <f>SUM(K53:K57)</f>
        <v>30705.628700000001</v>
      </c>
      <c r="L58" s="995"/>
      <c r="M58" s="995">
        <f>SUM(M53:M57)</f>
        <v>31626.797561000003</v>
      </c>
      <c r="N58" s="995"/>
      <c r="O58" s="995">
        <f>SUM(O53:O57)</f>
        <v>32575.601487830005</v>
      </c>
      <c r="P58" s="995"/>
      <c r="Q58" s="995">
        <f>SUM(Q53:Q57)</f>
        <v>33552.869532464902</v>
      </c>
      <c r="R58" s="995"/>
      <c r="S58" s="995">
        <f>SUM(S53:S57)</f>
        <v>34559.455618438849</v>
      </c>
      <c r="T58" s="995"/>
      <c r="U58" s="995">
        <f>SUM(U53:U57)</f>
        <v>35596.239286992022</v>
      </c>
      <c r="V58" s="995"/>
      <c r="W58" s="995">
        <f>SUM(W53:W57)</f>
        <v>36664.126465601781</v>
      </c>
      <c r="X58" s="995"/>
      <c r="Y58" s="995">
        <f>SUM(Y53:Y57)</f>
        <v>37764.050259569834</v>
      </c>
      <c r="Z58" s="995"/>
      <c r="AA58" s="995">
        <f>SUM(AA53:AA57)</f>
        <v>38896.971767356932</v>
      </c>
      <c r="AB58" s="995"/>
      <c r="AC58" s="995">
        <f>SUM(AC53:AC57)</f>
        <v>40063.88092037764</v>
      </c>
      <c r="AD58" s="995"/>
      <c r="AE58" s="995">
        <f>SUM(AE53:AE57)</f>
        <v>41265.797347988977</v>
      </c>
      <c r="AF58" s="995"/>
      <c r="AG58" s="995">
        <f>SUM(AG53:AG57)</f>
        <v>42503.771268428645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429316.19999999925</v>
      </c>
      <c r="G60" s="997">
        <f>G45-G58</f>
        <v>499755.27999999933</v>
      </c>
      <c r="I60" s="997">
        <f>I45-I58</f>
        <v>571497.35199999856</v>
      </c>
      <c r="K60" s="997">
        <f>K45-K58</f>
        <v>644559.88239999791</v>
      </c>
      <c r="M60" s="997">
        <f>M45-M58</f>
        <v>718960.27309824771</v>
      </c>
      <c r="O60" s="997">
        <f>O45-O58</f>
        <v>794715.84316700906</v>
      </c>
      <c r="Q60" s="997">
        <f>Q45-Q58</f>
        <v>871843.80951017619</v>
      </c>
      <c r="S60" s="997">
        <f>S45-S58</f>
        <v>950361.26645842555</v>
      </c>
      <c r="U60" s="997">
        <f>U45-U58</f>
        <v>1030285.1642558842</v>
      </c>
      <c r="W60" s="997">
        <f>W45-W58</f>
        <v>1111632.2863903921</v>
      </c>
      <c r="Y60" s="997">
        <f>Y45-Y58</f>
        <v>1194419.225717671</v>
      </c>
      <c r="AA60" s="997">
        <f>AA45-AA58</f>
        <v>1278662.3593276718</v>
      </c>
      <c r="AC60" s="997">
        <f>AC45-AC58</f>
        <v>1364377.8220994053</v>
      </c>
      <c r="AE60" s="997">
        <f>AE45-AE58</f>
        <v>1451581.4788884465</v>
      </c>
      <c r="AG60" s="997">
        <f>AG45-AG58</f>
        <v>1540288.8952891219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429316.19999999925</v>
      </c>
      <c r="G62" s="997">
        <f>G60*$C$62</f>
        <v>499755.27999999933</v>
      </c>
      <c r="I62" s="997">
        <f>I60*$C$62</f>
        <v>571497.35199999856</v>
      </c>
      <c r="K62" s="997">
        <f>K60*$C$62</f>
        <v>644559.88239999791</v>
      </c>
      <c r="M62" s="997">
        <f>M60*$C$62</f>
        <v>718960.27309824771</v>
      </c>
      <c r="O62" s="997">
        <f>O60*$C$62</f>
        <v>794715.84316700906</v>
      </c>
      <c r="Q62" s="997">
        <f>Q60*$C$62</f>
        <v>871843.80951017619</v>
      </c>
      <c r="S62" s="997">
        <f>S60*$C$62</f>
        <v>950361.26645842555</v>
      </c>
      <c r="U62" s="997">
        <f>U60*$C$62</f>
        <v>1030285.1642558842</v>
      </c>
      <c r="W62" s="997">
        <v>101301</v>
      </c>
      <c r="Y62" s="997">
        <v>0</v>
      </c>
      <c r="AA62" s="997">
        <v>0</v>
      </c>
      <c r="AC62" s="997">
        <v>0</v>
      </c>
      <c r="AE62" s="997">
        <v>0</v>
      </c>
      <c r="AG62" s="997">
        <v>0</v>
      </c>
    </row>
    <row r="63" spans="1:35" s="997" customFormat="1">
      <c r="A63" s="2674" t="s">
        <v>2763</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1010331.2863903921</v>
      </c>
      <c r="Y72" s="997">
        <f>Y60-Y62-Y70</f>
        <v>1194419.225717671</v>
      </c>
      <c r="AA72" s="997">
        <f>AA60-AA62-AA70</f>
        <v>1278662.3593276718</v>
      </c>
      <c r="AC72" s="997">
        <f>AC60-AC62-AC70</f>
        <v>1364377.8220994053</v>
      </c>
      <c r="AE72" s="997">
        <f>AE60-AE62-AE70</f>
        <v>1451581.4788884465</v>
      </c>
      <c r="AG72" s="997">
        <f>AG60-AG62-AG70</f>
        <v>1540288.8952891219</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69" workbookViewId="0">
      <selection activeCell="E27" sqref="E27"/>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2442000</v>
      </c>
      <c r="C5" s="286">
        <f>'Sources and Uses Budget'!$C4</f>
        <v>2442000</v>
      </c>
      <c r="D5" s="290">
        <f>C5-B5</f>
        <v>0</v>
      </c>
      <c r="E5" s="288"/>
      <c r="F5" s="287"/>
      <c r="G5" s="383"/>
    </row>
    <row r="6" spans="1:7" s="380" customFormat="1">
      <c r="A6" s="395" t="s">
        <v>28</v>
      </c>
      <c r="B6" s="286">
        <f>'Sources and Uses Budget'!$C5</f>
        <v>240900</v>
      </c>
      <c r="C6" s="286">
        <f>'Sources and Uses Budget'!$C5</f>
        <v>240900</v>
      </c>
      <c r="D6" s="290">
        <f t="shared" ref="D6:D77" si="0">C6-B6</f>
        <v>0</v>
      </c>
      <c r="E6" s="288"/>
      <c r="F6" s="287"/>
      <c r="G6" s="383"/>
    </row>
    <row r="7" spans="1:7" s="380" customFormat="1">
      <c r="A7" s="395" t="s">
        <v>29</v>
      </c>
      <c r="B7" s="286">
        <f>'Sources and Uses Budget'!$C6</f>
        <v>380000</v>
      </c>
      <c r="C7" s="286">
        <f>'Sources and Uses Budget'!$C6</f>
        <v>380000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3062900</v>
      </c>
      <c r="C9" s="290">
        <f>SUM(C5:C8)</f>
        <v>3062900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1056700</v>
      </c>
      <c r="C11" s="286">
        <f>'Sources and Uses Budget'!$C10</f>
        <v>1056700</v>
      </c>
      <c r="D11" s="290">
        <f t="shared" si="0"/>
        <v>0</v>
      </c>
      <c r="E11" s="288"/>
      <c r="F11" s="287"/>
      <c r="G11" s="383"/>
    </row>
    <row r="12" spans="1:7" s="380" customFormat="1">
      <c r="A12" s="396" t="s">
        <v>605</v>
      </c>
      <c r="B12" s="290">
        <f>SUM(B10:B11)</f>
        <v>1056700</v>
      </c>
      <c r="C12" s="290">
        <f>SUM(C10:C11)</f>
        <v>1056700</v>
      </c>
      <c r="D12" s="290">
        <f t="shared" si="0"/>
        <v>0</v>
      </c>
      <c r="E12" s="288"/>
      <c r="F12" s="287"/>
      <c r="G12" s="383"/>
    </row>
    <row r="13" spans="1:7" s="380" customFormat="1">
      <c r="A13" s="396" t="s">
        <v>84</v>
      </c>
      <c r="B13" s="290">
        <f>SUM(B9+B12)</f>
        <v>4119600</v>
      </c>
      <c r="C13" s="290">
        <f>SUM(C9+C12)</f>
        <v>4119600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48696325</v>
      </c>
      <c r="C31" s="286">
        <f>'Sources and Uses Budget'!$C30</f>
        <v>48696325</v>
      </c>
      <c r="D31" s="290">
        <f t="shared" si="0"/>
        <v>0</v>
      </c>
      <c r="E31" s="288"/>
      <c r="F31" s="287"/>
      <c r="G31" s="383"/>
    </row>
    <row r="32" spans="1:7" s="380" customFormat="1">
      <c r="A32" s="145" t="s">
        <v>609</v>
      </c>
      <c r="B32" s="286">
        <f>'Sources and Uses Budget'!$C31</f>
        <v>2921780</v>
      </c>
      <c r="C32" s="286">
        <f>'Sources and Uses Budget'!$C31</f>
        <v>2921780</v>
      </c>
      <c r="D32" s="290">
        <f t="shared" si="0"/>
        <v>0</v>
      </c>
      <c r="E32" s="288"/>
      <c r="F32" s="287"/>
      <c r="G32" s="383"/>
    </row>
    <row r="33" spans="1:7" s="380" customFormat="1">
      <c r="A33" s="145" t="s">
        <v>137</v>
      </c>
      <c r="B33" s="286">
        <f>'Sources and Uses Budget'!$C32</f>
        <v>777551</v>
      </c>
      <c r="C33" s="286">
        <f>'Sources and Uses Budget'!$C32</f>
        <v>777551</v>
      </c>
      <c r="D33" s="290">
        <f t="shared" si="0"/>
        <v>0</v>
      </c>
      <c r="E33" s="288"/>
      <c r="F33" s="287"/>
      <c r="G33" s="383"/>
    </row>
    <row r="34" spans="1:7" s="380" customFormat="1">
      <c r="A34" s="145" t="s">
        <v>138</v>
      </c>
      <c r="B34" s="286">
        <f>'Sources and Uses Budget'!$C33</f>
        <v>2921780</v>
      </c>
      <c r="C34" s="286">
        <f>'Sources and Uses Budget'!$C33</f>
        <v>2921780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150000</v>
      </c>
      <c r="C36" s="286">
        <f>'Sources and Uses Budget'!$C35</f>
        <v>150000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P &amp; P Bond</v>
      </c>
      <c r="B38" s="286">
        <f>'Sources and Uses Budget'!$C37</f>
        <v>2111257</v>
      </c>
      <c r="C38" s="286">
        <f>'Sources and Uses Budget'!$C37</f>
        <v>2111257</v>
      </c>
      <c r="D38" s="290">
        <f t="shared" si="0"/>
        <v>0</v>
      </c>
      <c r="E38" s="288"/>
      <c r="F38" s="287"/>
      <c r="G38" s="383"/>
    </row>
    <row r="39" spans="1:7" s="380" customFormat="1">
      <c r="A39" s="291" t="s">
        <v>143</v>
      </c>
      <c r="B39" s="290">
        <f>SUM(B30:B38)</f>
        <v>57578693</v>
      </c>
      <c r="C39" s="290">
        <f>SUM(C30:C38)</f>
        <v>57578693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629425</v>
      </c>
      <c r="C41" s="286">
        <f>'Sources and Uses Budget'!$C40</f>
        <v>629425</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629425</v>
      </c>
      <c r="C43" s="290">
        <f>SUM(C41:C42)</f>
        <v>629425</v>
      </c>
      <c r="D43" s="290">
        <f t="shared" si="0"/>
        <v>0</v>
      </c>
      <c r="E43" s="288"/>
      <c r="F43" s="287"/>
      <c r="G43" s="383"/>
    </row>
    <row r="44" spans="1:7" s="380" customFormat="1">
      <c r="A44" s="291" t="s">
        <v>148</v>
      </c>
      <c r="B44" s="286">
        <f>'Sources and Uses Budget'!$C43</f>
        <v>31750</v>
      </c>
      <c r="C44" s="286">
        <f>'Sources and Uses Budget'!$C43</f>
        <v>31750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5656100</v>
      </c>
      <c r="C46" s="286">
        <f>'Sources and Uses Budget'!$C45</f>
        <v>5656100</v>
      </c>
      <c r="D46" s="290">
        <f t="shared" si="0"/>
        <v>0</v>
      </c>
      <c r="E46" s="288"/>
      <c r="F46" s="287"/>
      <c r="G46" s="383"/>
    </row>
    <row r="47" spans="1:7" s="380" customFormat="1">
      <c r="A47" s="145" t="s">
        <v>151</v>
      </c>
      <c r="B47" s="286">
        <f>'Sources and Uses Budget'!$C46</f>
        <v>824554</v>
      </c>
      <c r="C47" s="286">
        <f>'Sources and Uses Budget'!$C46</f>
        <v>824554</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90000</v>
      </c>
      <c r="C51" s="286">
        <f>'Sources and Uses Budget'!$C50</f>
        <v>90000</v>
      </c>
      <c r="D51" s="290">
        <f t="shared" si="0"/>
        <v>0</v>
      </c>
      <c r="E51" s="288"/>
      <c r="F51" s="287"/>
      <c r="G51" s="383"/>
    </row>
    <row r="52" spans="1:7" s="380" customFormat="1">
      <c r="A52" s="304" t="s">
        <v>154</v>
      </c>
      <c r="B52" s="286">
        <f>'Sources and Uses Budget'!$C51</f>
        <v>12000</v>
      </c>
      <c r="C52" s="286">
        <f>'Sources and Uses Budget'!$C51</f>
        <v>12000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HUD Fees</v>
      </c>
      <c r="B54" s="286">
        <f>'Sources and Uses Budget'!$C53</f>
        <v>1262498</v>
      </c>
      <c r="C54" s="286">
        <f>'Sources and Uses Budget'!$C53</f>
        <v>1262498</v>
      </c>
      <c r="D54" s="290">
        <f t="shared" si="0"/>
        <v>0</v>
      </c>
      <c r="E54" s="288"/>
      <c r="F54" s="287"/>
      <c r="G54" s="383"/>
    </row>
    <row r="55" spans="1:7" s="381" customFormat="1">
      <c r="A55" s="291" t="s">
        <v>157</v>
      </c>
      <c r="B55" s="293">
        <f>SUM(B46:B54)</f>
        <v>7845152</v>
      </c>
      <c r="C55" s="293">
        <f>SUM(C46:C54)</f>
        <v>7845152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Bond Issuance Fees</v>
      </c>
      <c r="B62" s="286">
        <f>'Sources and Uses Budget'!$C61</f>
        <v>94000</v>
      </c>
      <c r="C62" s="286">
        <f>'Sources and Uses Budget'!$C61</f>
        <v>94000</v>
      </c>
      <c r="D62" s="290">
        <f t="shared" si="0"/>
        <v>0</v>
      </c>
      <c r="E62" s="288"/>
      <c r="F62" s="287"/>
      <c r="G62" s="383"/>
    </row>
    <row r="63" spans="1:7" s="380" customFormat="1" ht="13.7" customHeight="1">
      <c r="A63" s="291" t="s">
        <v>302</v>
      </c>
      <c r="B63" s="290">
        <f>SUM(B57:B62)</f>
        <v>94000</v>
      </c>
      <c r="C63" s="290">
        <f>SUM(C57:C62)</f>
        <v>94000</v>
      </c>
      <c r="D63" s="290">
        <f t="shared" si="0"/>
        <v>0</v>
      </c>
      <c r="E63" s="288"/>
      <c r="F63" s="287"/>
      <c r="G63" s="383"/>
    </row>
    <row r="64" spans="1:7" s="380" customFormat="1">
      <c r="A64" s="294" t="s">
        <v>303</v>
      </c>
      <c r="B64" s="290">
        <f>SUM(B9+B12+B14+B15+B17+B26+B28+B39+B43+B44+B55+B63)</f>
        <v>70298620</v>
      </c>
      <c r="C64" s="290">
        <f>SUM(C9+C12+C14+C15+C17+C26+C28+C39+C43+C44+C55+C63)</f>
        <v>70298620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0</v>
      </c>
      <c r="C66" s="286">
        <f>'Sources and Uses Budget'!$C65</f>
        <v>0</v>
      </c>
      <c r="D66" s="290">
        <f t="shared" si="0"/>
        <v>0</v>
      </c>
      <c r="E66" s="288"/>
      <c r="F66" s="287"/>
      <c r="G66" s="383"/>
    </row>
    <row r="67" spans="1:7" s="380" customFormat="1" ht="24">
      <c r="A67" s="304" t="s">
        <v>1753</v>
      </c>
      <c r="B67" s="286">
        <f>'Sources and Uses Budget'!$C66</f>
        <v>125000</v>
      </c>
      <c r="C67" s="286">
        <f>'Sources and Uses Budget'!$C66</f>
        <v>125000</v>
      </c>
      <c r="D67" s="290"/>
      <c r="E67" s="288"/>
      <c r="F67" s="287"/>
      <c r="G67" s="383"/>
    </row>
    <row r="68" spans="1:7" s="380" customFormat="1" ht="24">
      <c r="A68" s="304" t="s">
        <v>1754</v>
      </c>
      <c r="B68" s="286">
        <f>'Sources and Uses Budget'!$C67</f>
        <v>100000</v>
      </c>
      <c r="C68" s="286">
        <f>'Sources and Uses Budget'!$C67</f>
        <v>100000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560000</v>
      </c>
      <c r="C70" s="286">
        <f>'Sources and Uses Budget'!$C69</f>
        <v>560000</v>
      </c>
      <c r="D70" s="290">
        <f t="shared" si="0"/>
        <v>0</v>
      </c>
      <c r="E70" s="288"/>
      <c r="F70" s="287"/>
      <c r="G70" s="383"/>
    </row>
    <row r="71" spans="1:7" s="380" customFormat="1">
      <c r="A71" s="149" t="s">
        <v>1757</v>
      </c>
      <c r="B71" s="290">
        <f>SUM(B66:B70)</f>
        <v>785000</v>
      </c>
      <c r="C71" s="290">
        <f>SUM(C66:C70)</f>
        <v>785000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173334</v>
      </c>
      <c r="C73" s="286">
        <f>'Sources and Uses Budget'!$C72</f>
        <v>173334</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1224612</v>
      </c>
      <c r="C76" s="286">
        <f>'Sources and Uses Budget'!$C75</f>
        <v>1224612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1397946</v>
      </c>
      <c r="C78" s="290">
        <f>SUM(C73:C77)</f>
        <v>1397946</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3327909</v>
      </c>
      <c r="C80" s="286">
        <f>'Sources and Uses Budget'!$C79</f>
        <v>3327909</v>
      </c>
      <c r="D80" s="290">
        <f t="shared" si="1"/>
        <v>0</v>
      </c>
      <c r="E80" s="288"/>
      <c r="F80" s="287"/>
      <c r="G80" s="383"/>
    </row>
    <row r="81" spans="1:7" s="380" customFormat="1">
      <c r="A81" s="544" t="s">
        <v>58</v>
      </c>
      <c r="B81" s="286">
        <f>'Sources and Uses Budget'!$C80</f>
        <v>1250000</v>
      </c>
      <c r="C81" s="286">
        <f>'Sources and Uses Budget'!$C80</f>
        <v>1250000</v>
      </c>
      <c r="D81" s="290">
        <f>C81-B81</f>
        <v>0</v>
      </c>
      <c r="E81" s="288"/>
      <c r="F81" s="287"/>
      <c r="G81" s="383"/>
    </row>
    <row r="82" spans="1:7" s="380" customFormat="1">
      <c r="A82" s="291" t="s">
        <v>1316</v>
      </c>
      <c r="B82" s="290">
        <f>SUM(B80:B81)</f>
        <v>4577909</v>
      </c>
      <c r="C82" s="290">
        <f>SUM(C80:C81)</f>
        <v>4577909</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130591</v>
      </c>
      <c r="C84" s="286">
        <f>'Sources and Uses Budget'!$C83</f>
        <v>130591</v>
      </c>
      <c r="D84" s="290">
        <f t="shared" si="1"/>
        <v>0</v>
      </c>
      <c r="E84" s="288"/>
      <c r="F84" s="287"/>
      <c r="G84" s="383"/>
    </row>
    <row r="85" spans="1:7" s="380" customFormat="1">
      <c r="A85" s="289" t="s">
        <v>777</v>
      </c>
      <c r="B85" s="286">
        <f>'Sources and Uses Budget'!$C84</f>
        <v>255000</v>
      </c>
      <c r="C85" s="286">
        <f>'Sources and Uses Budget'!$C84</f>
        <v>255000</v>
      </c>
      <c r="D85" s="290">
        <f t="shared" si="1"/>
        <v>0</v>
      </c>
      <c r="E85" s="288"/>
      <c r="F85" s="287"/>
      <c r="G85" s="383"/>
    </row>
    <row r="86" spans="1:7" s="380" customFormat="1">
      <c r="A86" s="289" t="s">
        <v>778</v>
      </c>
      <c r="B86" s="286">
        <f>'Sources and Uses Budget'!$C85</f>
        <v>522727</v>
      </c>
      <c r="C86" s="286">
        <f>'Sources and Uses Budget'!$C85</f>
        <v>522727</v>
      </c>
      <c r="D86" s="290">
        <f t="shared" si="1"/>
        <v>0</v>
      </c>
      <c r="E86" s="288"/>
      <c r="F86" s="287"/>
      <c r="G86" s="383"/>
    </row>
    <row r="87" spans="1:7" s="380" customFormat="1">
      <c r="A87" s="289" t="s">
        <v>779</v>
      </c>
      <c r="B87" s="286">
        <f>'Sources and Uses Budget'!$C86</f>
        <v>543237</v>
      </c>
      <c r="C87" s="286">
        <f>'Sources and Uses Budget'!$C86</f>
        <v>543237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150000</v>
      </c>
      <c r="C89" s="286">
        <f>'Sources and Uses Budget'!$C88</f>
        <v>150000</v>
      </c>
      <c r="D89" s="290">
        <f t="shared" si="1"/>
        <v>0</v>
      </c>
      <c r="E89" s="288"/>
      <c r="F89" s="287"/>
      <c r="G89" s="383"/>
    </row>
    <row r="90" spans="1:7" s="380" customFormat="1">
      <c r="A90" s="289" t="s">
        <v>782</v>
      </c>
      <c r="B90" s="286">
        <f>'Sources and Uses Budget'!$C89</f>
        <v>700000</v>
      </c>
      <c r="C90" s="286">
        <f>'Sources and Uses Budget'!$C89</f>
        <v>700000</v>
      </c>
      <c r="D90" s="290">
        <f t="shared" si="1"/>
        <v>0</v>
      </c>
      <c r="E90" s="288"/>
      <c r="F90" s="287"/>
      <c r="G90" s="383"/>
    </row>
    <row r="91" spans="1:7" s="380" customFormat="1">
      <c r="A91" s="289" t="s">
        <v>783</v>
      </c>
      <c r="B91" s="286">
        <f>'Sources and Uses Budget'!$C90</f>
        <v>20000</v>
      </c>
      <c r="C91" s="286">
        <f>'Sources and Uses Budget'!$C90</f>
        <v>20000</v>
      </c>
      <c r="D91" s="290">
        <f t="shared" si="1"/>
        <v>0</v>
      </c>
      <c r="E91" s="288"/>
      <c r="F91" s="287"/>
      <c r="G91" s="383"/>
    </row>
    <row r="92" spans="1:7" s="380" customFormat="1">
      <c r="A92" s="289" t="s">
        <v>373</v>
      </c>
      <c r="B92" s="286">
        <f>'Sources and Uses Budget'!$C91</f>
        <v>85000</v>
      </c>
      <c r="C92" s="286">
        <f>'Sources and Uses Budget'!$C91</f>
        <v>85000</v>
      </c>
      <c r="D92" s="290">
        <f t="shared" si="1"/>
        <v>0</v>
      </c>
      <c r="E92" s="288"/>
      <c r="F92" s="287"/>
      <c r="G92" s="383"/>
    </row>
    <row r="93" spans="1:7" s="380" customFormat="1">
      <c r="A93" s="544" t="s">
        <v>1318</v>
      </c>
      <c r="B93" s="286">
        <f>'Sources and Uses Budget'!$C92</f>
        <v>15000</v>
      </c>
      <c r="C93" s="286">
        <f>'Sources and Uses Budget'!$C92</f>
        <v>15000</v>
      </c>
      <c r="D93" s="290">
        <f t="shared" si="1"/>
        <v>0</v>
      </c>
      <c r="E93" s="288"/>
      <c r="F93" s="287"/>
      <c r="G93" s="383"/>
    </row>
    <row r="94" spans="1:7" s="380" customFormat="1">
      <c r="A94" s="292" t="s">
        <v>34</v>
      </c>
      <c r="B94" s="286">
        <f>'Sources and Uses Budget'!$C93</f>
        <v>1970120</v>
      </c>
      <c r="C94" s="286">
        <f>'Sources and Uses Budget'!$C93</f>
        <v>1970120</v>
      </c>
      <c r="D94" s="290">
        <f t="shared" si="1"/>
        <v>0</v>
      </c>
      <c r="E94" s="288"/>
      <c r="F94" s="287"/>
      <c r="G94" s="383"/>
    </row>
    <row r="95" spans="1:7" s="380" customFormat="1">
      <c r="A95" s="292" t="s">
        <v>34</v>
      </c>
      <c r="B95" s="286">
        <f>'Sources and Uses Budget'!$C94</f>
        <v>25000</v>
      </c>
      <c r="C95" s="286">
        <f>'Sources and Uses Budget'!$C94</f>
        <v>25000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4416675</v>
      </c>
      <c r="C97" s="290">
        <f>SUM(C84:C96)</f>
        <v>4416675</v>
      </c>
      <c r="D97" s="290">
        <f t="shared" si="1"/>
        <v>0</v>
      </c>
      <c r="E97" s="288"/>
      <c r="F97" s="287"/>
      <c r="G97" s="383"/>
    </row>
    <row r="98" spans="1:7" s="380" customFormat="1">
      <c r="A98" s="291" t="s">
        <v>785</v>
      </c>
      <c r="B98" s="290">
        <f>SUM(B64+B71+B78+B82+B97)</f>
        <v>81476150</v>
      </c>
      <c r="C98" s="290">
        <f>SUM(C64+C71+C78+C82+C97)</f>
        <v>81476150</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11009751</v>
      </c>
      <c r="C100" s="286">
        <f>'Sources and Uses Budget'!$C99</f>
        <v>11009751</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11009751</v>
      </c>
      <c r="C105" s="290">
        <f>SUM(C100:C104)</f>
        <v>11009751</v>
      </c>
      <c r="D105" s="290">
        <f t="shared" si="1"/>
        <v>0</v>
      </c>
      <c r="E105" s="288"/>
      <c r="F105" s="287"/>
      <c r="G105" s="383"/>
    </row>
    <row r="106" spans="1:7" s="380" customFormat="1">
      <c r="A106" s="291" t="s">
        <v>790</v>
      </c>
      <c r="B106" s="293">
        <f>SUM(B98+B105)</f>
        <v>92485901</v>
      </c>
      <c r="C106" s="293">
        <f>SUM(C98+C105)</f>
        <v>92485901</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117" workbookViewId="0">
      <selection activeCell="D128" sqref="D128:F129"/>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2738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2738</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2739</v>
      </c>
      <c r="D24" s="1279" t="s">
        <v>1154</v>
      </c>
      <c r="E24" s="1279"/>
      <c r="F24" s="1279"/>
      <c r="I24" s="524" t="s">
        <v>2073</v>
      </c>
    </row>
    <row r="25" spans="1:9" ht="14.25">
      <c r="A25" s="518"/>
      <c r="B25" s="518"/>
      <c r="D25" s="1279"/>
      <c r="E25" s="1279"/>
      <c r="F25" s="1279"/>
      <c r="I25" s="524"/>
    </row>
    <row r="26" spans="1:9">
      <c r="I26" s="524"/>
    </row>
    <row r="27" spans="1:9" ht="14.25">
      <c r="A27" s="518"/>
      <c r="B27" s="519" t="s">
        <v>2738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2738</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2738</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2739</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2738</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2739</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2738</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2738</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2739</v>
      </c>
      <c r="D65" s="1279" t="s">
        <v>1163</v>
      </c>
      <c r="E65" s="1279"/>
      <c r="F65" s="1279"/>
      <c r="I65" s="524" t="s">
        <v>2075</v>
      </c>
    </row>
    <row r="66" spans="1:9">
      <c r="D66" s="1279"/>
      <c r="E66" s="1279"/>
      <c r="F66" s="1279"/>
      <c r="I66" s="524"/>
    </row>
    <row r="67" spans="1:9">
      <c r="I67" s="524"/>
    </row>
    <row r="68" spans="1:9" ht="14.25">
      <c r="A68" s="518"/>
      <c r="B68" s="519" t="s">
        <v>2738</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2738</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2738</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2738</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2739</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2738</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2739</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2739</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2739</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2739</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2739</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2738</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2739</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2739</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2739</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2739</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2738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2739</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2739</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2739</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2739</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2739</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2738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2738</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2739</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2739</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2738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2738</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2739</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2739</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2739</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2739</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2739</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2739</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2739</v>
      </c>
      <c r="D305" s="1308" t="s">
        <v>1216</v>
      </c>
      <c r="E305" s="1308"/>
      <c r="F305" s="1308"/>
      <c r="I305" s="524" t="s">
        <v>2090</v>
      </c>
    </row>
    <row r="306" spans="1:9" ht="14.25">
      <c r="A306" s="518"/>
      <c r="B306" s="518"/>
      <c r="D306" s="528"/>
      <c r="E306" s="529"/>
      <c r="F306" s="529"/>
      <c r="I306" s="524"/>
    </row>
    <row r="307" spans="1:9" ht="13.7" customHeight="1">
      <c r="B307" s="519" t="s">
        <v>2739</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2739</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2739</v>
      </c>
      <c r="D316" s="1308" t="s">
        <v>1219</v>
      </c>
      <c r="E316" s="1308"/>
      <c r="F316" s="1308"/>
      <c r="I316" s="524" t="s">
        <v>2076</v>
      </c>
    </row>
    <row r="317" spans="1:9">
      <c r="E317" s="480"/>
      <c r="F317" s="480"/>
      <c r="I317" s="524"/>
    </row>
    <row r="318" spans="1:9" ht="14.25">
      <c r="A318" s="518"/>
      <c r="B318" s="519" t="s">
        <v>2739</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2739</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2739</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2739</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2739</v>
      </c>
      <c r="C360" s="510"/>
      <c r="D360" s="1312" t="s">
        <v>2370</v>
      </c>
      <c r="E360" s="1312"/>
      <c r="F360" s="1312"/>
      <c r="I360" s="514"/>
    </row>
    <row r="361" spans="1:9">
      <c r="A361" s="510"/>
      <c r="B361" s="510"/>
      <c r="C361" s="510"/>
      <c r="D361" s="481"/>
      <c r="E361" s="481"/>
      <c r="F361" s="480"/>
      <c r="I361" s="524"/>
    </row>
    <row r="362" spans="1:9">
      <c r="A362" s="510"/>
      <c r="B362" s="519" t="s">
        <v>2739</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2739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2739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2739</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2739</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2739</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2739</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2739</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2739</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2739</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2739</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2739</v>
      </c>
      <c r="C486" s="433"/>
      <c r="D486" s="1279"/>
      <c r="E486" s="1279"/>
      <c r="F486" s="1279"/>
      <c r="I486" s="524"/>
    </row>
    <row r="487" spans="1:9">
      <c r="A487" s="433"/>
      <c r="C487" s="433"/>
      <c r="D487" s="1279"/>
      <c r="E487" s="1279"/>
      <c r="F487" s="1279"/>
      <c r="I487" s="524"/>
    </row>
    <row r="488" spans="1:9">
      <c r="A488" s="433"/>
      <c r="B488" s="519" t="s">
        <v>2739</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2739</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2739</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2739</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2739</v>
      </c>
      <c r="D509" s="1308" t="s">
        <v>1243</v>
      </c>
      <c r="E509" s="1308"/>
      <c r="F509" s="1308"/>
      <c r="I509" s="524" t="s">
        <v>2095</v>
      </c>
    </row>
    <row r="510" spans="1:9" ht="14.25">
      <c r="A510" s="518"/>
      <c r="B510" s="518"/>
      <c r="D510" s="480"/>
      <c r="I510" s="524"/>
    </row>
    <row r="511" spans="1:9" ht="14.25">
      <c r="A511" s="518"/>
      <c r="B511" s="519" t="s">
        <v>2739</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2739</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2738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2738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2739</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2738</v>
      </c>
      <c r="C543" s="521"/>
      <c r="D543" s="1308" t="s">
        <v>897</v>
      </c>
      <c r="E543" s="1308"/>
      <c r="F543" s="1308"/>
      <c r="I543" s="524" t="s">
        <v>2146</v>
      </c>
    </row>
    <row r="544" spans="1:9" ht="13.7" customHeight="1">
      <c r="A544" s="521"/>
      <c r="B544" s="521"/>
      <c r="C544" s="521"/>
      <c r="D544" s="480"/>
      <c r="I544" s="524"/>
    </row>
    <row r="545" spans="1:9" ht="14.25">
      <c r="A545" s="518"/>
      <c r="B545" s="519" t="s">
        <v>2738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2738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2738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2738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2739</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2739</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2738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2738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2738</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2738</v>
      </c>
      <c r="D583" s="1301" t="s">
        <v>903</v>
      </c>
      <c r="E583" s="1301"/>
      <c r="F583" s="1301"/>
      <c r="I583" s="524"/>
    </row>
    <row r="584" spans="1:9">
      <c r="A584" s="524"/>
      <c r="B584" s="524"/>
      <c r="D584" s="510"/>
      <c r="I584" s="524"/>
    </row>
    <row r="585" spans="1:9">
      <c r="A585" s="524"/>
      <c r="B585" s="519" t="s">
        <v>2738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2739</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2738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2739</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2738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2738</v>
      </c>
      <c r="D615" s="1281" t="s">
        <v>1189</v>
      </c>
      <c r="E615" s="1281"/>
      <c r="F615" s="1281"/>
      <c r="I615" s="524" t="s">
        <v>2151</v>
      </c>
    </row>
    <row r="616" spans="1:9">
      <c r="D616" s="1281"/>
      <c r="E616" s="1281"/>
      <c r="F616" s="1281"/>
      <c r="I616" s="524"/>
    </row>
    <row r="617" spans="1:9">
      <c r="I617" s="524"/>
    </row>
    <row r="618" spans="1:9">
      <c r="B618" s="519" t="s">
        <v>2738</v>
      </c>
      <c r="D618" s="1281" t="s">
        <v>1190</v>
      </c>
      <c r="E618" s="1281"/>
      <c r="F618" s="1281"/>
      <c r="I618" s="524" t="s">
        <v>2104</v>
      </c>
    </row>
    <row r="619" spans="1:9">
      <c r="C619" s="534"/>
      <c r="D619" s="1281"/>
      <c r="E619" s="1281"/>
      <c r="F619" s="1281"/>
      <c r="I619" s="524"/>
    </row>
    <row r="620" spans="1:9">
      <c r="C620" s="534"/>
      <c r="I620" s="524"/>
    </row>
    <row r="621" spans="1:9">
      <c r="B621" s="519" t="s">
        <v>2739</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2738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2739</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2739</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2739</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2738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2738</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2738</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2738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2738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2739</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2738</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2738</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2739</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2739</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2739</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2739</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2739</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2739</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2739</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2738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2739</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2739</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2739</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2739</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2738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2739</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2739</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2739</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2739</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2739</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2739</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2738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2738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2739</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2739</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2739</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2738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2738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2739</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2739</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2739</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2738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2738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2738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2739</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2739</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2739</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2739</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2739</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2738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2738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2739</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2739</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2739</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2739</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2738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2739</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2739</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2739</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2739</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2738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2738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2739</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2739</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2739</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2739</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2738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2739</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2739</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2739</v>
      </c>
      <c r="C1050" s="433"/>
      <c r="D1050" s="433" t="s">
        <v>2002</v>
      </c>
      <c r="I1050" s="524" t="s">
        <v>2114</v>
      </c>
    </row>
    <row r="1051" spans="1:9">
      <c r="A1051" s="433"/>
      <c r="B1051" s="433"/>
      <c r="C1051" s="433"/>
      <c r="I1051" s="524"/>
    </row>
    <row r="1052" spans="1:9">
      <c r="A1052" s="433"/>
      <c r="B1052" s="519" t="s">
        <v>2738</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2738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2739</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2739</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2739</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2739</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2739</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2739</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2739</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2739</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2739</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75" zoomScaleNormal="100" workbookViewId="0">
      <selection activeCell="D211" sqref="D211:M211"/>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2640</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1" t="s">
        <v>2642</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524" t="s">
        <v>2643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6" t="s">
        <v>885</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1034</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4389220.7</v>
      </c>
      <c r="N26" s="1848"/>
      <c r="O26" s="1848"/>
      <c r="P26" s="1848"/>
      <c r="Q26" s="1848"/>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2507</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18" t="s">
        <v>678</v>
      </c>
      <c r="P33" s="1418"/>
      <c r="Q33" s="1847" t="s">
        <v>2508</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2509</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2518</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2520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2523</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0"/>
      <c r="H113" s="1550"/>
      <c r="I113" s="3" t="s">
        <v>182</v>
      </c>
      <c r="L113" s="1550"/>
      <c r="M113" s="1550"/>
      <c r="N113" s="1550"/>
      <c r="O113" s="1550"/>
      <c r="P113" s="1564" t="s">
        <v>2528</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c r="D115" s="1551"/>
      <c r="E115" s="1551"/>
      <c r="F115" s="1551"/>
      <c r="G115" s="1551"/>
      <c r="H115" s="1551"/>
      <c r="I115" s="1551"/>
      <c r="J115" s="1551"/>
      <c r="K115" s="155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50"/>
      <c r="Z117" s="1550"/>
      <c r="AA117" s="1550"/>
      <c r="AB117" s="1550"/>
      <c r="AC117" s="1550"/>
      <c r="AD117" s="1550"/>
      <c r="AE117" s="1550"/>
      <c r="AF117" s="1550"/>
      <c r="AG117" s="1550"/>
      <c r="AH117" s="1550"/>
      <c r="AI117" s="1550"/>
      <c r="AJ117" s="1550"/>
      <c r="AK117" s="1550"/>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24" t="s">
        <v>2644</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442</v>
      </c>
      <c r="O154" s="1523" t="s">
        <v>2645</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444</v>
      </c>
      <c r="F155" s="8"/>
      <c r="G155" s="8"/>
      <c r="H155" s="8"/>
      <c r="I155" s="8"/>
      <c r="J155" s="8"/>
      <c r="K155" s="8"/>
      <c r="L155" s="8"/>
      <c r="M155" s="8"/>
      <c r="N155" s="8"/>
      <c r="O155" s="1561" t="s">
        <v>443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314</v>
      </c>
      <c r="O156" s="1432" t="s">
        <v>2646</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5" customHeight="1">
      <c r="D157" t="s">
        <v>315</v>
      </c>
      <c r="O157" s="1524" t="s">
        <v>503</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2.95" customHeight="1">
      <c r="D158" t="s">
        <v>316</v>
      </c>
      <c r="O158" s="1569">
        <v>90017</v>
      </c>
      <c r="P158" s="1569"/>
      <c r="Q158" s="1569"/>
      <c r="R158" s="1569"/>
      <c r="S158" s="9"/>
      <c r="T158" s="9"/>
      <c r="U158" s="9"/>
      <c r="V158" s="9"/>
      <c r="W158" s="9"/>
      <c r="X158" s="9"/>
      <c r="Y158" s="9"/>
      <c r="Z158" s="9"/>
      <c r="AA158" s="9"/>
      <c r="AB158" s="9"/>
      <c r="AC158" s="9"/>
      <c r="AD158" s="9"/>
      <c r="AE158" s="9"/>
      <c r="AF158" s="9"/>
      <c r="BN158" s="23" t="s">
        <v>646</v>
      </c>
      <c r="BT158" t="s">
        <v>486</v>
      </c>
    </row>
    <row r="159" spans="1:72" ht="12.95" customHeight="1">
      <c r="D159" t="s">
        <v>317</v>
      </c>
      <c r="O159" s="1556" t="s">
        <v>2647</v>
      </c>
      <c r="P159" s="1556"/>
      <c r="Q159" s="1556"/>
      <c r="R159" s="1556"/>
      <c r="S159" s="1556"/>
      <c r="T159" s="1556"/>
      <c r="V159" s="97" t="s">
        <v>272</v>
      </c>
      <c r="W159" s="1570"/>
      <c r="X159" s="1570"/>
      <c r="Y159" s="10"/>
      <c r="Z159" s="10"/>
      <c r="AA159" s="10"/>
      <c r="AB159" s="10"/>
      <c r="AC159" s="10"/>
      <c r="AD159" s="10"/>
      <c r="AE159" s="10"/>
      <c r="AF159" s="10"/>
      <c r="BN159" s="23" t="s">
        <v>340</v>
      </c>
      <c r="BT159" t="s">
        <v>487</v>
      </c>
    </row>
    <row r="160" spans="1:72" ht="12.95" customHeight="1">
      <c r="D160" t="s">
        <v>318</v>
      </c>
      <c r="O160" s="1556"/>
      <c r="P160" s="1556"/>
      <c r="Q160" s="1556"/>
      <c r="R160" s="1556"/>
      <c r="S160" s="1556"/>
      <c r="T160" s="1556"/>
      <c r="U160" s="10"/>
      <c r="V160" s="10"/>
      <c r="W160" s="10"/>
      <c r="X160" s="10"/>
      <c r="Y160" s="10"/>
      <c r="Z160" s="10"/>
      <c r="AA160" s="10"/>
      <c r="AB160" s="10"/>
      <c r="AC160" s="10"/>
      <c r="AD160" s="10"/>
      <c r="AE160" s="10"/>
      <c r="AF160" s="10"/>
      <c r="BN160" s="23" t="s">
        <v>669</v>
      </c>
      <c r="BT160" t="s">
        <v>488</v>
      </c>
    </row>
    <row r="161" spans="1:72" ht="12.95" customHeight="1">
      <c r="D161" t="s">
        <v>319</v>
      </c>
      <c r="O161" s="1537" t="s">
        <v>2648</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52" t="s">
        <v>2623</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6" t="s">
        <v>548</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682</v>
      </c>
      <c r="BT169" t="s">
        <v>497</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501</v>
      </c>
    </row>
    <row r="174" spans="1:72" ht="12.95" customHeight="1">
      <c r="C174" s="24"/>
      <c r="D174" s="3" t="s">
        <v>1309</v>
      </c>
      <c r="J174" s="1432" t="s">
        <v>2420</v>
      </c>
      <c r="K174" s="1432"/>
      <c r="L174" s="1432"/>
      <c r="M174" s="1432"/>
      <c r="N174" s="1432"/>
      <c r="O174" s="1432"/>
      <c r="P174" s="1432"/>
      <c r="Q174" s="1432"/>
      <c r="R174" s="1432"/>
      <c r="S174" s="1432"/>
      <c r="T174" s="1432"/>
      <c r="U174" s="1432"/>
      <c r="V174" s="1432"/>
      <c r="W174" s="1432"/>
      <c r="X174" s="1432"/>
      <c r="Y174" s="1432"/>
      <c r="Z174" s="1432"/>
      <c r="AA174" s="1432"/>
      <c r="AB174" s="1432"/>
      <c r="BB174" t="s">
        <v>2273</v>
      </c>
      <c r="BN174" s="23" t="s">
        <v>217</v>
      </c>
      <c r="BT174" t="s">
        <v>502</v>
      </c>
    </row>
    <row r="175" spans="1:72" ht="12.95" customHeight="1">
      <c r="C175" s="8"/>
      <c r="D175" s="3" t="s">
        <v>323</v>
      </c>
      <c r="O175" s="27"/>
      <c r="U175" s="1418" t="s">
        <v>554</v>
      </c>
      <c r="V175" s="1418"/>
      <c r="BB175" t="s">
        <v>2237</v>
      </c>
      <c r="BN175" s="23" t="s">
        <v>218</v>
      </c>
      <c r="BT175" t="s">
        <v>503</v>
      </c>
    </row>
    <row r="176" spans="1:72" ht="12.95" customHeight="1">
      <c r="C176" s="8"/>
      <c r="D176" s="26"/>
      <c r="E176" t="s">
        <v>305</v>
      </c>
      <c r="O176" s="27"/>
      <c r="P176" t="s">
        <v>2395</v>
      </c>
      <c r="T176" s="27" t="s">
        <v>306</v>
      </c>
      <c r="U176" s="1555">
        <v>24</v>
      </c>
      <c r="V176" s="1555"/>
      <c r="W176" s="1" t="s">
        <v>307</v>
      </c>
      <c r="X176" s="1563">
        <v>548</v>
      </c>
      <c r="Y176" s="1563"/>
      <c r="BB176" t="s">
        <v>2274</v>
      </c>
      <c r="BN176" s="23" t="s">
        <v>220</v>
      </c>
      <c r="BT176" t="s">
        <v>504</v>
      </c>
    </row>
    <row r="177" spans="1:72" ht="12.95" customHeight="1">
      <c r="C177" s="24"/>
      <c r="D177" t="s">
        <v>250</v>
      </c>
      <c r="R177" s="1418"/>
      <c r="S177" s="1418"/>
      <c r="BB177" t="s">
        <v>2577</v>
      </c>
      <c r="BN177" s="23" t="s">
        <v>221</v>
      </c>
      <c r="BT177" t="s">
        <v>505</v>
      </c>
    </row>
    <row r="178" spans="1:72" ht="12.95" customHeight="1">
      <c r="C178" s="24"/>
      <c r="D178" s="3" t="s">
        <v>1310</v>
      </c>
      <c r="AA178" t="s">
        <v>2395</v>
      </c>
      <c r="AE178" s="27" t="s">
        <v>306</v>
      </c>
      <c r="AF178" s="1565"/>
      <c r="AG178" s="1565"/>
      <c r="AH178" s="1" t="s">
        <v>307</v>
      </c>
      <c r="AI178" s="1532"/>
      <c r="AJ178" s="1532"/>
      <c r="AK178" s="1532"/>
      <c r="BB178" t="s">
        <v>2578</v>
      </c>
      <c r="BN178" s="23" t="s">
        <v>222</v>
      </c>
      <c r="BT178" t="s">
        <v>53</v>
      </c>
    </row>
    <row r="179" spans="1:72" ht="12.95" customHeight="1">
      <c r="C179" s="24"/>
      <c r="BN179" s="23" t="s">
        <v>223</v>
      </c>
      <c r="BT179" t="s">
        <v>54</v>
      </c>
    </row>
    <row r="180" spans="1:72" ht="12.95" customHeight="1">
      <c r="C180" s="24"/>
      <c r="D180" t="s">
        <v>2396</v>
      </c>
      <c r="X180" s="1418" t="s">
        <v>678</v>
      </c>
      <c r="Y180" s="1418"/>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0" t="str">
        <f>H18</f>
        <v>1250 West Jeff</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5" customHeight="1">
      <c r="C185" s="21"/>
      <c r="D185" t="s">
        <v>588</v>
      </c>
      <c r="I185" s="1431" t="s">
        <v>2649</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2.95" customHeight="1">
      <c r="C186" s="21"/>
      <c r="E186" t="s">
        <v>168</v>
      </c>
      <c r="BN186" s="23" t="s">
        <v>233</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234</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236</v>
      </c>
      <c r="BT188" t="s">
        <v>66</v>
      </c>
    </row>
    <row r="189" spans="1:72" ht="12.95" customHeight="1">
      <c r="C189" s="21"/>
      <c r="D189" t="s">
        <v>589</v>
      </c>
      <c r="I189" s="1432" t="s">
        <v>503</v>
      </c>
      <c r="J189" s="1432"/>
      <c r="K189" s="1432"/>
      <c r="L189" s="1432"/>
      <c r="M189" s="1432"/>
      <c r="N189" s="1432"/>
      <c r="O189" s="1432"/>
      <c r="P189" s="1432"/>
      <c r="Q189" t="s">
        <v>591</v>
      </c>
      <c r="T189" s="1432" t="s">
        <v>503</v>
      </c>
      <c r="U189" s="1432"/>
      <c r="V189" s="1432"/>
      <c r="W189" s="1432"/>
      <c r="X189" s="1432"/>
      <c r="Y189" s="1432"/>
      <c r="Z189" s="1432"/>
      <c r="AA189" s="1432"/>
      <c r="AB189" s="1432"/>
      <c r="AC189" s="1432"/>
      <c r="AD189" s="1432"/>
      <c r="AE189" s="1432"/>
      <c r="BC189" t="s">
        <v>308</v>
      </c>
      <c r="BH189" s="3" t="s">
        <v>600</v>
      </c>
      <c r="BN189" s="23" t="s">
        <v>237</v>
      </c>
      <c r="BT189" t="s">
        <v>67</v>
      </c>
    </row>
    <row r="190" spans="1:72" ht="12.95" customHeight="1">
      <c r="C190" s="21"/>
      <c r="D190" t="s">
        <v>592</v>
      </c>
      <c r="I190" s="1431">
        <v>90007</v>
      </c>
      <c r="J190" s="1431"/>
      <c r="K190" s="1431"/>
      <c r="L190" s="1431"/>
      <c r="M190" s="1431"/>
      <c r="N190" s="1431"/>
      <c r="O190" t="s">
        <v>594</v>
      </c>
      <c r="T190" s="1566">
        <v>2226</v>
      </c>
      <c r="U190" s="1566"/>
      <c r="V190" s="1566"/>
      <c r="W190" s="1566"/>
      <c r="X190" s="1566"/>
      <c r="Y190" s="1566"/>
      <c r="Z190" s="1566"/>
      <c r="AA190" s="1566"/>
      <c r="AB190" s="1566"/>
      <c r="AC190" s="1566"/>
      <c r="AD190" s="1566"/>
      <c r="AE190" s="1566"/>
      <c r="BC190" t="s">
        <v>1066</v>
      </c>
      <c r="BH190" t="s">
        <v>1066</v>
      </c>
      <c r="BN190" s="23" t="s">
        <v>644</v>
      </c>
      <c r="BT190" t="s">
        <v>68</v>
      </c>
    </row>
    <row r="191" spans="1:72" ht="12.95" customHeight="1">
      <c r="C191" s="21"/>
      <c r="D191" t="s">
        <v>471</v>
      </c>
      <c r="N191" s="1461" t="s">
        <v>2650</v>
      </c>
      <c r="O191" s="1461"/>
      <c r="P191" s="1461"/>
      <c r="Q191" s="1461"/>
      <c r="R191" s="1461"/>
      <c r="S191" s="1461"/>
      <c r="T191" s="1461"/>
      <c r="U191" s="1461"/>
      <c r="V191" s="1461"/>
      <c r="W191" s="1461"/>
      <c r="X191" s="1461"/>
      <c r="Y191" s="1461"/>
      <c r="Z191" s="1461"/>
      <c r="AA191" s="1461"/>
      <c r="AB191" s="1461"/>
      <c r="AC191" s="1461"/>
      <c r="AD191" s="1461"/>
      <c r="AE191" s="1461"/>
      <c r="BC191" t="s">
        <v>1065</v>
      </c>
      <c r="BH191" t="s">
        <v>1065</v>
      </c>
      <c r="BN191" s="23" t="s">
        <v>698</v>
      </c>
      <c r="BT191" t="s">
        <v>737</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1068</v>
      </c>
      <c r="BH192" s="3" t="s">
        <v>1474</v>
      </c>
      <c r="BN192" s="23" t="s">
        <v>699</v>
      </c>
      <c r="BT192" t="s">
        <v>738</v>
      </c>
    </row>
    <row r="193" spans="1:74" ht="12.95" customHeight="1">
      <c r="C193" s="21"/>
      <c r="D193" t="s">
        <v>2397</v>
      </c>
      <c r="M193" s="40"/>
      <c r="N193" s="928"/>
      <c r="O193" s="928"/>
      <c r="P193" s="928"/>
      <c r="Q193" s="928"/>
      <c r="R193" s="928"/>
      <c r="S193" s="928"/>
      <c r="T193" s="1568" t="s">
        <v>2577</v>
      </c>
      <c r="U193" s="1568"/>
      <c r="V193" s="1568"/>
      <c r="W193" s="1568"/>
      <c r="X193" s="1568"/>
      <c r="Y193" s="1568"/>
      <c r="Z193" s="1568"/>
      <c r="AA193" s="1568"/>
      <c r="AB193" s="1568"/>
      <c r="AC193" s="1568"/>
      <c r="AD193" s="1568"/>
      <c r="AE193" s="1568"/>
      <c r="AF193" s="1568"/>
      <c r="AG193" s="1568"/>
      <c r="AH193" s="1568"/>
      <c r="AI193" s="1568"/>
      <c r="BC193" t="s">
        <v>1067</v>
      </c>
      <c r="BH193" s="3" t="s">
        <v>1741</v>
      </c>
      <c r="BN193" s="23" t="s">
        <v>700</v>
      </c>
      <c r="BT193" t="s">
        <v>739</v>
      </c>
    </row>
    <row r="194" spans="1:74" ht="12.95" customHeight="1">
      <c r="C194" s="21"/>
      <c r="D194" s="3" t="s">
        <v>2579</v>
      </c>
      <c r="M194" s="40"/>
      <c r="N194" s="928"/>
      <c r="O194" s="928"/>
      <c r="P194" s="928"/>
      <c r="Q194" s="928"/>
      <c r="R194" s="928"/>
      <c r="S194" s="928"/>
      <c r="AH194" s="1418" t="s">
        <v>678</v>
      </c>
      <c r="AI194" s="1418"/>
      <c r="BC194" t="s">
        <v>1474</v>
      </c>
      <c r="BN194" s="23" t="s">
        <v>701</v>
      </c>
      <c r="BT194" t="s">
        <v>740</v>
      </c>
    </row>
    <row r="195" spans="1:74" ht="12.95" customHeight="1">
      <c r="C195" s="21"/>
      <c r="D195" t="s">
        <v>332</v>
      </c>
      <c r="T195" s="1418" t="s">
        <v>678</v>
      </c>
      <c r="U195" s="1418"/>
      <c r="W195" t="s">
        <v>694</v>
      </c>
      <c r="AH195" s="1418">
        <v>37</v>
      </c>
      <c r="AI195" s="1418"/>
      <c r="BC195" t="s">
        <v>2047</v>
      </c>
      <c r="BN195" s="23" t="s">
        <v>243</v>
      </c>
      <c r="BT195" t="s">
        <v>741</v>
      </c>
    </row>
    <row r="196" spans="1:74" ht="12.95" customHeight="1">
      <c r="C196" s="21"/>
      <c r="D196" t="s">
        <v>387</v>
      </c>
      <c r="T196" s="1421" t="s">
        <v>554</v>
      </c>
      <c r="U196" s="1421"/>
      <c r="W196" t="s">
        <v>695</v>
      </c>
      <c r="AH196" s="1418">
        <v>57</v>
      </c>
      <c r="AI196" s="1418"/>
      <c r="BN196" s="23" t="s">
        <v>244</v>
      </c>
      <c r="BT196" t="s">
        <v>69</v>
      </c>
    </row>
    <row r="197" spans="1:74" ht="12.95" customHeight="1">
      <c r="C197" s="21"/>
      <c r="D197" s="3" t="s">
        <v>169</v>
      </c>
      <c r="T197" s="1421" t="s">
        <v>678</v>
      </c>
      <c r="U197" s="1421"/>
      <c r="W197" t="s">
        <v>696</v>
      </c>
      <c r="AH197" s="1418">
        <v>28</v>
      </c>
      <c r="AI197" s="1418"/>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18" t="s">
        <v>678</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0" t="s">
        <v>386</v>
      </c>
      <c r="E204" s="1510"/>
      <c r="F204" s="1510"/>
      <c r="G204" s="1510"/>
      <c r="H204" s="1510"/>
      <c r="I204" s="1510"/>
      <c r="J204" s="1510"/>
      <c r="K204" s="1510"/>
      <c r="L204" s="1510"/>
      <c r="M204" s="1510"/>
      <c r="P204" s="1553">
        <f>M26</f>
        <v>4389220.7</v>
      </c>
      <c r="Q204" s="1554"/>
      <c r="R204" s="1554"/>
      <c r="S204" s="1554"/>
      <c r="T204" s="1554"/>
      <c r="U204" s="1554"/>
      <c r="BC204" t="s">
        <v>619</v>
      </c>
      <c r="BN204" s="23" t="s">
        <v>713</v>
      </c>
      <c r="BT204" s="32" t="s">
        <v>198</v>
      </c>
      <c r="BU204" s="14"/>
    </row>
    <row r="205" spans="1:74" ht="12.95" customHeight="1">
      <c r="C205" s="21"/>
      <c r="D205" s="1571" t="s">
        <v>1356</v>
      </c>
      <c r="E205" s="1510"/>
      <c r="F205" s="1510"/>
      <c r="G205" s="1510"/>
      <c r="H205" s="1510"/>
      <c r="I205" s="1510"/>
      <c r="J205" s="1510"/>
      <c r="K205" s="1510"/>
      <c r="L205" s="1510"/>
      <c r="M205" s="1510"/>
      <c r="P205" s="1554">
        <f>M27</f>
        <v>0</v>
      </c>
      <c r="Q205" s="1554"/>
      <c r="R205" s="1554"/>
      <c r="S205" s="1554"/>
      <c r="T205" s="1554"/>
      <c r="U205" s="1554"/>
      <c r="V205" s="28"/>
      <c r="W205" s="3" t="s">
        <v>1909</v>
      </c>
      <c r="Z205" s="1559" t="s">
        <v>2627</v>
      </c>
      <c r="AA205" s="1559"/>
      <c r="AB205" s="1559"/>
      <c r="AC205" s="1559"/>
      <c r="AD205" s="1559"/>
      <c r="AE205" s="1559"/>
      <c r="AF205" s="1559"/>
      <c r="AG205" s="1559"/>
      <c r="AH205" s="1559"/>
      <c r="AI205" s="1559"/>
      <c r="AJ205" s="1559"/>
      <c r="AK205" s="1559"/>
      <c r="AL205" s="1559"/>
      <c r="AM205" s="1559"/>
      <c r="AN205" s="1559"/>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0" t="s">
        <v>2651</v>
      </c>
      <c r="E208" s="1430"/>
      <c r="F208" s="1430"/>
      <c r="G208" s="1430"/>
      <c r="H208" s="1430"/>
      <c r="I208" s="1430"/>
      <c r="J208" s="1430"/>
      <c r="K208" s="1430"/>
      <c r="L208" s="1430"/>
      <c r="M208" s="1430"/>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0" t="s">
        <v>1066</v>
      </c>
      <c r="E211" s="1430"/>
      <c r="F211" s="1430"/>
      <c r="G211" s="1430"/>
      <c r="H211" s="1430"/>
      <c r="I211" s="1430"/>
      <c r="J211" s="1430"/>
      <c r="K211" s="1430"/>
      <c r="L211" s="1430"/>
      <c r="M211" s="1430"/>
      <c r="BN211" s="23" t="s">
        <v>129</v>
      </c>
      <c r="BT211" s="32" t="s">
        <v>130</v>
      </c>
    </row>
    <row r="212" spans="1:72" ht="12.95" customHeight="1">
      <c r="C212" s="21"/>
      <c r="D212" t="s">
        <v>1353</v>
      </c>
      <c r="Y212" s="1418"/>
      <c r="Z212" s="1418"/>
      <c r="AB212" s="1557">
        <f>IFERROR(Y212/AG440,"")</f>
        <v>0</v>
      </c>
      <c r="AC212" s="1558"/>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49" t="s">
        <v>600</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539</v>
      </c>
      <c r="BI214" t="s">
        <v>2633</v>
      </c>
      <c r="BN214" s="23" t="s">
        <v>327</v>
      </c>
      <c r="BT214" s="32" t="s">
        <v>206</v>
      </c>
    </row>
    <row r="215" spans="1:72" ht="12.95" customHeight="1">
      <c r="D215" s="3" t="s">
        <v>1765</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0" t="s">
        <v>888</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5" customHeight="1">
      <c r="A221" s="2"/>
      <c r="B221" s="14"/>
      <c r="C221" s="2"/>
      <c r="AU221" s="95"/>
      <c r="AV221" s="95"/>
      <c r="AW221" s="95"/>
      <c r="AX221" s="95"/>
      <c r="AY221" s="95"/>
      <c r="BA221" s="3"/>
    </row>
    <row r="222" spans="1:72" ht="12.95" customHeight="1">
      <c r="A222" s="1546" t="s">
        <v>549</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600</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554</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600</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7" t="str">
        <f>H16</f>
        <v>South Catalina Street I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524" t="s">
        <v>2652</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2.95" customHeight="1">
      <c r="D234" s="4" t="s">
        <v>589</v>
      </c>
      <c r="E234" s="4"/>
      <c r="M234" s="1524" t="s">
        <v>2653</v>
      </c>
      <c r="N234" s="1430"/>
      <c r="O234" s="1430"/>
      <c r="P234" s="1430"/>
      <c r="Q234" s="1430"/>
      <c r="R234" s="1430"/>
      <c r="S234" s="1430"/>
      <c r="T234" s="1430"/>
      <c r="V234" s="33" t="s">
        <v>86</v>
      </c>
      <c r="W234" s="1523" t="s">
        <v>2654</v>
      </c>
      <c r="X234" s="1419"/>
      <c r="Y234" s="4" t="s">
        <v>592</v>
      </c>
      <c r="AC234" s="1430">
        <v>91101</v>
      </c>
      <c r="AD234" s="1430"/>
      <c r="AE234" s="1430"/>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524" t="s">
        <v>2655</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16" t="s">
        <v>2656</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546</v>
      </c>
      <c r="BG236" s="259">
        <f>IF(AND(AND($M$249="nonprofit",$M$257="nonprofit",$M$265="(select one)")),1,0)</f>
        <v>0</v>
      </c>
    </row>
    <row r="237" spans="1:69" ht="12.95" customHeight="1">
      <c r="D237" s="4" t="s">
        <v>90</v>
      </c>
      <c r="E237" s="4"/>
      <c r="F237" s="4"/>
      <c r="M237" s="1537" t="s">
        <v>2657</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1" t="s">
        <v>537</v>
      </c>
      <c r="N238" s="1431"/>
      <c r="O238" s="1431"/>
      <c r="P238" s="1431"/>
      <c r="Q238" s="1431"/>
      <c r="R238" s="1431"/>
      <c r="S238" s="1431"/>
      <c r="T238" s="1431"/>
      <c r="U238" s="218" t="s">
        <v>922</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41" t="s">
        <v>2658</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2659</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4" t="s">
        <v>2660</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524" t="s">
        <v>55</v>
      </c>
      <c r="N245" s="1430"/>
      <c r="O245" s="1430"/>
      <c r="P245" s="1430"/>
      <c r="Q245" s="1430"/>
      <c r="R245" s="1430"/>
      <c r="S245" s="1430"/>
      <c r="T245" s="1430"/>
      <c r="V245" s="33" t="s">
        <v>86</v>
      </c>
      <c r="W245" s="1523" t="s">
        <v>2654</v>
      </c>
      <c r="X245" s="1419"/>
      <c r="Y245" s="4" t="s">
        <v>592</v>
      </c>
      <c r="AC245" s="1430">
        <v>95348</v>
      </c>
      <c r="AD245" s="1430"/>
      <c r="AE245" s="1430"/>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524" t="s">
        <v>2661</v>
      </c>
      <c r="N246" s="1430"/>
      <c r="O246" s="1430"/>
      <c r="P246" s="1430"/>
      <c r="Q246" s="1430"/>
      <c r="R246" s="1430"/>
      <c r="S246" s="1430"/>
      <c r="T246" s="1430"/>
      <c r="U246" s="1430"/>
      <c r="V246" s="1430"/>
      <c r="W246" s="1430"/>
      <c r="X246" s="1430"/>
      <c r="Y246" s="1430"/>
      <c r="Z246" s="1430"/>
      <c r="AA246" s="1430"/>
      <c r="AB246" s="1430"/>
      <c r="AC246" s="1430"/>
      <c r="AD246" s="1430"/>
      <c r="AE246" s="1430"/>
      <c r="AH246" s="1545">
        <v>0.01</v>
      </c>
      <c r="AI246" s="1545"/>
      <c r="AJ246" s="1545"/>
      <c r="AK246" s="1545"/>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16" t="s">
        <v>2662</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7" t="s">
        <v>2663</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1" t="s">
        <v>543</v>
      </c>
      <c r="N249" s="1431"/>
      <c r="O249" s="1431"/>
      <c r="P249" s="1431"/>
      <c r="Q249" s="1431"/>
      <c r="R249" s="1431"/>
      <c r="S249" s="1431"/>
      <c r="T249" s="1431"/>
      <c r="U249" s="218" t="s">
        <v>922</v>
      </c>
      <c r="V249" s="218"/>
      <c r="W249" s="218"/>
      <c r="X249" s="218"/>
      <c r="Y249" s="218"/>
      <c r="Z249" s="218"/>
      <c r="AA249" s="1543"/>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41" t="s">
        <v>2664</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2665</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524" t="s">
        <v>2652</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2.95" customHeight="1">
      <c r="A253" s="19"/>
      <c r="B253" s="4"/>
      <c r="C253" s="4"/>
      <c r="D253" s="4" t="s">
        <v>589</v>
      </c>
      <c r="E253" s="4"/>
      <c r="M253" s="1524" t="s">
        <v>2653</v>
      </c>
      <c r="N253" s="1430"/>
      <c r="O253" s="1430"/>
      <c r="P253" s="1430"/>
      <c r="Q253" s="1430"/>
      <c r="R253" s="1430"/>
      <c r="S253" s="1430"/>
      <c r="T253" s="1430"/>
      <c r="V253" s="33" t="s">
        <v>86</v>
      </c>
      <c r="W253" s="1523" t="s">
        <v>2654</v>
      </c>
      <c r="X253" s="1419"/>
      <c r="Y253" s="4" t="s">
        <v>592</v>
      </c>
      <c r="AC253" s="1430">
        <v>91101</v>
      </c>
      <c r="AD253" s="1430"/>
      <c r="AE253" s="1430"/>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524" t="s">
        <v>2655</v>
      </c>
      <c r="N254" s="1430"/>
      <c r="O254" s="1430"/>
      <c r="P254" s="1430"/>
      <c r="Q254" s="1430"/>
      <c r="R254" s="1430"/>
      <c r="S254" s="1430"/>
      <c r="T254" s="1430"/>
      <c r="U254" s="1430"/>
      <c r="V254" s="1430"/>
      <c r="W254" s="1430"/>
      <c r="X254" s="1430"/>
      <c r="Y254" s="1430"/>
      <c r="Z254" s="1430"/>
      <c r="AA254" s="1430"/>
      <c r="AB254" s="1430"/>
      <c r="AC254" s="1430"/>
      <c r="AD254" s="1430"/>
      <c r="AE254" s="1430"/>
      <c r="AH254" s="1545">
        <v>0.01</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516" t="s">
        <v>2656</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7" t="s">
        <v>2657</v>
      </c>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1" t="s">
        <v>545</v>
      </c>
      <c r="N257" s="1431"/>
      <c r="O257" s="1431"/>
      <c r="P257" s="1431"/>
      <c r="Q257" s="1431"/>
      <c r="R257" s="1431"/>
      <c r="S257" s="1431"/>
      <c r="T257" s="1431"/>
      <c r="U257" s="218" t="s">
        <v>922</v>
      </c>
      <c r="V257" s="218"/>
      <c r="W257" s="218"/>
      <c r="X257" s="218"/>
      <c r="Y257" s="218"/>
      <c r="Z257" s="218"/>
      <c r="AA257" s="1542" t="s">
        <v>2666</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0"/>
      <c r="N261" s="1430"/>
      <c r="O261" s="1430"/>
      <c r="P261" s="1430"/>
      <c r="Q261" s="1430"/>
      <c r="R261" s="1430"/>
      <c r="S261" s="1430"/>
      <c r="T261" s="1430"/>
      <c r="V261" s="33" t="s">
        <v>86</v>
      </c>
      <c r="W261" s="1419"/>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0" t="s">
        <v>281</v>
      </c>
      <c r="E270" s="1430"/>
      <c r="F270" s="1430"/>
      <c r="G270" s="1430"/>
      <c r="H270" s="1430"/>
      <c r="J270" t="s">
        <v>280</v>
      </c>
      <c r="X270" s="1536"/>
      <c r="Y270" s="1536"/>
      <c r="Z270" s="1536"/>
      <c r="AA270" s="1536"/>
      <c r="AB270" s="1536"/>
      <c r="AC270" s="153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1" t="s">
        <v>2667</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4" t="s">
        <v>2668</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524" t="s">
        <v>68</v>
      </c>
      <c r="M276" s="1430"/>
      <c r="N276" s="1430"/>
      <c r="O276" s="1430"/>
      <c r="P276" s="1430"/>
      <c r="Q276" s="1430"/>
      <c r="R276" s="1430"/>
      <c r="S276" s="1430"/>
      <c r="U276" s="33" t="s">
        <v>86</v>
      </c>
      <c r="V276" s="1523" t="s">
        <v>2654</v>
      </c>
      <c r="W276" s="1419"/>
      <c r="X276" s="4" t="s">
        <v>592</v>
      </c>
      <c r="AB276" s="1430">
        <v>95811</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4" t="s">
        <v>2669</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16" t="s">
        <v>2670</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5" customHeight="1">
      <c r="D279" s="4" t="s">
        <v>90</v>
      </c>
      <c r="E279" s="4"/>
      <c r="F279" s="4"/>
      <c r="L279" s="1537" t="s">
        <v>2671</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2.95" customHeight="1">
      <c r="D280" s="3" t="s">
        <v>632</v>
      </c>
      <c r="E280" s="3"/>
      <c r="F280" s="3"/>
      <c r="G280" s="3"/>
      <c r="H280" s="3"/>
      <c r="I280" s="3"/>
      <c r="L280" s="1523" t="s">
        <v>2672</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6" t="s">
        <v>550</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32" t="s">
        <v>2673</v>
      </c>
      <c r="I287" s="1432"/>
      <c r="J287" s="1432"/>
      <c r="K287" s="1432"/>
      <c r="L287" s="1432"/>
      <c r="M287" s="1432"/>
      <c r="N287" s="1432"/>
      <c r="O287" s="1432"/>
      <c r="P287" s="1432"/>
      <c r="Q287" s="1432"/>
      <c r="R287" s="1432"/>
      <c r="T287" s="3" t="s">
        <v>576</v>
      </c>
      <c r="V287" s="3"/>
      <c r="W287" s="3"/>
      <c r="X287" s="3"/>
      <c r="Y287" s="3"/>
      <c r="AA287" s="1432" t="s">
        <v>2675</v>
      </c>
      <c r="AB287" s="1432"/>
      <c r="AC287" s="1432"/>
      <c r="AD287" s="1432"/>
      <c r="AE287" s="1432"/>
      <c r="AF287" s="1432"/>
      <c r="AG287" s="1432"/>
      <c r="AH287" s="1432"/>
      <c r="AI287" s="1432"/>
      <c r="AJ287" s="1432"/>
      <c r="AK287" s="1432"/>
      <c r="BN287" s="34"/>
    </row>
    <row r="288" spans="1:66" ht="12.95" customHeight="1">
      <c r="B288" s="3" t="s">
        <v>480</v>
      </c>
      <c r="C288" s="3"/>
      <c r="D288" s="3"/>
      <c r="E288" s="3"/>
      <c r="F288" s="3"/>
      <c r="H288" s="1431" t="s">
        <v>2652</v>
      </c>
      <c r="I288" s="1431"/>
      <c r="J288" s="1431"/>
      <c r="K288" s="1431"/>
      <c r="L288" s="1431"/>
      <c r="M288" s="1431"/>
      <c r="N288" s="1431"/>
      <c r="O288" s="1431"/>
      <c r="P288" s="1431"/>
      <c r="Q288" s="1431"/>
      <c r="R288" s="1431"/>
      <c r="T288" s="3" t="s">
        <v>480</v>
      </c>
      <c r="V288" s="3"/>
      <c r="W288" s="3"/>
      <c r="X288" s="3"/>
      <c r="Y288" s="3"/>
      <c r="AA288" s="1431" t="s">
        <v>2676</v>
      </c>
      <c r="AB288" s="1431"/>
      <c r="AC288" s="1431"/>
      <c r="AD288" s="1431"/>
      <c r="AE288" s="1431"/>
      <c r="AF288" s="1431"/>
      <c r="AG288" s="1431"/>
      <c r="AH288" s="1431"/>
      <c r="AI288" s="1431"/>
      <c r="AJ288" s="1431"/>
      <c r="AK288" s="1431"/>
      <c r="BN288" s="34"/>
    </row>
    <row r="289" spans="2:66" ht="12.95" customHeight="1">
      <c r="B289" s="3" t="s">
        <v>481</v>
      </c>
      <c r="C289" s="3"/>
      <c r="D289" s="3"/>
      <c r="E289" s="3"/>
      <c r="F289" s="3"/>
      <c r="H289" s="1431" t="s">
        <v>2674</v>
      </c>
      <c r="I289" s="1431"/>
      <c r="J289" s="1431"/>
      <c r="K289" s="1431"/>
      <c r="L289" s="1431"/>
      <c r="M289" s="1431"/>
      <c r="N289" s="1431"/>
      <c r="O289" s="1431"/>
      <c r="P289" s="1431"/>
      <c r="Q289" s="1431"/>
      <c r="R289" s="1431"/>
      <c r="T289" s="3" t="s">
        <v>75</v>
      </c>
      <c r="V289" s="3"/>
      <c r="W289" s="3"/>
      <c r="X289" s="3"/>
      <c r="Y289" s="3"/>
      <c r="AA289" s="1431" t="s">
        <v>2677</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2655</v>
      </c>
      <c r="I290" s="1431"/>
      <c r="J290" s="1431"/>
      <c r="K290" s="1431"/>
      <c r="L290" s="1431"/>
      <c r="M290" s="1431"/>
      <c r="N290" s="1431"/>
      <c r="O290" s="1431"/>
      <c r="P290" s="1431"/>
      <c r="Q290" s="1431"/>
      <c r="R290" s="1431"/>
      <c r="T290" s="3" t="s">
        <v>87</v>
      </c>
      <c r="V290" s="3"/>
      <c r="W290" s="3"/>
      <c r="X290" s="3"/>
      <c r="Y290" s="3"/>
      <c r="AA290" s="1431" t="s">
        <v>2678</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21" t="s">
        <v>2656</v>
      </c>
      <c r="I291" s="1522"/>
      <c r="J291" s="1522"/>
      <c r="K291" s="1522"/>
      <c r="L291" s="1522"/>
      <c r="M291" s="1522"/>
      <c r="N291" s="4" t="s">
        <v>207</v>
      </c>
      <c r="O291" s="4"/>
      <c r="P291" s="1430"/>
      <c r="Q291" s="1430"/>
      <c r="R291" s="1430"/>
      <c r="S291" s="3"/>
      <c r="T291" s="3" t="s">
        <v>88</v>
      </c>
      <c r="V291" s="3"/>
      <c r="W291" s="3"/>
      <c r="X291" s="3"/>
      <c r="Y291" s="3"/>
      <c r="AA291" s="1521" t="s">
        <v>2679</v>
      </c>
      <c r="AB291" s="1522"/>
      <c r="AC291" s="1522"/>
      <c r="AD291" s="1522"/>
      <c r="AE291" s="1522"/>
      <c r="AF291" s="1522"/>
      <c r="AG291" s="4" t="s">
        <v>207</v>
      </c>
      <c r="AH291" s="4"/>
      <c r="AI291" s="1430"/>
      <c r="AJ291" s="1430"/>
      <c r="AK291" s="1430"/>
      <c r="BN291" s="34"/>
    </row>
    <row r="292" spans="2:66" ht="12.95"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2657</v>
      </c>
      <c r="I293" s="1431"/>
      <c r="J293" s="1431"/>
      <c r="K293" s="1431"/>
      <c r="L293" s="1431"/>
      <c r="M293" s="1431"/>
      <c r="N293" s="1432"/>
      <c r="O293" s="1432"/>
      <c r="P293" s="1432"/>
      <c r="Q293" s="1432"/>
      <c r="R293" s="1432"/>
      <c r="S293" s="3"/>
      <c r="T293" s="3" t="s">
        <v>76</v>
      </c>
      <c r="V293" s="3"/>
      <c r="W293" s="3"/>
      <c r="X293" s="3"/>
      <c r="Y293" s="3"/>
      <c r="AA293" s="1431" t="s">
        <v>2680</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2" t="s">
        <v>2667</v>
      </c>
      <c r="I295" s="1432"/>
      <c r="J295" s="1432"/>
      <c r="K295" s="1432"/>
      <c r="L295" s="1432"/>
      <c r="M295" s="1432"/>
      <c r="N295" s="1432"/>
      <c r="O295" s="1432"/>
      <c r="P295" s="1432"/>
      <c r="Q295" s="1432"/>
      <c r="R295" s="1432"/>
      <c r="T295" s="3" t="s">
        <v>365</v>
      </c>
      <c r="V295" s="3"/>
      <c r="W295" s="3"/>
      <c r="X295" s="3"/>
      <c r="Y295" s="3"/>
      <c r="AA295" s="1432"/>
      <c r="AB295" s="1432"/>
      <c r="AC295" s="1432"/>
      <c r="AD295" s="1432"/>
      <c r="AE295" s="1432"/>
      <c r="AF295" s="1432"/>
      <c r="AG295" s="1432"/>
      <c r="AH295" s="1432"/>
      <c r="AI295" s="1432"/>
      <c r="AJ295" s="1432"/>
      <c r="AK295" s="1432"/>
      <c r="BN295" s="34"/>
    </row>
    <row r="296" spans="2:66" ht="12.95" customHeight="1">
      <c r="B296" s="3" t="s">
        <v>480</v>
      </c>
      <c r="C296" s="3"/>
      <c r="D296" s="3"/>
      <c r="E296" s="3"/>
      <c r="F296" s="3"/>
      <c r="H296" s="1431" t="s">
        <v>2668</v>
      </c>
      <c r="I296" s="1431"/>
      <c r="J296" s="1431"/>
      <c r="K296" s="1431"/>
      <c r="L296" s="1431"/>
      <c r="M296" s="1431"/>
      <c r="N296" s="1431"/>
      <c r="O296" s="1431"/>
      <c r="P296" s="1431"/>
      <c r="Q296" s="1431"/>
      <c r="R296" s="1431"/>
      <c r="T296" s="3" t="s">
        <v>480</v>
      </c>
      <c r="V296" s="3"/>
      <c r="W296" s="3"/>
      <c r="X296" s="3"/>
      <c r="Y296" s="3"/>
      <c r="AA296" s="1431"/>
      <c r="AB296" s="1431"/>
      <c r="AC296" s="1431"/>
      <c r="AD296" s="1431"/>
      <c r="AE296" s="1431"/>
      <c r="AF296" s="1431"/>
      <c r="AG296" s="1431"/>
      <c r="AH296" s="1431"/>
      <c r="AI296" s="1431"/>
      <c r="AJ296" s="1431"/>
      <c r="AK296" s="1431"/>
      <c r="BN296" s="34"/>
    </row>
    <row r="297" spans="2:66" ht="12.95" customHeight="1">
      <c r="B297" s="3" t="s">
        <v>481</v>
      </c>
      <c r="C297" s="3"/>
      <c r="D297" s="3"/>
      <c r="E297" s="3"/>
      <c r="F297" s="3"/>
      <c r="H297" s="1431" t="s">
        <v>2681</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2669</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21" t="s">
        <v>2682</v>
      </c>
      <c r="I299" s="1522"/>
      <c r="J299" s="1522"/>
      <c r="K299" s="1522"/>
      <c r="L299" s="1522"/>
      <c r="M299" s="1522"/>
      <c r="N299" s="4" t="s">
        <v>207</v>
      </c>
      <c r="O299" s="4"/>
      <c r="P299" s="1430"/>
      <c r="Q299" s="1430"/>
      <c r="R299" s="1430"/>
      <c r="S299" s="3"/>
      <c r="T299" s="3" t="s">
        <v>88</v>
      </c>
      <c r="V299" s="3"/>
      <c r="W299" s="3"/>
      <c r="X299" s="3"/>
      <c r="Y299" s="3"/>
      <c r="AA299" s="1522"/>
      <c r="AB299" s="1522"/>
      <c r="AC299" s="1522"/>
      <c r="AD299" s="1522"/>
      <c r="AE299" s="1522"/>
      <c r="AF299" s="1522"/>
      <c r="AG299" s="4" t="s">
        <v>207</v>
      </c>
      <c r="AH299" s="4"/>
      <c r="AI299" s="1430"/>
      <c r="AJ299" s="1430"/>
      <c r="AK299" s="1430"/>
      <c r="BN299" s="34"/>
    </row>
    <row r="300" spans="2:66" ht="12.95"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2671</v>
      </c>
      <c r="I301" s="1431"/>
      <c r="J301" s="1431"/>
      <c r="K301" s="1431"/>
      <c r="L301" s="1431"/>
      <c r="M301" s="1431"/>
      <c r="N301" s="1432"/>
      <c r="O301" s="1432"/>
      <c r="P301" s="1432"/>
      <c r="Q301" s="1432"/>
      <c r="R301" s="1432"/>
      <c r="S301" s="3"/>
      <c r="T301" s="3" t="s">
        <v>76</v>
      </c>
      <c r="V301" s="3"/>
      <c r="W301" s="3"/>
      <c r="X301" s="3"/>
      <c r="Y301" s="3"/>
      <c r="AA301" s="1431"/>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2667</v>
      </c>
      <c r="I303" s="1432"/>
      <c r="J303" s="1432"/>
      <c r="K303" s="1432"/>
      <c r="L303" s="1432"/>
      <c r="M303" s="1432"/>
      <c r="N303" s="1432"/>
      <c r="O303" s="1432"/>
      <c r="P303" s="1432"/>
      <c r="Q303" s="1432"/>
      <c r="R303" s="1432"/>
      <c r="T303" s="4" t="s">
        <v>891</v>
      </c>
      <c r="V303" s="3"/>
      <c r="W303" s="3"/>
      <c r="X303" s="3"/>
      <c r="Y303" s="3"/>
      <c r="AA303" s="1432"/>
      <c r="AB303" s="1432"/>
      <c r="AC303" s="1432"/>
      <c r="AD303" s="1432"/>
      <c r="AE303" s="1432"/>
      <c r="AF303" s="1432"/>
      <c r="AG303" s="1432"/>
      <c r="AH303" s="1432"/>
      <c r="AI303" s="1432"/>
      <c r="AJ303" s="1432"/>
      <c r="AK303" s="1432"/>
      <c r="BN303" s="34"/>
    </row>
    <row r="304" spans="2:66" ht="12.95" customHeight="1">
      <c r="B304" s="3" t="s">
        <v>480</v>
      </c>
      <c r="C304" s="3"/>
      <c r="D304" s="3"/>
      <c r="E304" s="3"/>
      <c r="F304" s="3"/>
      <c r="H304" s="1431" t="s">
        <v>2668</v>
      </c>
      <c r="I304" s="1431"/>
      <c r="J304" s="1431"/>
      <c r="K304" s="1431"/>
      <c r="L304" s="1431"/>
      <c r="M304" s="1431"/>
      <c r="N304" s="1431"/>
      <c r="O304" s="1431"/>
      <c r="P304" s="1431"/>
      <c r="Q304" s="1431"/>
      <c r="R304" s="1431"/>
      <c r="T304" s="3" t="s">
        <v>480</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481</v>
      </c>
      <c r="C305" s="3"/>
      <c r="D305" s="3"/>
      <c r="E305" s="3"/>
      <c r="F305" s="3"/>
      <c r="H305" s="1431" t="s">
        <v>2681</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2669</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21" t="s">
        <v>2682</v>
      </c>
      <c r="I307" s="1522"/>
      <c r="J307" s="1522"/>
      <c r="K307" s="1522"/>
      <c r="L307" s="1522"/>
      <c r="M307" s="1522"/>
      <c r="N307" s="4" t="s">
        <v>207</v>
      </c>
      <c r="O307" s="4"/>
      <c r="P307" s="1430"/>
      <c r="Q307" s="1430"/>
      <c r="R307" s="1430"/>
      <c r="S307" s="3"/>
      <c r="T307" s="3" t="s">
        <v>88</v>
      </c>
      <c r="V307" s="3"/>
      <c r="W307" s="3"/>
      <c r="X307" s="3"/>
      <c r="Y307" s="3"/>
      <c r="AA307" s="1522"/>
      <c r="AB307" s="1522"/>
      <c r="AC307" s="1522"/>
      <c r="AD307" s="1522"/>
      <c r="AE307" s="1522"/>
      <c r="AF307" s="1522"/>
      <c r="AG307" s="4" t="s">
        <v>207</v>
      </c>
      <c r="AH307" s="4"/>
      <c r="AI307" s="1430"/>
      <c r="AJ307" s="1430"/>
      <c r="AK307" s="1430"/>
      <c r="BN307" s="34"/>
    </row>
    <row r="308" spans="2:66" ht="12.95"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2671</v>
      </c>
      <c r="I309" s="1431"/>
      <c r="J309" s="1431"/>
      <c r="K309" s="1431"/>
      <c r="L309" s="1431"/>
      <c r="M309" s="1431"/>
      <c r="N309" s="1432"/>
      <c r="O309" s="1432"/>
      <c r="P309" s="1432"/>
      <c r="Q309" s="1432"/>
      <c r="R309" s="1432"/>
      <c r="S309" s="3"/>
      <c r="T309" s="3" t="s">
        <v>76</v>
      </c>
      <c r="V309" s="3"/>
      <c r="W309" s="3"/>
      <c r="X309" s="3"/>
      <c r="Y309" s="3"/>
      <c r="AA309" s="1431"/>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32" t="s">
        <v>2683</v>
      </c>
      <c r="I311" s="1432"/>
      <c r="J311" s="1432"/>
      <c r="K311" s="1432"/>
      <c r="L311" s="1432"/>
      <c r="M311" s="1432"/>
      <c r="N311" s="1432"/>
      <c r="O311" s="1432"/>
      <c r="P311" s="1432"/>
      <c r="Q311" s="1432"/>
      <c r="R311" s="1432"/>
      <c r="S311" s="3"/>
      <c r="T311" s="3" t="s">
        <v>366</v>
      </c>
      <c r="V311" s="3"/>
      <c r="W311" s="3"/>
      <c r="X311" s="3"/>
      <c r="Y311" s="3"/>
      <c r="AA311" s="1432" t="s">
        <v>2689</v>
      </c>
      <c r="AB311" s="1432"/>
      <c r="AC311" s="1432"/>
      <c r="AD311" s="1432"/>
      <c r="AE311" s="1432"/>
      <c r="AF311" s="1432"/>
      <c r="AG311" s="1432"/>
      <c r="AH311" s="1432"/>
      <c r="AI311" s="1432"/>
      <c r="AJ311" s="1432"/>
      <c r="AK311" s="1432"/>
      <c r="BN311" s="34"/>
    </row>
    <row r="312" spans="2:66" ht="12.95" customHeight="1">
      <c r="B312" s="3" t="s">
        <v>480</v>
      </c>
      <c r="C312" s="3"/>
      <c r="D312" s="3"/>
      <c r="E312" s="3"/>
      <c r="F312" s="3"/>
      <c r="H312" s="1431" t="s">
        <v>2684</v>
      </c>
      <c r="I312" s="1431"/>
      <c r="J312" s="1431"/>
      <c r="K312" s="1431"/>
      <c r="L312" s="1431"/>
      <c r="M312" s="1431"/>
      <c r="N312" s="1431"/>
      <c r="O312" s="1431"/>
      <c r="P312" s="1431"/>
      <c r="Q312" s="1431"/>
      <c r="R312" s="1431"/>
      <c r="S312" s="3"/>
      <c r="T312" s="3" t="s">
        <v>480</v>
      </c>
      <c r="V312" s="3"/>
      <c r="W312" s="3"/>
      <c r="X312" s="3"/>
      <c r="Y312" s="3"/>
      <c r="AA312" s="1431" t="s">
        <v>2690</v>
      </c>
      <c r="AB312" s="1431"/>
      <c r="AC312" s="1431"/>
      <c r="AD312" s="1431"/>
      <c r="AE312" s="1431"/>
      <c r="AF312" s="1431"/>
      <c r="AG312" s="1431"/>
      <c r="AH312" s="1431"/>
      <c r="AI312" s="1431"/>
      <c r="AJ312" s="1431"/>
      <c r="AK312" s="1431"/>
      <c r="BN312" s="34"/>
    </row>
    <row r="313" spans="2:66" ht="12.95" customHeight="1">
      <c r="B313" s="3" t="s">
        <v>481</v>
      </c>
      <c r="C313" s="3"/>
      <c r="D313" s="3"/>
      <c r="E313" s="3"/>
      <c r="F313" s="3"/>
      <c r="H313" s="1431" t="s">
        <v>2685</v>
      </c>
      <c r="I313" s="1431"/>
      <c r="J313" s="1431"/>
      <c r="K313" s="1431"/>
      <c r="L313" s="1431"/>
      <c r="M313" s="1431"/>
      <c r="N313" s="1431"/>
      <c r="O313" s="1431"/>
      <c r="P313" s="1431"/>
      <c r="Q313" s="1431"/>
      <c r="R313" s="1431"/>
      <c r="S313" s="3"/>
      <c r="T313" s="3" t="s">
        <v>75</v>
      </c>
      <c r="V313" s="3"/>
      <c r="W313" s="3"/>
      <c r="X313" s="3"/>
      <c r="Y313" s="3"/>
      <c r="AA313" s="1431" t="s">
        <v>2691</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2686</v>
      </c>
      <c r="I314" s="1431"/>
      <c r="J314" s="1431"/>
      <c r="K314" s="1431"/>
      <c r="L314" s="1431"/>
      <c r="M314" s="1431"/>
      <c r="N314" s="1431"/>
      <c r="O314" s="1431"/>
      <c r="P314" s="1431"/>
      <c r="Q314" s="1431"/>
      <c r="R314" s="1431"/>
      <c r="S314" s="3"/>
      <c r="T314" s="3" t="s">
        <v>87</v>
      </c>
      <c r="V314" s="3"/>
      <c r="W314" s="3"/>
      <c r="X314" s="3"/>
      <c r="Y314" s="3"/>
      <c r="AA314" s="1431" t="s">
        <v>2692</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1" t="s">
        <v>2687</v>
      </c>
      <c r="I315" s="1522"/>
      <c r="J315" s="1522"/>
      <c r="K315" s="1522"/>
      <c r="L315" s="1522"/>
      <c r="M315" s="1522"/>
      <c r="N315" s="4" t="s">
        <v>207</v>
      </c>
      <c r="O315" s="4"/>
      <c r="P315" s="1430"/>
      <c r="Q315" s="1430"/>
      <c r="R315" s="1430"/>
      <c r="S315" s="3"/>
      <c r="T315" s="3" t="s">
        <v>88</v>
      </c>
      <c r="V315" s="3"/>
      <c r="W315" s="3"/>
      <c r="X315" s="3"/>
      <c r="Y315" s="3"/>
      <c r="AA315" s="1521" t="s">
        <v>2693</v>
      </c>
      <c r="AB315" s="1522"/>
      <c r="AC315" s="1522"/>
      <c r="AD315" s="1522"/>
      <c r="AE315" s="1522"/>
      <c r="AF315" s="1522"/>
      <c r="AG315" s="4" t="s">
        <v>207</v>
      </c>
      <c r="AH315" s="4"/>
      <c r="AI315" s="1430"/>
      <c r="AJ315" s="1430"/>
      <c r="AK315" s="1430"/>
      <c r="BN315" s="34"/>
    </row>
    <row r="316" spans="2:66" ht="12.95"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2688</v>
      </c>
      <c r="I317" s="1431"/>
      <c r="J317" s="1431"/>
      <c r="K317" s="1431"/>
      <c r="L317" s="1431"/>
      <c r="M317" s="1431"/>
      <c r="N317" s="1432"/>
      <c r="O317" s="1432"/>
      <c r="P317" s="1432"/>
      <c r="Q317" s="1432"/>
      <c r="R317" s="1432"/>
      <c r="S317" s="3"/>
      <c r="T317" s="3" t="s">
        <v>76</v>
      </c>
      <c r="V317" s="3"/>
      <c r="W317" s="3"/>
      <c r="X317" s="3"/>
      <c r="Y317" s="3"/>
      <c r="AA317" s="1431" t="s">
        <v>2694</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924</v>
      </c>
      <c r="C319" s="3"/>
      <c r="D319" s="3"/>
      <c r="E319" s="3"/>
      <c r="F319" s="3"/>
      <c r="H319" s="1432" t="s">
        <v>2667</v>
      </c>
      <c r="I319" s="1432"/>
      <c r="J319" s="1432"/>
      <c r="K319" s="1432"/>
      <c r="L319" s="1432"/>
      <c r="M319" s="1432"/>
      <c r="N319" s="1432"/>
      <c r="O319" s="1432"/>
      <c r="P319" s="1432"/>
      <c r="Q319" s="1432"/>
      <c r="R319" s="1432"/>
      <c r="T319" s="3" t="s">
        <v>367</v>
      </c>
      <c r="V319" s="3"/>
      <c r="W319" s="3"/>
      <c r="X319" s="3"/>
      <c r="Y319" s="3"/>
      <c r="AA319" s="1432" t="s">
        <v>2695</v>
      </c>
      <c r="AB319" s="1432"/>
      <c r="AC319" s="1432"/>
      <c r="AD319" s="1432"/>
      <c r="AE319" s="1432"/>
      <c r="AF319" s="1432"/>
      <c r="AG319" s="1432"/>
      <c r="AH319" s="1432"/>
      <c r="AI319" s="1432"/>
      <c r="AJ319" s="1432"/>
      <c r="AK319" s="1432"/>
      <c r="BN319" s="34"/>
    </row>
    <row r="320" spans="2:66" ht="12.95" customHeight="1">
      <c r="B320" s="3" t="s">
        <v>480</v>
      </c>
      <c r="C320" s="3"/>
      <c r="D320" s="3"/>
      <c r="E320" s="3"/>
      <c r="F320" s="3"/>
      <c r="H320" s="1431" t="s">
        <v>2668</v>
      </c>
      <c r="I320" s="1431"/>
      <c r="J320" s="1431"/>
      <c r="K320" s="1431"/>
      <c r="L320" s="1431"/>
      <c r="M320" s="1431"/>
      <c r="N320" s="1431"/>
      <c r="O320" s="1431"/>
      <c r="P320" s="1431"/>
      <c r="Q320" s="1431"/>
      <c r="R320" s="1431"/>
      <c r="T320" s="3" t="s">
        <v>480</v>
      </c>
      <c r="V320" s="3"/>
      <c r="W320" s="3"/>
      <c r="X320" s="3"/>
      <c r="Y320" s="3"/>
      <c r="AA320" s="1431" t="s">
        <v>2696</v>
      </c>
      <c r="AB320" s="1431"/>
      <c r="AC320" s="1431"/>
      <c r="AD320" s="1431"/>
      <c r="AE320" s="1431"/>
      <c r="AF320" s="1431"/>
      <c r="AG320" s="1431"/>
      <c r="AH320" s="1431"/>
      <c r="AI320" s="1431"/>
      <c r="AJ320" s="1431"/>
      <c r="AK320" s="1431"/>
      <c r="BN320" s="34"/>
    </row>
    <row r="321" spans="2:66" ht="12.95" customHeight="1">
      <c r="B321" s="3" t="s">
        <v>481</v>
      </c>
      <c r="C321" s="3"/>
      <c r="D321" s="3"/>
      <c r="E321" s="3"/>
      <c r="F321" s="3"/>
      <c r="H321" s="1431" t="s">
        <v>2681</v>
      </c>
      <c r="I321" s="1431"/>
      <c r="J321" s="1431"/>
      <c r="K321" s="1431"/>
      <c r="L321" s="1431"/>
      <c r="M321" s="1431"/>
      <c r="N321" s="1431"/>
      <c r="O321" s="1431"/>
      <c r="P321" s="1431"/>
      <c r="Q321" s="1431"/>
      <c r="R321" s="1431"/>
      <c r="T321" s="3" t="s">
        <v>75</v>
      </c>
      <c r="V321" s="3"/>
      <c r="W321" s="3"/>
      <c r="X321" s="3"/>
      <c r="Y321" s="3"/>
      <c r="AA321" s="1431" t="s">
        <v>2697</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t="s">
        <v>2669</v>
      </c>
      <c r="I322" s="1431"/>
      <c r="J322" s="1431"/>
      <c r="K322" s="1431"/>
      <c r="L322" s="1431"/>
      <c r="M322" s="1431"/>
      <c r="N322" s="1431"/>
      <c r="O322" s="1431"/>
      <c r="P322" s="1431"/>
      <c r="Q322" s="1431"/>
      <c r="R322" s="1431"/>
      <c r="T322" s="3" t="s">
        <v>87</v>
      </c>
      <c r="V322" s="3"/>
      <c r="W322" s="3"/>
      <c r="X322" s="3"/>
      <c r="Y322" s="3"/>
      <c r="AA322" s="1431" t="s">
        <v>2698</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1" t="s">
        <v>2682</v>
      </c>
      <c r="I323" s="1522"/>
      <c r="J323" s="1522"/>
      <c r="K323" s="1522"/>
      <c r="L323" s="1522"/>
      <c r="M323" s="1522"/>
      <c r="N323" s="4" t="s">
        <v>207</v>
      </c>
      <c r="O323" s="4"/>
      <c r="P323" s="1430"/>
      <c r="Q323" s="1430"/>
      <c r="R323" s="1430"/>
      <c r="S323" s="3"/>
      <c r="T323" s="3" t="s">
        <v>88</v>
      </c>
      <c r="V323" s="3"/>
      <c r="W323" s="3"/>
      <c r="X323" s="3"/>
      <c r="Y323" s="3"/>
      <c r="AA323" s="1521" t="s">
        <v>2699</v>
      </c>
      <c r="AB323" s="1522"/>
      <c r="AC323" s="1522"/>
      <c r="AD323" s="1522"/>
      <c r="AE323" s="1522"/>
      <c r="AF323" s="1522"/>
      <c r="AG323" s="4" t="s">
        <v>207</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t="s">
        <v>2671</v>
      </c>
      <c r="I325" s="1431"/>
      <c r="J325" s="1431"/>
      <c r="K325" s="1431"/>
      <c r="L325" s="1431"/>
      <c r="M325" s="1431"/>
      <c r="N325" s="1432"/>
      <c r="O325" s="1432"/>
      <c r="P325" s="1432"/>
      <c r="Q325" s="1432"/>
      <c r="R325" s="1432"/>
      <c r="S325" s="3"/>
      <c r="T325" s="3" t="s">
        <v>76</v>
      </c>
      <c r="V325" s="3"/>
      <c r="W325" s="3"/>
      <c r="X325" s="3"/>
      <c r="Y325" s="3"/>
      <c r="AA325" s="1431" t="s">
        <v>2700</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2" t="s">
        <v>2748</v>
      </c>
      <c r="I327" s="1432"/>
      <c r="J327" s="1432"/>
      <c r="K327" s="1432"/>
      <c r="L327" s="1432"/>
      <c r="M327" s="1432"/>
      <c r="N327" s="1432"/>
      <c r="O327" s="1432"/>
      <c r="P327" s="1432"/>
      <c r="Q327" s="1432"/>
      <c r="R327" s="1432"/>
      <c r="T327" s="3" t="s">
        <v>369</v>
      </c>
      <c r="V327" s="3"/>
      <c r="W327" s="3"/>
      <c r="X327" s="3"/>
      <c r="Y327" s="3"/>
      <c r="AA327" s="1432"/>
      <c r="AB327" s="1432"/>
      <c r="AC327" s="1432"/>
      <c r="AD327" s="1432"/>
      <c r="AE327" s="1432"/>
      <c r="AF327" s="1432"/>
      <c r="AG327" s="1432"/>
      <c r="AH327" s="1432"/>
      <c r="AI327" s="1432"/>
      <c r="AJ327" s="1432"/>
      <c r="AK327" s="1432"/>
    </row>
    <row r="328" spans="2:66" ht="12.95" customHeight="1">
      <c r="B328" s="3" t="s">
        <v>480</v>
      </c>
      <c r="C328" s="3"/>
      <c r="D328" s="3"/>
      <c r="E328" s="3"/>
      <c r="F328" s="3"/>
      <c r="H328" s="1431" t="s">
        <v>2749</v>
      </c>
      <c r="I328" s="1431"/>
      <c r="J328" s="1431"/>
      <c r="K328" s="1431"/>
      <c r="L328" s="1431"/>
      <c r="M328" s="1431"/>
      <c r="N328" s="1431"/>
      <c r="O328" s="1431"/>
      <c r="P328" s="1431"/>
      <c r="Q328" s="1431"/>
      <c r="R328" s="1431"/>
      <c r="T328" s="3" t="s">
        <v>480</v>
      </c>
      <c r="V328" s="3"/>
      <c r="W328" s="3"/>
      <c r="X328" s="3"/>
      <c r="Y328" s="3"/>
      <c r="AA328" s="1431"/>
      <c r="AB328" s="1431"/>
      <c r="AC328" s="1431"/>
      <c r="AD328" s="1431"/>
      <c r="AE328" s="1431"/>
      <c r="AF328" s="1431"/>
      <c r="AG328" s="1431"/>
      <c r="AH328" s="1431"/>
      <c r="AI328" s="1431"/>
      <c r="AJ328" s="1431"/>
      <c r="AK328" s="1431"/>
    </row>
    <row r="329" spans="2:66" ht="12.95" customHeight="1">
      <c r="B329" s="3" t="s">
        <v>481</v>
      </c>
      <c r="C329" s="3"/>
      <c r="D329" s="3"/>
      <c r="E329" s="3"/>
      <c r="F329" s="3"/>
      <c r="H329" s="1431" t="s">
        <v>2750</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2751</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2">
        <v>2136133246</v>
      </c>
      <c r="I331" s="1522"/>
      <c r="J331" s="1522"/>
      <c r="K331" s="1522"/>
      <c r="L331" s="1522"/>
      <c r="M331" s="1522"/>
      <c r="N331" s="4" t="s">
        <v>207</v>
      </c>
      <c r="O331" s="4"/>
      <c r="P331" s="1430"/>
      <c r="Q331" s="1430"/>
      <c r="R331" s="1430"/>
      <c r="S331" s="3"/>
      <c r="T331" s="3" t="s">
        <v>88</v>
      </c>
      <c r="V331" s="3"/>
      <c r="W331" s="3"/>
      <c r="X331" s="3"/>
      <c r="Y331" s="3"/>
      <c r="AA331" s="1522"/>
      <c r="AB331" s="1522"/>
      <c r="AC331" s="1522"/>
      <c r="AD331" s="1522"/>
      <c r="AE331" s="1522"/>
      <c r="AF331" s="1522"/>
      <c r="AG331" s="4" t="s">
        <v>207</v>
      </c>
      <c r="AH331" s="4"/>
      <c r="AI331" s="1430"/>
      <c r="AJ331" s="1430"/>
      <c r="AK331" s="1430"/>
    </row>
    <row r="332" spans="2:66" ht="12.95" customHeight="1">
      <c r="B332" s="3" t="s">
        <v>89</v>
      </c>
      <c r="C332" s="3"/>
      <c r="D332" s="3"/>
      <c r="E332" s="3"/>
      <c r="F332" s="3"/>
      <c r="G332" s="3"/>
      <c r="H332" s="1435">
        <v>2136133005</v>
      </c>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2752</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2" t="s">
        <v>2701</v>
      </c>
      <c r="I335" s="1432"/>
      <c r="J335" s="1432"/>
      <c r="K335" s="1432"/>
      <c r="L335" s="1432"/>
      <c r="M335" s="1432"/>
      <c r="N335" s="1432"/>
      <c r="O335" s="1432"/>
      <c r="P335" s="1432"/>
      <c r="Q335" s="1432"/>
      <c r="R335" s="1432"/>
      <c r="T335" s="218" t="s">
        <v>900</v>
      </c>
      <c r="V335" s="3"/>
      <c r="W335" s="3"/>
      <c r="X335" s="3"/>
      <c r="Y335" s="3"/>
      <c r="AA335" s="1432" t="s">
        <v>2707</v>
      </c>
      <c r="AB335" s="1432"/>
      <c r="AC335" s="1432"/>
      <c r="AD335" s="1432"/>
      <c r="AE335" s="1432"/>
      <c r="AF335" s="1432"/>
      <c r="AG335" s="1432"/>
      <c r="AH335" s="1432"/>
      <c r="AI335" s="1432"/>
      <c r="AJ335" s="1432"/>
      <c r="AK335" s="1432"/>
    </row>
    <row r="336" spans="2:66" ht="12.95" customHeight="1">
      <c r="B336" s="3" t="s">
        <v>480</v>
      </c>
      <c r="C336" s="3"/>
      <c r="D336" s="3"/>
      <c r="E336" s="3"/>
      <c r="F336" s="3"/>
      <c r="H336" s="1431" t="s">
        <v>2702</v>
      </c>
      <c r="I336" s="1431"/>
      <c r="J336" s="1431"/>
      <c r="K336" s="1431"/>
      <c r="L336" s="1431"/>
      <c r="M336" s="1431"/>
      <c r="N336" s="1431"/>
      <c r="O336" s="1431"/>
      <c r="P336" s="1431"/>
      <c r="Q336" s="1431"/>
      <c r="R336" s="1431"/>
      <c r="T336" s="3" t="s">
        <v>480</v>
      </c>
      <c r="V336" s="3"/>
      <c r="W336" s="3"/>
      <c r="X336" s="3"/>
      <c r="Y336" s="3"/>
      <c r="AA336" s="1431" t="s">
        <v>2708</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2703</v>
      </c>
      <c r="I337" s="1431"/>
      <c r="J337" s="1431"/>
      <c r="K337" s="1431"/>
      <c r="L337" s="1431"/>
      <c r="M337" s="1431"/>
      <c r="N337" s="1431"/>
      <c r="O337" s="1431"/>
      <c r="P337" s="1431"/>
      <c r="Q337" s="1431"/>
      <c r="R337" s="1431"/>
      <c r="T337" s="3" t="s">
        <v>75</v>
      </c>
      <c r="V337" s="3"/>
      <c r="W337" s="3"/>
      <c r="X337" s="3"/>
      <c r="Y337" s="3"/>
      <c r="AA337" s="1431" t="s">
        <v>2709</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2704</v>
      </c>
      <c r="I338" s="1431"/>
      <c r="J338" s="1431"/>
      <c r="K338" s="1431"/>
      <c r="L338" s="1431"/>
      <c r="M338" s="1431"/>
      <c r="N338" s="1431"/>
      <c r="O338" s="1431"/>
      <c r="P338" s="1431"/>
      <c r="Q338" s="1431"/>
      <c r="R338" s="1431"/>
      <c r="T338" s="3" t="s">
        <v>87</v>
      </c>
      <c r="V338" s="3"/>
      <c r="W338" s="3"/>
      <c r="X338" s="3"/>
      <c r="Y338" s="3"/>
      <c r="AA338" s="1431" t="s">
        <v>2710</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1" t="s">
        <v>2705</v>
      </c>
      <c r="I339" s="1522"/>
      <c r="J339" s="1522"/>
      <c r="K339" s="1522"/>
      <c r="L339" s="1522"/>
      <c r="M339" s="1522"/>
      <c r="N339" s="4" t="s">
        <v>207</v>
      </c>
      <c r="O339" s="4"/>
      <c r="P339" s="1430"/>
      <c r="Q339" s="1430"/>
      <c r="R339" s="1430"/>
      <c r="S339" s="3"/>
      <c r="T339" s="3" t="s">
        <v>88</v>
      </c>
      <c r="V339" s="3"/>
      <c r="W339" s="3"/>
      <c r="X339" s="3"/>
      <c r="Y339" s="3"/>
      <c r="AA339" s="1521" t="s">
        <v>2711</v>
      </c>
      <c r="AB339" s="1522"/>
      <c r="AC339" s="1522"/>
      <c r="AD339" s="1522"/>
      <c r="AE339" s="1522"/>
      <c r="AF339" s="1522"/>
      <c r="AG339" s="4" t="s">
        <v>207</v>
      </c>
      <c r="AH339" s="4"/>
      <c r="AI339" s="1430"/>
      <c r="AJ339" s="1430"/>
      <c r="AK339" s="1430"/>
    </row>
    <row r="340" spans="1:66" ht="12.95" customHeight="1">
      <c r="B340" s="3" t="s">
        <v>89</v>
      </c>
      <c r="C340" s="3"/>
      <c r="D340" s="3"/>
      <c r="E340" s="3"/>
      <c r="F340" s="3"/>
      <c r="G340" s="3"/>
      <c r="H340" s="1435"/>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2.95" customHeight="1">
      <c r="B341" s="3" t="s">
        <v>76</v>
      </c>
      <c r="C341" s="3"/>
      <c r="D341" s="3"/>
      <c r="E341" s="3"/>
      <c r="F341" s="3"/>
      <c r="G341" s="3"/>
      <c r="H341" s="1431" t="s">
        <v>2706</v>
      </c>
      <c r="I341" s="1431"/>
      <c r="J341" s="1431"/>
      <c r="K341" s="1431"/>
      <c r="L341" s="1431"/>
      <c r="M341" s="1431"/>
      <c r="N341" s="1432"/>
      <c r="O341" s="1432"/>
      <c r="P341" s="1432"/>
      <c r="Q341" s="1432"/>
      <c r="R341" s="1432"/>
      <c r="S341" s="3"/>
      <c r="T341" s="3" t="s">
        <v>76</v>
      </c>
      <c r="V341" s="3"/>
      <c r="W341" s="3"/>
      <c r="X341" s="3"/>
      <c r="Y341" s="3"/>
      <c r="AA341" s="1431"/>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32"/>
      <c r="Q343" s="1432"/>
      <c r="R343" s="1432"/>
      <c r="S343" s="1432"/>
      <c r="T343" s="1432"/>
      <c r="U343" s="1432"/>
      <c r="V343" s="1432"/>
      <c r="W343" s="1432"/>
      <c r="X343" s="1432"/>
      <c r="Y343" s="1432"/>
      <c r="Z343" s="1432"/>
      <c r="AA343" s="1432"/>
      <c r="AB343" s="1432"/>
      <c r="AC343" s="1432"/>
      <c r="AD343" s="1432"/>
      <c r="AE343" s="1432"/>
      <c r="BN343" t="s">
        <v>678</v>
      </c>
    </row>
    <row r="344" spans="1:66" ht="12.95"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6" t="s">
        <v>551</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18" t="s">
        <v>554</v>
      </c>
      <c r="N355" s="1418"/>
      <c r="P355" t="s">
        <v>1762</v>
      </c>
      <c r="AJ355" s="1418" t="s">
        <v>600</v>
      </c>
      <c r="AK355" s="1418"/>
    </row>
    <row r="356" spans="1:46" ht="12.95" customHeight="1">
      <c r="D356" s="3" t="s">
        <v>1751</v>
      </c>
      <c r="M356" s="1418" t="s">
        <v>600</v>
      </c>
      <c r="N356" s="1418"/>
      <c r="P356" s="3" t="s">
        <v>1908</v>
      </c>
      <c r="AJ356" s="1424"/>
      <c r="AK356" s="1424"/>
    </row>
    <row r="357" spans="1:46" ht="12.95" customHeight="1">
      <c r="D357" s="3" t="s">
        <v>714</v>
      </c>
      <c r="M357" s="1418" t="s">
        <v>600</v>
      </c>
      <c r="N357" s="1418"/>
      <c r="P357" t="s">
        <v>1761</v>
      </c>
      <c r="AJ357" s="1418" t="s">
        <v>600</v>
      </c>
      <c r="AK357" s="1418"/>
    </row>
    <row r="358" spans="1:46" ht="12.95" customHeight="1">
      <c r="D358" s="3" t="s">
        <v>715</v>
      </c>
      <c r="M358" s="1418" t="s">
        <v>600</v>
      </c>
      <c r="N358" s="1418"/>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8" t="s">
        <v>600</v>
      </c>
      <c r="O363" s="1418"/>
      <c r="P363" s="40"/>
      <c r="Q363" s="40"/>
      <c r="R363" s="40"/>
      <c r="S363" s="40"/>
      <c r="T363" s="40"/>
      <c r="U363" s="40"/>
      <c r="V363" s="40"/>
      <c r="W363" s="40"/>
      <c r="X363" s="40"/>
      <c r="Y363" s="40"/>
      <c r="Z363" s="40"/>
      <c r="AC363" s="40"/>
      <c r="AD363" s="40"/>
      <c r="AE363" s="40"/>
    </row>
    <row r="364" spans="1:46" ht="12.95" customHeight="1">
      <c r="E364" t="s">
        <v>371</v>
      </c>
      <c r="Y364" s="1418" t="s">
        <v>600</v>
      </c>
      <c r="Z364" s="1418"/>
    </row>
    <row r="365" spans="1:46" ht="12.95" customHeight="1">
      <c r="D365" s="4" t="s">
        <v>998</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8" t="s">
        <v>600</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457</v>
      </c>
      <c r="F370" s="4"/>
      <c r="G370" s="4"/>
      <c r="H370" s="4"/>
      <c r="I370" s="4"/>
      <c r="J370" s="4"/>
      <c r="K370" s="4"/>
      <c r="L370" s="4"/>
      <c r="N370" s="1417"/>
      <c r="O370" s="1417"/>
      <c r="P370" s="1417"/>
      <c r="Q370" s="1417"/>
      <c r="R370" s="4"/>
      <c r="U370" s="4" t="s">
        <v>458</v>
      </c>
      <c r="V370" s="4"/>
      <c r="W370" s="4"/>
      <c r="X370" s="4"/>
      <c r="Y370" s="4"/>
      <c r="Z370" s="4"/>
      <c r="AA370" s="4"/>
      <c r="AB370" s="4"/>
      <c r="AC370" s="1417"/>
      <c r="AD370" s="1417"/>
      <c r="AE370" s="1417"/>
      <c r="AF370" s="1417"/>
    </row>
    <row r="371" spans="1:34" ht="12.95" customHeight="1">
      <c r="E371" s="4" t="s">
        <v>459</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38"/>
      <c r="T377" s="1438"/>
      <c r="U377" s="1" t="s">
        <v>307</v>
      </c>
      <c r="V377" s="1438"/>
      <c r="W377" s="1438"/>
      <c r="Y377" t="s">
        <v>2395</v>
      </c>
      <c r="AC377" s="27" t="s">
        <v>306</v>
      </c>
      <c r="AD377" s="1438"/>
      <c r="AE377" s="1438"/>
      <c r="AF377" s="1" t="s">
        <v>307</v>
      </c>
      <c r="AG377" s="1438"/>
      <c r="AH377" s="1438"/>
    </row>
    <row r="378" spans="1:34" ht="12.95" customHeight="1">
      <c r="E378" s="4" t="s">
        <v>1012</v>
      </c>
      <c r="F378" s="4"/>
      <c r="G378" s="4"/>
      <c r="H378" s="4"/>
      <c r="I378" s="4"/>
      <c r="J378" s="4"/>
      <c r="K378" s="4"/>
      <c r="L378" s="4"/>
      <c r="N378" s="1438"/>
      <c r="O378" s="1438"/>
      <c r="P378" s="1438"/>
    </row>
    <row r="379" spans="1:34" ht="12.95" customHeight="1">
      <c r="E379" s="218" t="s">
        <v>2401</v>
      </c>
      <c r="F379" s="4"/>
      <c r="G379" s="4"/>
      <c r="H379" s="4"/>
      <c r="I379" s="4"/>
      <c r="J379" s="4"/>
      <c r="K379" s="4"/>
      <c r="L379" s="4"/>
      <c r="AG379" s="1532" t="s">
        <v>600</v>
      </c>
      <c r="AH379" s="1532"/>
    </row>
    <row r="380" spans="1:34" ht="12.95" customHeight="1">
      <c r="E380" s="4"/>
      <c r="F380" s="4"/>
      <c r="G380" s="4" t="s">
        <v>2402</v>
      </c>
      <c r="H380" s="4"/>
      <c r="I380" s="4"/>
      <c r="J380" s="4"/>
      <c r="K380" s="4"/>
      <c r="L380" s="4"/>
      <c r="AG380" s="1532" t="s">
        <v>600</v>
      </c>
      <c r="AH380" s="1532"/>
    </row>
    <row r="381" spans="1:34" ht="12.95" customHeight="1">
      <c r="E381" s="4"/>
      <c r="F381" s="4"/>
      <c r="G381" s="348" t="s">
        <v>1013</v>
      </c>
      <c r="H381" s="4"/>
      <c r="I381" s="4"/>
      <c r="J381" s="4"/>
      <c r="K381" s="4"/>
      <c r="L381" s="4"/>
      <c r="V381" s="1418" t="s">
        <v>600</v>
      </c>
      <c r="W381" s="1418"/>
      <c r="Y381" s="22" t="s">
        <v>1000</v>
      </c>
    </row>
    <row r="382" spans="1:34" ht="12.95" customHeight="1">
      <c r="E382" s="4" t="s">
        <v>1001</v>
      </c>
      <c r="F382" s="4"/>
      <c r="G382" s="4"/>
      <c r="H382" s="4"/>
      <c r="I382" s="4"/>
      <c r="J382" s="4"/>
      <c r="K382" s="4"/>
      <c r="L382" s="4"/>
      <c r="V382" s="1418" t="s">
        <v>600</v>
      </c>
      <c r="W382" s="1418"/>
      <c r="Y382" s="4" t="s">
        <v>1002</v>
      </c>
    </row>
    <row r="383" spans="1:34" ht="12.95" customHeight="1"/>
    <row r="384" spans="1:34" ht="12.95" customHeight="1">
      <c r="A384" s="2" t="s">
        <v>78</v>
      </c>
      <c r="B384" s="2"/>
    </row>
    <row r="385" spans="4:36" ht="12.95" customHeight="1">
      <c r="D385" t="s">
        <v>429</v>
      </c>
      <c r="J385" s="1432" t="s">
        <v>2712</v>
      </c>
      <c r="K385" s="1432"/>
      <c r="L385" s="1432"/>
      <c r="M385" s="1432"/>
      <c r="N385" s="1432"/>
      <c r="O385" s="1432"/>
      <c r="P385" s="1432"/>
      <c r="Q385" s="1432"/>
      <c r="R385" s="1432"/>
      <c r="S385" s="1432"/>
      <c r="T385" s="1432"/>
      <c r="U385" s="1432"/>
      <c r="V385" s="8" t="s">
        <v>83</v>
      </c>
      <c r="W385" s="8"/>
      <c r="X385" s="8"/>
      <c r="Y385" s="8"/>
      <c r="Z385" s="8"/>
      <c r="AA385" s="8"/>
      <c r="AB385" s="8"/>
      <c r="AC385" s="1432" t="s">
        <v>2713</v>
      </c>
      <c r="AD385" s="1432"/>
      <c r="AE385" s="1432"/>
      <c r="AF385" s="1432"/>
      <c r="AG385" s="1432"/>
      <c r="AH385" s="1432"/>
      <c r="AI385" s="1432"/>
      <c r="AJ385" s="1432"/>
    </row>
    <row r="386" spans="4:36" ht="12.95" customHeight="1">
      <c r="D386" s="3" t="s">
        <v>1289</v>
      </c>
      <c r="J386" s="1431" t="s">
        <v>2713</v>
      </c>
      <c r="K386" s="1431"/>
      <c r="L386" s="1431"/>
      <c r="M386" s="1431"/>
      <c r="N386" s="1431"/>
      <c r="O386" s="1431"/>
      <c r="P386" s="1431"/>
      <c r="Q386" s="1431"/>
      <c r="R386" s="1431"/>
      <c r="S386" s="1431"/>
      <c r="T386" s="1431"/>
      <c r="U386" s="1431"/>
      <c r="V386" s="3" t="s">
        <v>1289</v>
      </c>
      <c r="W386" s="8"/>
      <c r="X386" s="8"/>
      <c r="Y386" s="8"/>
      <c r="Z386" s="8"/>
      <c r="AA386" s="8"/>
      <c r="AB386" s="8"/>
      <c r="AC386" s="1432"/>
      <c r="AD386" s="1432"/>
      <c r="AE386" s="1432"/>
      <c r="AF386" s="1432"/>
      <c r="AG386" s="1432"/>
      <c r="AH386" s="1432"/>
      <c r="AI386" s="1432"/>
      <c r="AJ386" s="1432"/>
    </row>
    <row r="387" spans="4:36" ht="12.95" customHeight="1">
      <c r="D387" s="3" t="s">
        <v>444</v>
      </c>
      <c r="J387" s="1431" t="s">
        <v>2714</v>
      </c>
      <c r="K387" s="1431"/>
      <c r="L387" s="1431"/>
      <c r="M387" s="1431"/>
      <c r="N387" s="1431"/>
      <c r="O387" s="1431"/>
      <c r="P387" s="1431"/>
      <c r="Q387" s="1431"/>
      <c r="R387" s="1431"/>
      <c r="S387" s="1431"/>
      <c r="T387" s="1431"/>
      <c r="U387" s="1431"/>
      <c r="V387" s="3" t="s">
        <v>444</v>
      </c>
      <c r="W387" s="8"/>
      <c r="X387" s="8"/>
      <c r="Y387" s="8"/>
      <c r="Z387" s="8"/>
      <c r="AA387" s="8"/>
      <c r="AB387" s="8"/>
      <c r="AC387" s="1432"/>
      <c r="AD387" s="1432"/>
      <c r="AE387" s="1432"/>
      <c r="AF387" s="1432"/>
      <c r="AG387" s="1432"/>
      <c r="AH387" s="1432"/>
      <c r="AI387" s="1432"/>
      <c r="AJ387" s="1432"/>
    </row>
    <row r="388" spans="4:36" ht="12.95" customHeight="1">
      <c r="D388" t="s">
        <v>1285</v>
      </c>
      <c r="J388" s="1421" t="s">
        <v>2715</v>
      </c>
      <c r="K388" s="1421"/>
      <c r="L388" s="1421"/>
      <c r="M388" s="1421"/>
      <c r="N388" s="1421"/>
      <c r="O388" s="1421"/>
      <c r="P388" s="1421"/>
      <c r="Q388" s="1421"/>
      <c r="R388" s="1421"/>
      <c r="S388" s="1421"/>
      <c r="T388" s="1421"/>
      <c r="U388" s="1421"/>
      <c r="V388" s="1432" t="s">
        <v>2674</v>
      </c>
      <c r="W388" s="1432"/>
      <c r="X388" s="1432"/>
      <c r="Y388" s="1432"/>
      <c r="Z388" s="1432"/>
      <c r="AA388" s="1432"/>
      <c r="AB388" s="1432"/>
      <c r="AC388" s="1432"/>
      <c r="AD388" s="1432"/>
      <c r="AE388" s="1432"/>
      <c r="AF388" s="1432"/>
      <c r="AG388" s="1432"/>
      <c r="AH388" s="1432"/>
      <c r="AI388" s="1432"/>
      <c r="AJ388" s="1432"/>
    </row>
    <row r="389" spans="4:36" ht="12.95" customHeight="1">
      <c r="D389" t="s">
        <v>4</v>
      </c>
      <c r="Q389" s="1729">
        <v>45383</v>
      </c>
      <c r="R389" s="1729"/>
      <c r="S389" s="1729"/>
      <c r="T389" s="1729"/>
      <c r="U389" s="1729"/>
      <c r="V389" t="s">
        <v>310</v>
      </c>
      <c r="AI389" s="1418" t="s">
        <v>554</v>
      </c>
      <c r="AJ389" s="1418"/>
    </row>
    <row r="390" spans="4:36" ht="12.95" customHeight="1">
      <c r="D390" t="s">
        <v>5</v>
      </c>
      <c r="Q390" s="1608">
        <v>46113</v>
      </c>
      <c r="R390" s="1726"/>
      <c r="S390" s="1726"/>
      <c r="T390" s="1726"/>
      <c r="U390" s="1726"/>
      <c r="W390" s="21" t="s">
        <v>74</v>
      </c>
      <c r="AG390" s="1433"/>
      <c r="AH390" s="1433"/>
      <c r="AI390" s="1433"/>
      <c r="AJ390" s="1433"/>
    </row>
    <row r="391" spans="4:36" ht="12.95" customHeight="1">
      <c r="D391" t="s">
        <v>428</v>
      </c>
      <c r="Q391" s="1644" t="s">
        <v>2716</v>
      </c>
      <c r="R391" s="1725"/>
      <c r="S391" s="1725"/>
      <c r="T391" s="1725"/>
      <c r="U391" s="1725"/>
      <c r="V391" s="3" t="s">
        <v>1288</v>
      </c>
      <c r="AG391" s="1530">
        <v>45689</v>
      </c>
      <c r="AH391" s="1530"/>
      <c r="AI391" s="1530"/>
      <c r="AJ391" s="1530"/>
    </row>
    <row r="392" spans="4:36" ht="12.95" customHeight="1">
      <c r="D392" t="s">
        <v>88</v>
      </c>
      <c r="I392" s="1521" t="s">
        <v>2656</v>
      </c>
      <c r="J392" s="1522"/>
      <c r="K392" s="1522"/>
      <c r="L392" s="1522"/>
      <c r="M392" s="1522"/>
      <c r="N392" s="1522"/>
      <c r="Q392" s="4" t="s">
        <v>207</v>
      </c>
      <c r="S392" s="1728"/>
      <c r="T392" s="1728"/>
      <c r="U392" s="1728"/>
      <c r="V392" t="s">
        <v>73</v>
      </c>
      <c r="AI392" s="1418" t="s">
        <v>678</v>
      </c>
      <c r="AJ392" s="1418"/>
    </row>
    <row r="393" spans="4:36" ht="12.95" customHeight="1">
      <c r="D393" t="s">
        <v>311</v>
      </c>
      <c r="Q393" s="1531"/>
      <c r="R393" s="1531"/>
      <c r="S393" s="1531"/>
      <c r="T393" s="1531"/>
      <c r="U393" s="1531"/>
      <c r="V393" t="s">
        <v>312</v>
      </c>
      <c r="AG393" s="1433"/>
      <c r="AH393" s="1433"/>
      <c r="AI393" s="1433"/>
      <c r="AJ393" s="1433"/>
    </row>
    <row r="394" spans="4:36" ht="12.95" customHeight="1">
      <c r="D394" t="s">
        <v>313</v>
      </c>
      <c r="Q394" s="1578">
        <v>0.01</v>
      </c>
      <c r="R394" s="1578"/>
      <c r="S394" s="1578"/>
      <c r="T394" s="1578"/>
      <c r="U394" s="1578"/>
      <c r="V394" t="s">
        <v>1269</v>
      </c>
      <c r="AG394" s="1433"/>
      <c r="AH394" s="1433"/>
      <c r="AI394" s="1433"/>
      <c r="AJ394" s="1433"/>
    </row>
    <row r="395" spans="4:36" ht="12.95" customHeight="1">
      <c r="D395" t="s">
        <v>1268</v>
      </c>
      <c r="AG395" s="1433"/>
      <c r="AH395" s="1433"/>
      <c r="AI395" s="1433"/>
      <c r="AJ395" s="1433"/>
    </row>
    <row r="396" spans="4:36" ht="12.95" customHeight="1">
      <c r="AG396" s="490"/>
      <c r="AH396" s="490"/>
      <c r="AI396" s="490"/>
      <c r="AJ396" s="490"/>
    </row>
    <row r="397" spans="4:36" ht="12.95" customHeight="1">
      <c r="D397" s="3" t="s">
        <v>2501</v>
      </c>
      <c r="AG397" s="490"/>
      <c r="AH397" s="490"/>
      <c r="AI397" s="1418" t="s">
        <v>678</v>
      </c>
      <c r="AJ397" s="1418"/>
    </row>
    <row r="398" spans="4:36" ht="12.95" customHeight="1">
      <c r="D398" s="3" t="s">
        <v>1780</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1779</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1773</v>
      </c>
      <c r="S401" s="1415" t="s">
        <v>554</v>
      </c>
      <c r="T401" s="1415"/>
      <c r="U401" s="1415"/>
      <c r="V401" t="s">
        <v>1774</v>
      </c>
      <c r="AG401" s="1439">
        <v>65</v>
      </c>
      <c r="AH401" s="1439"/>
      <c r="AI401" s="1439"/>
      <c r="AJ401" s="1439"/>
    </row>
    <row r="402" spans="1:36" ht="12.95" customHeight="1">
      <c r="D402" s="3" t="s">
        <v>1771</v>
      </c>
      <c r="S402" s="1415" t="s">
        <v>554</v>
      </c>
      <c r="T402" s="1415"/>
      <c r="U402" s="1415"/>
      <c r="V402" t="s">
        <v>1776</v>
      </c>
      <c r="AE402" s="1444">
        <v>1200000</v>
      </c>
      <c r="AF402" s="1444"/>
      <c r="AG402" s="1444"/>
      <c r="AH402" s="1444"/>
      <c r="AI402" s="1444"/>
      <c r="AJ402" s="1444"/>
    </row>
    <row r="403" spans="1:36" ht="12.95" customHeight="1">
      <c r="D403" s="3" t="s">
        <v>1772</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1775</v>
      </c>
      <c r="K404" s="1466" t="s">
        <v>2717</v>
      </c>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1778</v>
      </c>
      <c r="E405" s="511"/>
      <c r="F405" s="511"/>
      <c r="G405" s="511"/>
      <c r="H405" s="511"/>
      <c r="I405" s="511"/>
      <c r="J405" s="511"/>
      <c r="K405" s="511"/>
      <c r="L405" s="511"/>
      <c r="M405" s="511"/>
      <c r="N405" s="511"/>
      <c r="O405" s="511"/>
      <c r="P405" s="511"/>
      <c r="Q405" s="511"/>
      <c r="R405" s="511"/>
      <c r="S405" s="1517" t="s">
        <v>2718</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524" t="s">
        <v>2719</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18" t="s">
        <v>554</v>
      </c>
      <c r="S411" s="1418"/>
      <c r="AC411" s="27" t="s">
        <v>579</v>
      </c>
      <c r="AD411" s="1417">
        <v>7</v>
      </c>
      <c r="AE411" s="1417"/>
    </row>
    <row r="412" spans="1:36" ht="12.95" customHeight="1">
      <c r="E412" t="s">
        <v>107</v>
      </c>
      <c r="R412" s="1418" t="s">
        <v>600</v>
      </c>
      <c r="S412" s="1418"/>
      <c r="AC412" s="27" t="s">
        <v>579</v>
      </c>
      <c r="AD412" s="1417"/>
      <c r="AE412" s="1417"/>
    </row>
    <row r="413" spans="1:36" ht="12.95" customHeight="1">
      <c r="E413" t="s">
        <v>108</v>
      </c>
      <c r="S413" s="1418" t="s">
        <v>600</v>
      </c>
      <c r="T413" s="1418"/>
    </row>
    <row r="414" spans="1:36" ht="12.95" customHeight="1">
      <c r="E414" t="s">
        <v>170</v>
      </c>
      <c r="H414" s="1464" t="s">
        <v>335</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599</v>
      </c>
      <c r="B417" s="2"/>
      <c r="C417" s="2"/>
      <c r="D417" s="2" t="s">
        <v>114</v>
      </c>
      <c r="AF417" s="2" t="s">
        <v>977</v>
      </c>
    </row>
    <row r="418" spans="1:39" ht="12.95" customHeight="1">
      <c r="E418" s="1438"/>
      <c r="F418" s="1438"/>
      <c r="G418" s="1438"/>
      <c r="H418" s="13" t="s">
        <v>115</v>
      </c>
      <c r="I418" s="1438"/>
      <c r="J418" s="1438"/>
      <c r="K418" s="1438"/>
      <c r="L418" t="s">
        <v>116</v>
      </c>
      <c r="N418" s="27" t="s">
        <v>584</v>
      </c>
      <c r="P418" s="1727">
        <v>0.67</v>
      </c>
      <c r="Q418" s="1727"/>
      <c r="R418" s="1727"/>
      <c r="S418" t="s">
        <v>117</v>
      </c>
      <c r="W418" s="1398">
        <f>IF(E418&gt;0,(E418*I418),(P418*43560))</f>
        <v>29185.200000000001</v>
      </c>
      <c r="X418" s="1398"/>
      <c r="Y418" s="1398"/>
      <c r="Z418" t="s">
        <v>118</v>
      </c>
      <c r="AF418" s="1724">
        <f>IFERROR(IF(P418&gt;0,(AG437/P418),(AG437/(W418/43560))),0)</f>
        <v>182.08955223880596</v>
      </c>
      <c r="AG418" s="1724"/>
      <c r="AH418" s="1724"/>
      <c r="AM418" s="3"/>
    </row>
    <row r="419" spans="1:39" ht="12.95" customHeight="1">
      <c r="E419" t="s">
        <v>51</v>
      </c>
    </row>
    <row r="420" spans="1:39" ht="12.95"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2.95" customHeight="1">
      <c r="E421" s="118" t="s">
        <v>1925</v>
      </c>
      <c r="F421" s="1048"/>
      <c r="G421" s="1048"/>
      <c r="H421" s="1048"/>
      <c r="I421" s="1576">
        <v>0.67</v>
      </c>
      <c r="J421" s="1576"/>
      <c r="K421" s="1576"/>
      <c r="L421" s="1048"/>
      <c r="M421" s="118"/>
      <c r="N421" s="1048"/>
      <c r="O421" s="1048"/>
      <c r="P421" s="1839">
        <f>(CS634+CS642+CS658)/I421</f>
        <v>352.23880597014926</v>
      </c>
      <c r="Q421" s="1839"/>
      <c r="R421" s="183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18">
        <v>1</v>
      </c>
      <c r="Q424" s="1418"/>
      <c r="S424" t="s">
        <v>190</v>
      </c>
      <c r="AE424" s="1418">
        <v>1</v>
      </c>
      <c r="AF424" s="1418"/>
    </row>
    <row r="425" spans="1:39" ht="12.95" customHeight="1">
      <c r="E425" t="s">
        <v>191</v>
      </c>
      <c r="P425" s="1418">
        <v>0</v>
      </c>
      <c r="Q425" s="1418"/>
      <c r="S425" t="s">
        <v>131</v>
      </c>
      <c r="AE425" s="1418" t="s">
        <v>600</v>
      </c>
      <c r="AF425" s="1418"/>
    </row>
    <row r="426" spans="1:39" ht="12.95" customHeight="1">
      <c r="F426" s="28" t="s">
        <v>132</v>
      </c>
    </row>
    <row r="427" spans="1:39" ht="12.9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617</v>
      </c>
      <c r="P429" s="1"/>
      <c r="Q429" s="1418" t="s">
        <v>678</v>
      </c>
      <c r="R429" s="1418"/>
    </row>
    <row r="430" spans="1:39" ht="12.95" customHeight="1">
      <c r="F430" t="s">
        <v>618</v>
      </c>
      <c r="P430" s="1"/>
      <c r="Q430" s="1"/>
      <c r="AF430" s="1418" t="s">
        <v>600</v>
      </c>
      <c r="AG430" s="1463"/>
    </row>
    <row r="431" spans="1:39" ht="12.95" customHeight="1"/>
    <row r="432" spans="1:39" ht="12.95" customHeight="1">
      <c r="A432" s="2"/>
      <c r="B432" s="2"/>
      <c r="C432" s="2"/>
      <c r="E432" s="4" t="s">
        <v>309</v>
      </c>
      <c r="Z432" s="1418" t="s">
        <v>678</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18" t="s">
        <v>600</v>
      </c>
      <c r="AA434" s="1418"/>
    </row>
    <row r="435" spans="1:110" ht="12.95" customHeight="1"/>
    <row r="436" spans="1:110" ht="12.95" customHeight="1">
      <c r="A436" s="2" t="s">
        <v>476</v>
      </c>
      <c r="B436" s="2"/>
      <c r="C436" s="2"/>
      <c r="D436" s="2" t="s">
        <v>774</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122</v>
      </c>
      <c r="AH437" s="1429"/>
      <c r="AI437" s="1429"/>
      <c r="AJ437" s="1429"/>
    </row>
    <row r="438" spans="1:110" ht="12.95"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1">
        <v>0</v>
      </c>
      <c r="AH438" s="1442"/>
      <c r="AI438" s="1442"/>
      <c r="AJ438" s="1442"/>
    </row>
    <row r="439" spans="1:110" ht="12.95"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121</v>
      </c>
      <c r="AH439" s="1429"/>
      <c r="AI439" s="1429"/>
      <c r="AJ439" s="1429"/>
    </row>
    <row r="440" spans="1:110" ht="12.95"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121</v>
      </c>
      <c r="AH440" s="1429"/>
      <c r="AI440" s="1429"/>
      <c r="AJ440" s="1429"/>
    </row>
    <row r="441" spans="1:110" ht="12.95"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89323</v>
      </c>
      <c r="AH442" s="1402"/>
      <c r="AI442" s="1402"/>
      <c r="AJ442" s="1402"/>
    </row>
    <row r="443" spans="1:110" ht="12.95"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89323</v>
      </c>
      <c r="AH443" s="1402"/>
      <c r="AI443" s="1402"/>
      <c r="AJ443" s="1402"/>
    </row>
    <row r="444" spans="1:110" ht="12.95"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2403</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18091</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1064</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60">
        <f>AG442+AG446+AG448+AG449</f>
        <v>107414</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1313</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758081.15573770495</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758081.15573770495</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691869.59836065571</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2417</v>
      </c>
      <c r="E465" s="1427"/>
      <c r="F465" s="1427"/>
      <c r="G465" s="1427"/>
      <c r="H465" s="1427"/>
      <c r="I465" s="1427"/>
      <c r="J465" s="1427"/>
      <c r="K465" s="1427"/>
      <c r="L465" s="1427"/>
      <c r="M465" s="1427"/>
      <c r="N465" s="1427"/>
      <c r="O465" s="1427"/>
      <c r="P465" s="1427"/>
      <c r="Q465" s="1427"/>
      <c r="R465" s="1427"/>
      <c r="S465" s="1427"/>
      <c r="T465" s="1427"/>
      <c r="U465" s="1427"/>
      <c r="V465" s="1428"/>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703</v>
      </c>
      <c r="E466" s="1427"/>
      <c r="F466" s="1427"/>
      <c r="G466" s="1427"/>
      <c r="H466" s="1427"/>
      <c r="I466" s="1427"/>
      <c r="J466" s="1427"/>
      <c r="K466" s="1427"/>
      <c r="L466" s="1427"/>
      <c r="M466" s="1427"/>
      <c r="N466" s="1427"/>
      <c r="O466" s="1427"/>
      <c r="P466" s="1427"/>
      <c r="Q466" s="1427"/>
      <c r="R466" s="1427"/>
      <c r="S466" s="1427"/>
      <c r="T466" s="1427"/>
      <c r="U466" s="1427"/>
      <c r="V466" s="1428"/>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704</v>
      </c>
      <c r="E467" s="1427"/>
      <c r="F467" s="1427"/>
      <c r="G467" s="1427"/>
      <c r="H467" s="1427"/>
      <c r="I467" s="1427"/>
      <c r="J467" s="1427"/>
      <c r="K467" s="1427"/>
      <c r="L467" s="1427"/>
      <c r="M467" s="1427"/>
      <c r="N467" s="1427"/>
      <c r="O467" s="1427"/>
      <c r="P467" s="1427"/>
      <c r="Q467" s="1427"/>
      <c r="R467" s="1427"/>
      <c r="S467" s="1427"/>
      <c r="T467" s="1427"/>
      <c r="U467" s="1427"/>
      <c r="V467" s="1428"/>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705</v>
      </c>
      <c r="E468" s="1427"/>
      <c r="F468" s="1427"/>
      <c r="G468" s="1427"/>
      <c r="H468" s="1427"/>
      <c r="I468" s="1427"/>
      <c r="J468" s="1427"/>
      <c r="K468" s="1427"/>
      <c r="L468" s="1427"/>
      <c r="M468" s="1427"/>
      <c r="N468" s="1427"/>
      <c r="O468" s="1427"/>
      <c r="P468" s="1427"/>
      <c r="Q468" s="1427"/>
      <c r="R468" s="1427"/>
      <c r="S468" s="1427"/>
      <c r="T468" s="1427"/>
      <c r="U468" s="1427"/>
      <c r="V468" s="1428"/>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894</v>
      </c>
      <c r="E469" s="1427"/>
      <c r="F469" s="1427"/>
      <c r="G469" s="1427"/>
      <c r="H469" s="1427"/>
      <c r="I469" s="1427"/>
      <c r="J469" s="1427"/>
      <c r="K469" s="1427"/>
      <c r="L469" s="1427"/>
      <c r="M469" s="1427"/>
      <c r="N469" s="1427"/>
      <c r="O469" s="1427"/>
      <c r="P469" s="1427"/>
      <c r="Q469" s="1427"/>
      <c r="R469" s="1427"/>
      <c r="S469" s="1427"/>
      <c r="T469" s="1427"/>
      <c r="U469" s="1427"/>
      <c r="V469" s="1428"/>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706</v>
      </c>
      <c r="E470" s="1427"/>
      <c r="F470" s="1427"/>
      <c r="G470" s="1427"/>
      <c r="H470" s="1427"/>
      <c r="I470" s="1427"/>
      <c r="J470" s="1427"/>
      <c r="K470" s="1427"/>
      <c r="L470" s="1427"/>
      <c r="M470" s="1427"/>
      <c r="N470" s="1427"/>
      <c r="O470" s="1427"/>
      <c r="P470" s="1427"/>
      <c r="Q470" s="1427"/>
      <c r="R470" s="1427"/>
      <c r="S470" s="1427"/>
      <c r="T470" s="1427"/>
      <c r="U470" s="1427"/>
      <c r="V470" s="1428"/>
      <c r="W470" s="1445">
        <v>0</v>
      </c>
      <c r="X470" s="1446"/>
      <c r="Y470" s="144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1037</v>
      </c>
      <c r="E471" s="1427"/>
      <c r="F471" s="1427"/>
      <c r="G471" s="1427"/>
      <c r="H471" s="1427"/>
      <c r="I471" s="1427"/>
      <c r="J471" s="1427"/>
      <c r="K471" s="1427"/>
      <c r="L471" s="1427"/>
      <c r="M471" s="1427"/>
      <c r="N471" s="1427"/>
      <c r="O471" s="1427"/>
      <c r="P471" s="1427"/>
      <c r="Q471" s="1427"/>
      <c r="R471" s="1427"/>
      <c r="S471" s="1427"/>
      <c r="T471" s="1427"/>
      <c r="U471" s="1427"/>
      <c r="V471" s="1428"/>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2552</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1766</v>
      </c>
      <c r="E473" s="1427"/>
      <c r="F473" s="1427"/>
      <c r="G473" s="1427"/>
      <c r="H473" s="1427"/>
      <c r="I473" s="1427"/>
      <c r="J473" s="1427"/>
      <c r="K473" s="1427"/>
      <c r="L473" s="1427"/>
      <c r="M473" s="1427"/>
      <c r="N473" s="1427"/>
      <c r="O473" s="1427"/>
      <c r="P473" s="1427"/>
      <c r="Q473" s="1427"/>
      <c r="R473" s="1427"/>
      <c r="S473" s="1427"/>
      <c r="T473" s="1427"/>
      <c r="U473" s="1427"/>
      <c r="V473" s="1428"/>
      <c r="W473" s="1445">
        <v>0</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3"/>
      <c r="H474" s="1534"/>
      <c r="I474" s="1534"/>
      <c r="J474" s="1534"/>
      <c r="K474" s="1534"/>
      <c r="L474" s="1534"/>
      <c r="M474" s="1534"/>
      <c r="N474" s="1534"/>
      <c r="O474" s="1534"/>
      <c r="P474" s="1534"/>
      <c r="Q474" s="1534"/>
      <c r="R474" s="1534"/>
      <c r="S474" s="1534"/>
      <c r="T474" s="1534"/>
      <c r="U474" s="1534"/>
      <c r="V474" s="1535"/>
      <c r="W474" s="1445">
        <v>0</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820</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394</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48" t="s">
        <v>2720</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48" t="s">
        <v>2721</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48" t="s">
        <v>2722</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7" t="s">
        <v>398</v>
      </c>
      <c r="C489" s="1468"/>
      <c r="D489" s="1468"/>
      <c r="E489" s="1468"/>
      <c r="F489" s="1468"/>
      <c r="G489" s="1468"/>
      <c r="H489" s="1468"/>
      <c r="I489" s="1468"/>
      <c r="J489" s="1468"/>
      <c r="K489" s="1468"/>
      <c r="L489" s="1468"/>
      <c r="M489" s="1468"/>
      <c r="N489" s="1468"/>
      <c r="O489" s="1468"/>
      <c r="P489" s="1469"/>
      <c r="Q489" s="1473" t="s">
        <v>678</v>
      </c>
      <c r="R489" s="1474"/>
      <c r="S489" s="1497" t="s">
        <v>166</v>
      </c>
      <c r="T489" s="1498"/>
      <c r="U489" s="1498"/>
      <c r="V489" s="1498"/>
      <c r="W489" s="1498"/>
      <c r="X489" s="1498"/>
      <c r="Y489" s="1498"/>
      <c r="Z489" s="1498"/>
      <c r="AA489" s="1498"/>
      <c r="AB489" s="1498"/>
      <c r="AC489" s="1498"/>
      <c r="AD489" s="1498"/>
      <c r="AE489" s="1498"/>
      <c r="AF489" s="1498"/>
      <c r="AG489" s="1498"/>
      <c r="AH489" s="1498"/>
      <c r="AI489" s="1498"/>
      <c r="AJ489" s="1498"/>
      <c r="AK489" s="149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0"/>
      <c r="C490" s="1471"/>
      <c r="D490" s="1471"/>
      <c r="E490" s="1471"/>
      <c r="F490" s="1471"/>
      <c r="G490" s="1471"/>
      <c r="H490" s="1471"/>
      <c r="I490" s="1471"/>
      <c r="J490" s="1471"/>
      <c r="K490" s="1471"/>
      <c r="L490" s="1471"/>
      <c r="M490" s="1471"/>
      <c r="N490" s="1471"/>
      <c r="O490" s="1471"/>
      <c r="P490" s="1472"/>
      <c r="Q490" s="1475"/>
      <c r="R490" s="1476"/>
      <c r="S490" s="1500"/>
      <c r="T490" s="1462"/>
      <c r="U490" s="1462"/>
      <c r="V490" s="1462"/>
      <c r="W490" s="1462"/>
      <c r="X490" s="1462"/>
      <c r="Y490" s="1462"/>
      <c r="Z490" s="1462"/>
      <c r="AA490" s="1462"/>
      <c r="AB490" s="1462"/>
      <c r="AC490" s="1462"/>
      <c r="AD490" s="1462"/>
      <c r="AE490" s="1462"/>
      <c r="AF490" s="1462"/>
      <c r="AG490" s="1462"/>
      <c r="AH490" s="1462"/>
      <c r="AI490" s="1462"/>
      <c r="AJ490" s="1462"/>
      <c r="AK490" s="150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52" t="s">
        <v>678</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48" t="s">
        <v>2723</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48" t="s">
        <v>2724</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48" t="s">
        <v>2724</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3"/>
      <c r="N495" s="1424"/>
      <c r="O495" s="1424"/>
      <c r="P495" s="1425"/>
      <c r="Q495" s="121" t="s">
        <v>1783</v>
      </c>
      <c r="R495" s="5"/>
      <c r="S495" s="5"/>
      <c r="T495" s="5"/>
      <c r="U495" s="5"/>
      <c r="V495" s="5"/>
      <c r="W495" s="5"/>
      <c r="X495" s="5"/>
      <c r="Y495" s="5"/>
      <c r="Z495" s="5"/>
      <c r="AA495" s="5"/>
      <c r="AB495" s="5"/>
      <c r="AC495" s="5"/>
      <c r="AD495" s="5"/>
      <c r="AE495" s="5"/>
      <c r="AF495" s="5"/>
      <c r="AG495" s="5"/>
      <c r="AH495" s="1423"/>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402</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403</v>
      </c>
      <c r="AD500" s="1456"/>
      <c r="AE500" s="1456"/>
      <c r="AF500" s="1456"/>
      <c r="AG500" s="50" t="s">
        <v>404</v>
      </c>
      <c r="AH500" s="1456" t="s">
        <v>405</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t="s">
        <v>600</v>
      </c>
      <c r="AD501" s="1417"/>
      <c r="AE501" s="1417"/>
      <c r="AF501" s="1417"/>
      <c r="AG501" s="13" t="s">
        <v>404</v>
      </c>
      <c r="AH501" s="1421">
        <v>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600</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412</v>
      </c>
      <c r="AC505" s="1416" t="s">
        <v>600</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413</v>
      </c>
      <c r="AC506" s="1416" t="s">
        <v>600</v>
      </c>
      <c r="AD506" s="1417"/>
      <c r="AE506" s="1417"/>
      <c r="AF506" s="141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414</v>
      </c>
      <c r="AC507" s="1353">
        <v>6</v>
      </c>
      <c r="AD507" s="1354"/>
      <c r="AE507" s="1354"/>
      <c r="AF507" s="1354"/>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79"/>
      <c r="AC508" s="1416" t="s">
        <v>600</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29" t="s">
        <v>1291</v>
      </c>
      <c r="AD509" s="1429"/>
      <c r="AE509" s="1429"/>
      <c r="AF509" s="1429"/>
      <c r="AG509" s="13"/>
      <c r="AH509" s="1303"/>
      <c r="AI509" s="1303"/>
      <c r="AJ509" s="1303"/>
      <c r="AK509" s="148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3"/>
      <c r="AI510" s="1303"/>
      <c r="AJ510" s="1303"/>
      <c r="AK510" s="148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87"/>
      <c r="AD512" s="1488"/>
      <c r="AE512" s="1488"/>
      <c r="AF512" s="1489"/>
      <c r="AG512" s="38"/>
      <c r="AH512" s="1490"/>
      <c r="AI512" s="1490"/>
      <c r="AJ512" s="1490"/>
      <c r="AK512" s="149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5" t="s">
        <v>403</v>
      </c>
      <c r="AD513" s="1477"/>
      <c r="AE513" s="1477"/>
      <c r="AF513" s="1477"/>
      <c r="AG513" s="38" t="s">
        <v>404</v>
      </c>
      <c r="AH513" s="1477" t="s">
        <v>405</v>
      </c>
      <c r="AI513" s="1477"/>
      <c r="AJ513" s="1477"/>
      <c r="AK513" s="147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7</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3</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417</v>
      </c>
      <c r="AC518" s="1416">
        <v>4</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3"/>
      <c r="C519" s="1484"/>
      <c r="D519" s="1484"/>
      <c r="E519" s="1484"/>
      <c r="F519" s="1484"/>
      <c r="G519" s="1484"/>
      <c r="H519" s="1485"/>
      <c r="I519" s="48" t="s">
        <v>418</v>
      </c>
      <c r="J519" s="48"/>
      <c r="K519" s="48"/>
      <c r="L519" s="48"/>
      <c r="M519" s="48"/>
      <c r="N519" s="48"/>
      <c r="O519" s="48"/>
      <c r="P519" s="48"/>
      <c r="Q519" s="48"/>
      <c r="R519" s="48"/>
      <c r="S519" s="48"/>
      <c r="T519" s="48"/>
      <c r="U519" s="48"/>
      <c r="V519" s="48"/>
      <c r="W519" s="48"/>
      <c r="X519" s="48"/>
      <c r="Y519" s="48"/>
      <c r="Z519" s="48"/>
      <c r="AA519" s="48"/>
      <c r="AB519" s="48"/>
      <c r="AC519" s="1416">
        <v>12</v>
      </c>
      <c r="AD519" s="1417"/>
      <c r="AE519" s="1417"/>
      <c r="AF519" s="1417"/>
      <c r="AG519" s="38" t="s">
        <v>404</v>
      </c>
      <c r="AH519" s="1421">
        <v>2027</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420</v>
      </c>
      <c r="C520" s="1409"/>
      <c r="D520" s="1409"/>
      <c r="E520" s="1409"/>
      <c r="F520" s="1409"/>
      <c r="G520" s="1409"/>
      <c r="H520" s="1410"/>
      <c r="I520" s="41" t="s">
        <v>421</v>
      </c>
      <c r="J520" s="42"/>
      <c r="K520" s="42"/>
      <c r="L520" s="42"/>
      <c r="M520" s="42"/>
      <c r="N520" s="42"/>
      <c r="O520" s="1414" t="s">
        <v>335</v>
      </c>
      <c r="P520" s="1415"/>
      <c r="Q520" s="1415"/>
      <c r="R520" s="1415"/>
      <c r="S520" s="1415"/>
      <c r="T520" s="1415"/>
      <c r="U520" s="1415"/>
      <c r="V520" s="1415"/>
      <c r="W520" s="1415"/>
      <c r="X520" s="1415"/>
      <c r="Y520" s="1415"/>
      <c r="Z520" s="1415"/>
      <c r="AA520" s="1415"/>
      <c r="AB520" s="58"/>
      <c r="AC520" s="1353" t="s">
        <v>600</v>
      </c>
      <c r="AD520" s="1354"/>
      <c r="AE520" s="1354"/>
      <c r="AF520" s="1354"/>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422</v>
      </c>
      <c r="AB521" s="65"/>
      <c r="AC521" s="1416" t="s">
        <v>600</v>
      </c>
      <c r="AD521" s="1417"/>
      <c r="AE521" s="1417"/>
      <c r="AF521" s="1417"/>
      <c r="AG521" s="13" t="s">
        <v>404</v>
      </c>
      <c r="AH521" s="1421"/>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t="s">
        <v>600</v>
      </c>
      <c r="AD522" s="1417"/>
      <c r="AE522" s="1417"/>
      <c r="AF522" s="1417"/>
      <c r="AG522" s="38" t="s">
        <v>404</v>
      </c>
      <c r="AH522" s="1421"/>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424</v>
      </c>
      <c r="J523" s="42"/>
      <c r="K523" s="42"/>
      <c r="L523" s="42"/>
      <c r="M523" s="42"/>
      <c r="N523" s="42"/>
      <c r="O523" s="1414" t="s">
        <v>335</v>
      </c>
      <c r="P523" s="1415"/>
      <c r="Q523" s="1415"/>
      <c r="R523" s="1415"/>
      <c r="S523" s="1415"/>
      <c r="T523" s="1415"/>
      <c r="U523" s="1415"/>
      <c r="V523" s="1415"/>
      <c r="W523" s="1415"/>
      <c r="X523" s="1415"/>
      <c r="Y523" s="1415"/>
      <c r="Z523" s="1415"/>
      <c r="AA523" s="1415"/>
      <c r="AC523" s="1416" t="s">
        <v>600</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422</v>
      </c>
      <c r="AC524" s="1416" t="s">
        <v>600</v>
      </c>
      <c r="AD524" s="1417"/>
      <c r="AE524" s="1417"/>
      <c r="AF524" s="1417"/>
      <c r="AG524" s="13" t="s">
        <v>404</v>
      </c>
      <c r="AH524" s="1421"/>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t="s">
        <v>600</v>
      </c>
      <c r="AD525" s="1417"/>
      <c r="AE525" s="1417"/>
      <c r="AF525" s="1417"/>
      <c r="AG525" s="38" t="s">
        <v>404</v>
      </c>
      <c r="AH525" s="1421"/>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600</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422</v>
      </c>
      <c r="AC527" s="1416" t="s">
        <v>600</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600</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10</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572</v>
      </c>
      <c r="AC539" s="1416">
        <v>6</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573</v>
      </c>
      <c r="AC540" s="1416">
        <v>6</v>
      </c>
      <c r="AD540" s="1417"/>
      <c r="AE540" s="1417"/>
      <c r="AF540" s="1417"/>
      <c r="AG540" s="38" t="s">
        <v>404</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574</v>
      </c>
      <c r="AC541" s="1416">
        <v>6</v>
      </c>
      <c r="AD541" s="1417"/>
      <c r="AE541" s="1417"/>
      <c r="AF541" s="1417"/>
      <c r="AG541" s="38" t="s">
        <v>404</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3"/>
      <c r="C542" s="1484"/>
      <c r="D542" s="1484"/>
      <c r="E542" s="1484"/>
      <c r="F542" s="1484"/>
      <c r="G542" s="1484"/>
      <c r="H542" s="1485"/>
      <c r="I542" s="48" t="s">
        <v>460</v>
      </c>
      <c r="J542" s="48"/>
      <c r="K542" s="48"/>
      <c r="L542" s="48"/>
      <c r="M542" s="48"/>
      <c r="N542" s="48"/>
      <c r="O542" s="48"/>
      <c r="P542" s="48"/>
      <c r="Q542" s="48"/>
      <c r="R542" s="48"/>
      <c r="S542" s="48"/>
      <c r="T542" s="48"/>
      <c r="U542" s="48"/>
      <c r="V542" s="48"/>
      <c r="W542" s="48"/>
      <c r="X542" s="48"/>
      <c r="Y542" s="48"/>
      <c r="Z542" s="48"/>
      <c r="AA542" s="48"/>
      <c r="AB542" s="48"/>
      <c r="AC542" s="1416">
        <v>9</v>
      </c>
      <c r="AD542" s="1417"/>
      <c r="AE542" s="1417"/>
      <c r="AF542" s="141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2421</v>
      </c>
      <c r="C551" s="1409"/>
      <c r="D551" s="1409"/>
      <c r="E551" s="1409"/>
      <c r="F551" s="1409"/>
      <c r="G551" s="1409"/>
      <c r="H551" s="1409"/>
      <c r="I551" s="1409"/>
      <c r="J551" s="1409"/>
      <c r="K551" s="1409"/>
      <c r="L551" s="1410"/>
      <c r="M551" s="1408" t="s">
        <v>2422</v>
      </c>
      <c r="N551" s="1409"/>
      <c r="O551" s="1409"/>
      <c r="P551" s="1410"/>
      <c r="Q551" s="1408" t="s">
        <v>2448</v>
      </c>
      <c r="R551" s="1409"/>
      <c r="S551" s="1410"/>
      <c r="T551" s="1408" t="s">
        <v>2449</v>
      </c>
      <c r="U551" s="1409"/>
      <c r="V551" s="1410"/>
      <c r="W551" s="1408" t="s">
        <v>462</v>
      </c>
      <c r="X551" s="1409"/>
      <c r="Y551" s="1410"/>
      <c r="Z551" s="1408" t="s">
        <v>2042</v>
      </c>
      <c r="AA551" s="1409"/>
      <c r="AB551" s="1409"/>
      <c r="AC551" s="1409"/>
      <c r="AD551" s="1410"/>
      <c r="AE551" s="1408" t="s">
        <v>1864</v>
      </c>
      <c r="AF551" s="1409"/>
      <c r="AG551" s="1409"/>
      <c r="AH551" s="1410"/>
      <c r="AI551" s="1408" t="s">
        <v>1865</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3"/>
      <c r="C553" s="1484"/>
      <c r="D553" s="1484"/>
      <c r="E553" s="1484"/>
      <c r="F553" s="1484"/>
      <c r="G553" s="1484"/>
      <c r="H553" s="1484"/>
      <c r="I553" s="1484"/>
      <c r="J553" s="1484"/>
      <c r="K553" s="1484"/>
      <c r="L553" s="1485"/>
      <c r="M553" s="1483"/>
      <c r="N553" s="1484"/>
      <c r="O553" s="1484"/>
      <c r="P553" s="1485"/>
      <c r="Q553" s="1483"/>
      <c r="R553" s="1484"/>
      <c r="S553" s="1485"/>
      <c r="T553" s="1483"/>
      <c r="U553" s="1484"/>
      <c r="V553" s="1485"/>
      <c r="W553" s="1483"/>
      <c r="X553" s="1484"/>
      <c r="Y553" s="1485"/>
      <c r="Z553" s="1483"/>
      <c r="AA553" s="1484"/>
      <c r="AB553" s="1484"/>
      <c r="AC553" s="1484"/>
      <c r="AD553" s="1485"/>
      <c r="AE553" s="1483"/>
      <c r="AF553" s="1484"/>
      <c r="AG553" s="1484"/>
      <c r="AH553" s="1485"/>
      <c r="AI553" s="1483"/>
      <c r="AJ553" s="1484"/>
      <c r="AK553" s="1484"/>
      <c r="AL553" s="1485"/>
      <c r="AM553" s="1483"/>
      <c r="AN553" s="1484"/>
      <c r="AO553" s="1484"/>
      <c r="AP553" s="1484"/>
      <c r="AQ553" s="1484"/>
      <c r="AR553" s="1484"/>
      <c r="AS553" s="148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2" t="s">
        <v>2725</v>
      </c>
      <c r="D554" s="1502"/>
      <c r="E554" s="1502"/>
      <c r="F554" s="1502"/>
      <c r="G554" s="1502"/>
      <c r="H554" s="1502"/>
      <c r="I554" s="1502"/>
      <c r="J554" s="1502"/>
      <c r="K554" s="1502"/>
      <c r="L554" s="1502"/>
      <c r="M554" s="1502" t="s">
        <v>2438</v>
      </c>
      <c r="N554" s="1502"/>
      <c r="O554" s="1502"/>
      <c r="P554" s="1502"/>
      <c r="Q554" s="1481">
        <v>24</v>
      </c>
      <c r="R554" s="1481"/>
      <c r="S554" s="1482"/>
      <c r="T554" s="1480"/>
      <c r="U554" s="1481"/>
      <c r="V554" s="1482"/>
      <c r="W554" s="1507">
        <v>7.0000000000000007E-2</v>
      </c>
      <c r="X554" s="1508"/>
      <c r="Y554" s="1509"/>
      <c r="Z554" s="1496" t="s">
        <v>2753</v>
      </c>
      <c r="AA554" s="1496"/>
      <c r="AB554" s="1496"/>
      <c r="AC554" s="1496"/>
      <c r="AD554" s="1496"/>
      <c r="AE554" s="1504">
        <v>1</v>
      </c>
      <c r="AF554" s="1505"/>
      <c r="AG554" s="1505"/>
      <c r="AH554" s="1506"/>
      <c r="AI554" s="1492"/>
      <c r="AJ554" s="1493"/>
      <c r="AK554" s="1493"/>
      <c r="AL554" s="1494"/>
      <c r="AM554" s="1399">
        <v>47767550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3" t="s">
        <v>2725</v>
      </c>
      <c r="D555" s="1503"/>
      <c r="E555" s="1503"/>
      <c r="F555" s="1503"/>
      <c r="G555" s="1503"/>
      <c r="H555" s="1503"/>
      <c r="I555" s="1503"/>
      <c r="J555" s="1503"/>
      <c r="K555" s="1503"/>
      <c r="L555" s="1503"/>
      <c r="M555" s="1502" t="s">
        <v>2439</v>
      </c>
      <c r="N555" s="1502"/>
      <c r="O555" s="1502"/>
      <c r="P555" s="1502"/>
      <c r="Q555" s="1480">
        <v>24</v>
      </c>
      <c r="R555" s="1481"/>
      <c r="S555" s="1482"/>
      <c r="T555" s="1480"/>
      <c r="U555" s="1481"/>
      <c r="V555" s="1482"/>
      <c r="W555" s="1507">
        <v>7.0000000000000007E-2</v>
      </c>
      <c r="X555" s="1508"/>
      <c r="Y555" s="1509"/>
      <c r="Z555" s="1496" t="s">
        <v>2753</v>
      </c>
      <c r="AA555" s="1496"/>
      <c r="AB555" s="1496"/>
      <c r="AC555" s="1496"/>
      <c r="AD555" s="1496"/>
      <c r="AE555" s="1504">
        <v>1</v>
      </c>
      <c r="AF555" s="1505"/>
      <c r="AG555" s="1505"/>
      <c r="AH555" s="1506"/>
      <c r="AI555" s="1492"/>
      <c r="AJ555" s="1493"/>
      <c r="AK555" s="1493"/>
      <c r="AL555" s="1494"/>
      <c r="AM555" s="1399">
        <v>297885</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3" t="s">
        <v>2765</v>
      </c>
      <c r="D556" s="1503"/>
      <c r="E556" s="1503"/>
      <c r="F556" s="1503"/>
      <c r="G556" s="1503"/>
      <c r="H556" s="1503"/>
      <c r="I556" s="1503"/>
      <c r="J556" s="1503"/>
      <c r="K556" s="1503"/>
      <c r="L556" s="1503"/>
      <c r="M556" s="1502" t="s">
        <v>2439</v>
      </c>
      <c r="N556" s="1502"/>
      <c r="O556" s="1502"/>
      <c r="P556" s="1502"/>
      <c r="Q556" s="1480">
        <v>24</v>
      </c>
      <c r="R556" s="1481"/>
      <c r="S556" s="1482"/>
      <c r="T556" s="1480"/>
      <c r="U556" s="1481"/>
      <c r="V556" s="1482"/>
      <c r="W556" s="1507">
        <v>7.6999999999999999E-2</v>
      </c>
      <c r="X556" s="1508"/>
      <c r="Y556" s="1509"/>
      <c r="Z556" s="1496" t="s">
        <v>2753</v>
      </c>
      <c r="AA556" s="1496"/>
      <c r="AB556" s="1496"/>
      <c r="AC556" s="1496"/>
      <c r="AD556" s="1496"/>
      <c r="AE556" s="1504">
        <v>2</v>
      </c>
      <c r="AF556" s="1505"/>
      <c r="AG556" s="1505"/>
      <c r="AH556" s="1506"/>
      <c r="AI556" s="1492"/>
      <c r="AJ556" s="1493"/>
      <c r="AK556" s="1493"/>
      <c r="AL556" s="1494"/>
      <c r="AM556" s="1399">
        <v>7563417</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503" t="s">
        <v>2765</v>
      </c>
      <c r="D557" s="1503"/>
      <c r="E557" s="1503"/>
      <c r="F557" s="1503"/>
      <c r="G557" s="1503"/>
      <c r="H557" s="1503"/>
      <c r="I557" s="1503"/>
      <c r="J557" s="1503"/>
      <c r="K557" s="1503"/>
      <c r="L557" s="1503"/>
      <c r="M557" s="1502" t="s">
        <v>2437</v>
      </c>
      <c r="N557" s="1502"/>
      <c r="O557" s="1502"/>
      <c r="P557" s="1502"/>
      <c r="Q557" s="1480"/>
      <c r="R557" s="1481"/>
      <c r="S557" s="1482"/>
      <c r="T557" s="1480"/>
      <c r="U557" s="1481"/>
      <c r="V557" s="1482"/>
      <c r="W557" s="1507">
        <v>0.09</v>
      </c>
      <c r="X557" s="1508"/>
      <c r="Y557" s="1509"/>
      <c r="Z557" s="1496" t="s">
        <v>1291</v>
      </c>
      <c r="AA557" s="1496"/>
      <c r="AB557" s="1496"/>
      <c r="AC557" s="1496"/>
      <c r="AD557" s="1496"/>
      <c r="AE557" s="1504">
        <v>3</v>
      </c>
      <c r="AF557" s="1505"/>
      <c r="AG557" s="1505"/>
      <c r="AH557" s="1506"/>
      <c r="AI557" s="1492"/>
      <c r="AJ557" s="1493"/>
      <c r="AK557" s="1493"/>
      <c r="AL557" s="1494"/>
      <c r="AM557" s="1399">
        <v>16899893</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503" t="s">
        <v>2689</v>
      </c>
      <c r="D558" s="1503"/>
      <c r="E558" s="1503"/>
      <c r="F558" s="1503"/>
      <c r="G558" s="1503"/>
      <c r="H558" s="1503"/>
      <c r="I558" s="1503"/>
      <c r="J558" s="1503"/>
      <c r="K558" s="1503"/>
      <c r="L558" s="1503"/>
      <c r="M558" s="1502" t="s">
        <v>2429</v>
      </c>
      <c r="N558" s="1502"/>
      <c r="O558" s="1502"/>
      <c r="P558" s="1502"/>
      <c r="Q558" s="1480"/>
      <c r="R558" s="1481"/>
      <c r="S558" s="1482"/>
      <c r="T558" s="1480"/>
      <c r="U558" s="1481"/>
      <c r="V558" s="1482"/>
      <c r="W558" s="1507"/>
      <c r="X558" s="1508"/>
      <c r="Y558" s="1509"/>
      <c r="Z558" s="1496" t="s">
        <v>1291</v>
      </c>
      <c r="AA558" s="1496"/>
      <c r="AB558" s="1496"/>
      <c r="AC558" s="1496"/>
      <c r="AD558" s="1496"/>
      <c r="AE558" s="1504"/>
      <c r="AF558" s="1505"/>
      <c r="AG558" s="1505"/>
      <c r="AH558" s="1506"/>
      <c r="AI558" s="1492"/>
      <c r="AJ558" s="1493"/>
      <c r="AK558" s="1493"/>
      <c r="AL558" s="1494"/>
      <c r="AM558" s="1399">
        <v>7549459</v>
      </c>
      <c r="AN558" s="1400"/>
      <c r="AO558" s="1400"/>
      <c r="AP558" s="1400"/>
      <c r="AQ558" s="1400"/>
      <c r="AR558" s="1400"/>
      <c r="AS558" s="1401"/>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503" t="s">
        <v>2673</v>
      </c>
      <c r="D559" s="1503"/>
      <c r="E559" s="1503"/>
      <c r="F559" s="1503"/>
      <c r="G559" s="1503"/>
      <c r="H559" s="1503"/>
      <c r="I559" s="1503"/>
      <c r="J559" s="1503"/>
      <c r="K559" s="1503"/>
      <c r="L559" s="1503"/>
      <c r="M559" s="1502" t="s">
        <v>2425</v>
      </c>
      <c r="N559" s="1502"/>
      <c r="O559" s="1502"/>
      <c r="P559" s="1502"/>
      <c r="Q559" s="1480"/>
      <c r="R559" s="1481"/>
      <c r="S559" s="1482"/>
      <c r="T559" s="1480"/>
      <c r="U559" s="1481"/>
      <c r="V559" s="1482"/>
      <c r="W559" s="1507"/>
      <c r="X559" s="1508"/>
      <c r="Y559" s="1509"/>
      <c r="Z559" s="1496" t="s">
        <v>1291</v>
      </c>
      <c r="AA559" s="1496"/>
      <c r="AB559" s="1496"/>
      <c r="AC559" s="1496"/>
      <c r="AD559" s="1496"/>
      <c r="AE559" s="1504"/>
      <c r="AF559" s="1505"/>
      <c r="AG559" s="1505"/>
      <c r="AH559" s="1506"/>
      <c r="AI559" s="1492"/>
      <c r="AJ559" s="1493"/>
      <c r="AK559" s="1493"/>
      <c r="AL559" s="1494"/>
      <c r="AM559" s="1399">
        <v>11009751</v>
      </c>
      <c r="AN559" s="1400"/>
      <c r="AO559" s="1400"/>
      <c r="AP559" s="1400"/>
      <c r="AQ559" s="1400"/>
      <c r="AR559" s="1400"/>
      <c r="AS559" s="1401"/>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503" t="s">
        <v>2764</v>
      </c>
      <c r="D560" s="1503"/>
      <c r="E560" s="1503"/>
      <c r="F560" s="1503"/>
      <c r="G560" s="1503"/>
      <c r="H560" s="1503"/>
      <c r="I560" s="1503"/>
      <c r="J560" s="1503"/>
      <c r="K560" s="1503"/>
      <c r="L560" s="1503"/>
      <c r="M560" s="1502" t="s">
        <v>2424</v>
      </c>
      <c r="N560" s="1502"/>
      <c r="O560" s="1502"/>
      <c r="P560" s="1502"/>
      <c r="Q560" s="1480"/>
      <c r="R560" s="1481"/>
      <c r="S560" s="1482"/>
      <c r="T560" s="1480"/>
      <c r="U560" s="1481"/>
      <c r="V560" s="1482"/>
      <c r="W560" s="1507"/>
      <c r="X560" s="1508"/>
      <c r="Y560" s="1509"/>
      <c r="Z560" s="1496" t="s">
        <v>1291</v>
      </c>
      <c r="AA560" s="1496"/>
      <c r="AB560" s="1496"/>
      <c r="AC560" s="1496"/>
      <c r="AD560" s="1496"/>
      <c r="AE560" s="1504"/>
      <c r="AF560" s="1505"/>
      <c r="AG560" s="1505"/>
      <c r="AH560" s="1506"/>
      <c r="AI560" s="1492"/>
      <c r="AJ560" s="1493"/>
      <c r="AK560" s="1493"/>
      <c r="AL560" s="1494"/>
      <c r="AM560" s="1399">
        <v>1397946</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503"/>
      <c r="D561" s="1503"/>
      <c r="E561" s="1503"/>
      <c r="F561" s="1503"/>
      <c r="G561" s="1503"/>
      <c r="H561" s="1503"/>
      <c r="I561" s="1503"/>
      <c r="J561" s="1503"/>
      <c r="K561" s="1503"/>
      <c r="L561" s="1503"/>
      <c r="M561" s="1502" t="s">
        <v>1291</v>
      </c>
      <c r="N561" s="1502"/>
      <c r="O561" s="1502"/>
      <c r="P561" s="1502"/>
      <c r="Q561" s="1480"/>
      <c r="R561" s="1481"/>
      <c r="S561" s="1482"/>
      <c r="T561" s="1480"/>
      <c r="U561" s="1481"/>
      <c r="V561" s="1482"/>
      <c r="W561" s="1507"/>
      <c r="X561" s="1508"/>
      <c r="Y561" s="1509"/>
      <c r="Z561" s="1496" t="s">
        <v>1291</v>
      </c>
      <c r="AA561" s="1496"/>
      <c r="AB561" s="1496"/>
      <c r="AC561" s="1496"/>
      <c r="AD561" s="1496"/>
      <c r="AE561" s="1504"/>
      <c r="AF561" s="1505"/>
      <c r="AG561" s="1505"/>
      <c r="AH561" s="1506"/>
      <c r="AI561" s="1492"/>
      <c r="AJ561" s="1493"/>
      <c r="AK561" s="1493"/>
      <c r="AL561" s="1494"/>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503"/>
      <c r="D562" s="1503"/>
      <c r="E562" s="1503"/>
      <c r="F562" s="1503"/>
      <c r="G562" s="1503"/>
      <c r="H562" s="1503"/>
      <c r="I562" s="1503"/>
      <c r="J562" s="1503"/>
      <c r="K562" s="1503"/>
      <c r="L562" s="1503"/>
      <c r="M562" s="1502" t="s">
        <v>1291</v>
      </c>
      <c r="N562" s="1502"/>
      <c r="O562" s="1502"/>
      <c r="P562" s="1502"/>
      <c r="Q562" s="1480"/>
      <c r="R562" s="1481"/>
      <c r="S562" s="1482"/>
      <c r="T562" s="1480"/>
      <c r="U562" s="1481"/>
      <c r="V562" s="1482"/>
      <c r="W562" s="1507"/>
      <c r="X562" s="1508"/>
      <c r="Y562" s="1509"/>
      <c r="Z562" s="1496" t="s">
        <v>1291</v>
      </c>
      <c r="AA562" s="1496"/>
      <c r="AB562" s="1496"/>
      <c r="AC562" s="1496"/>
      <c r="AD562" s="1496"/>
      <c r="AE562" s="1504"/>
      <c r="AF562" s="1505"/>
      <c r="AG562" s="1505"/>
      <c r="AH562" s="1506"/>
      <c r="AI562" s="1492"/>
      <c r="AJ562" s="1493"/>
      <c r="AK562" s="1493"/>
      <c r="AL562" s="1494"/>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503"/>
      <c r="D563" s="1503"/>
      <c r="E563" s="1503"/>
      <c r="F563" s="1503"/>
      <c r="G563" s="1503"/>
      <c r="H563" s="1503"/>
      <c r="I563" s="1503"/>
      <c r="J563" s="1503"/>
      <c r="K563" s="1503"/>
      <c r="L563" s="1503"/>
      <c r="M563" s="1502" t="s">
        <v>1291</v>
      </c>
      <c r="N563" s="1502"/>
      <c r="O563" s="1502"/>
      <c r="P563" s="1502"/>
      <c r="Q563" s="1480"/>
      <c r="R563" s="1481"/>
      <c r="S563" s="1482"/>
      <c r="T563" s="1480"/>
      <c r="U563" s="1481"/>
      <c r="V563" s="1482"/>
      <c r="W563" s="1507"/>
      <c r="X563" s="1508"/>
      <c r="Y563" s="1509"/>
      <c r="Z563" s="1496" t="s">
        <v>1291</v>
      </c>
      <c r="AA563" s="1496"/>
      <c r="AB563" s="1496"/>
      <c r="AC563" s="1496"/>
      <c r="AD563" s="1496"/>
      <c r="AE563" s="1504"/>
      <c r="AF563" s="1505"/>
      <c r="AG563" s="1505"/>
      <c r="AH563" s="1506"/>
      <c r="AI563" s="1492"/>
      <c r="AJ563" s="1493"/>
      <c r="AK563" s="1493"/>
      <c r="AL563" s="1494"/>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3"/>
      <c r="D564" s="1503"/>
      <c r="E564" s="1503"/>
      <c r="F564" s="1503"/>
      <c r="G564" s="1503"/>
      <c r="H564" s="1503"/>
      <c r="I564" s="1503"/>
      <c r="J564" s="1503"/>
      <c r="K564" s="1503"/>
      <c r="L564" s="1503"/>
      <c r="M564" s="1502" t="s">
        <v>1291</v>
      </c>
      <c r="N564" s="1502"/>
      <c r="O564" s="1502"/>
      <c r="P564" s="1502"/>
      <c r="Q564" s="1480"/>
      <c r="R564" s="1481"/>
      <c r="S564" s="1482"/>
      <c r="T564" s="1480"/>
      <c r="U564" s="1481"/>
      <c r="V564" s="1482"/>
      <c r="W564" s="1507"/>
      <c r="X564" s="1508"/>
      <c r="Y564" s="1509"/>
      <c r="Z564" s="1496" t="s">
        <v>1291</v>
      </c>
      <c r="AA564" s="1496"/>
      <c r="AB564" s="1496"/>
      <c r="AC564" s="1496"/>
      <c r="AD564" s="1496"/>
      <c r="AE564" s="1504"/>
      <c r="AF564" s="1505"/>
      <c r="AG564" s="1505"/>
      <c r="AH564" s="1506"/>
      <c r="AI564" s="1492"/>
      <c r="AJ564" s="1493"/>
      <c r="AK564" s="1493"/>
      <c r="AL564" s="1494"/>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3"/>
      <c r="D565" s="1503"/>
      <c r="E565" s="1503"/>
      <c r="F565" s="1503"/>
      <c r="G565" s="1503"/>
      <c r="H565" s="1503"/>
      <c r="I565" s="1503"/>
      <c r="J565" s="1503"/>
      <c r="K565" s="1503"/>
      <c r="L565" s="1503"/>
      <c r="M565" s="1502" t="s">
        <v>1291</v>
      </c>
      <c r="N565" s="1502"/>
      <c r="O565" s="1502"/>
      <c r="P565" s="1502"/>
      <c r="Q565" s="1480"/>
      <c r="R565" s="1481"/>
      <c r="S565" s="1482"/>
      <c r="T565" s="1480"/>
      <c r="U565" s="1481"/>
      <c r="V565" s="1482"/>
      <c r="W565" s="1507"/>
      <c r="X565" s="1508"/>
      <c r="Y565" s="1509"/>
      <c r="Z565" s="1496" t="s">
        <v>1291</v>
      </c>
      <c r="AA565" s="1496"/>
      <c r="AB565" s="1496"/>
      <c r="AC565" s="1496"/>
      <c r="AD565" s="1496"/>
      <c r="AE565" s="1504"/>
      <c r="AF565" s="1505"/>
      <c r="AG565" s="1505"/>
      <c r="AH565" s="1506"/>
      <c r="AI565" s="1492"/>
      <c r="AJ565" s="1493"/>
      <c r="AK565" s="1493"/>
      <c r="AL565" s="1494"/>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723"/>
      <c r="V566" s="1594"/>
      <c r="W566" s="1594"/>
      <c r="X566" s="1594"/>
      <c r="Y566" s="1594"/>
      <c r="Z566" s="1594"/>
      <c r="AA566" s="1594"/>
      <c r="AB566" s="1594"/>
      <c r="AC566" s="1594"/>
      <c r="AD566" s="1594"/>
      <c r="AE566" s="1594"/>
      <c r="AF566" s="1594"/>
      <c r="AG566" s="1594"/>
      <c r="AH566" s="1594"/>
      <c r="AI566" s="1594"/>
      <c r="AJ566" s="1594"/>
      <c r="AK566" s="1594"/>
      <c r="AL566" s="1595"/>
      <c r="AM566" s="1588">
        <f>SUM(AM554:AS565)</f>
        <v>92485901</v>
      </c>
      <c r="AN566" s="1589"/>
      <c r="AO566" s="1589"/>
      <c r="AP566" s="1589"/>
      <c r="AQ566" s="1589"/>
      <c r="AR566" s="1589"/>
      <c r="AS566" s="1590"/>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0" t="str">
        <f>C554</f>
        <v>Rose Community Capital LLC</v>
      </c>
      <c r="H568" s="1510"/>
      <c r="I568" s="1510"/>
      <c r="J568" s="1510"/>
      <c r="K568" s="1510"/>
      <c r="L568" s="1510"/>
      <c r="M568" s="1510"/>
      <c r="N568" s="1510"/>
      <c r="O568" s="1510"/>
      <c r="P568" s="1510"/>
      <c r="Q568" s="1510"/>
      <c r="R568" s="1510"/>
      <c r="S568" s="8"/>
      <c r="T568" s="55" t="s">
        <v>113</v>
      </c>
      <c r="U568" t="s">
        <v>472</v>
      </c>
      <c r="Z568" s="1510" t="str">
        <f>C555</f>
        <v>Rose Community Capital LLC</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2726</v>
      </c>
      <c r="H569" s="1432"/>
      <c r="I569" s="1432"/>
      <c r="J569" s="1432"/>
      <c r="K569" s="1432"/>
      <c r="L569" s="1432"/>
      <c r="M569" s="1432"/>
      <c r="N569" s="1432"/>
      <c r="O569" s="1432"/>
      <c r="P569" s="1432"/>
      <c r="Q569" s="1432"/>
      <c r="R569" s="1432"/>
      <c r="S569" s="8"/>
      <c r="T569" s="22"/>
      <c r="U569" t="s">
        <v>85</v>
      </c>
      <c r="Z569" s="1432" t="s">
        <v>2726</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32" t="s">
        <v>2727</v>
      </c>
      <c r="H570" s="1432"/>
      <c r="I570" s="1432"/>
      <c r="J570" s="1432"/>
      <c r="K570" s="1432"/>
      <c r="L570" s="1432"/>
      <c r="M570" s="1432"/>
      <c r="N570" s="1432"/>
      <c r="O570" s="1432"/>
      <c r="P570" s="1432"/>
      <c r="Q570" s="1432"/>
      <c r="R570" s="1432"/>
      <c r="T570" s="22"/>
      <c r="U570" t="s">
        <v>589</v>
      </c>
      <c r="Z570" s="1431" t="s">
        <v>2727</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2728</v>
      </c>
      <c r="H571" s="1432"/>
      <c r="I571" s="1432"/>
      <c r="J571" s="1432"/>
      <c r="K571" s="1432"/>
      <c r="L571" s="1432"/>
      <c r="M571" s="1432"/>
      <c r="N571" s="1432"/>
      <c r="O571" s="1432"/>
      <c r="P571" s="1432"/>
      <c r="Q571" s="1432"/>
      <c r="R571" s="1432"/>
      <c r="S571" s="8"/>
      <c r="T571" s="22"/>
      <c r="U571" t="s">
        <v>17</v>
      </c>
      <c r="Z571" s="1431" t="s">
        <v>2728</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16" t="s">
        <v>2729</v>
      </c>
      <c r="H572" s="1435"/>
      <c r="I572" s="1435"/>
      <c r="J572" s="1435"/>
      <c r="K572" s="1435"/>
      <c r="L572" s="1435"/>
      <c r="O572" s="33" t="s">
        <v>207</v>
      </c>
      <c r="P572" s="1419"/>
      <c r="Q572" s="1419"/>
      <c r="R572" s="1419"/>
      <c r="S572" s="10"/>
      <c r="T572" s="22"/>
      <c r="U572" t="s">
        <v>317</v>
      </c>
      <c r="Z572" s="1516" t="s">
        <v>2729</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2730</v>
      </c>
      <c r="I573" s="1432"/>
      <c r="J573" s="1432"/>
      <c r="K573" s="1432"/>
      <c r="L573" s="1432"/>
      <c r="M573" s="1432"/>
      <c r="N573" s="1432"/>
      <c r="O573" s="1432"/>
      <c r="P573" s="1432"/>
      <c r="Q573" s="1432"/>
      <c r="R573" s="1432"/>
      <c r="S573" s="8"/>
      <c r="T573" s="22"/>
      <c r="U573" t="s">
        <v>18</v>
      </c>
      <c r="AA573" s="1432" t="s">
        <v>2768</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5"/>
      <c r="N574" s="1575"/>
      <c r="O574" s="1575"/>
      <c r="P574" s="1575"/>
      <c r="Q574" s="1575"/>
      <c r="R574" s="1575"/>
      <c r="S574" s="8"/>
      <c r="T574" s="22"/>
      <c r="U574" s="348" t="s">
        <v>1292</v>
      </c>
      <c r="AA574" s="8"/>
      <c r="AB574" s="8"/>
      <c r="AC574" s="8"/>
      <c r="AD574" s="8"/>
      <c r="AE574" s="8"/>
      <c r="AF574" s="1575"/>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0" t="str">
        <f>C556</f>
        <v>Sterling Bank</v>
      </c>
      <c r="H577" s="1510"/>
      <c r="I577" s="1510"/>
      <c r="J577" s="1510"/>
      <c r="K577" s="1510"/>
      <c r="L577" s="1510"/>
      <c r="M577" s="1510"/>
      <c r="N577" s="1510"/>
      <c r="O577" s="1510"/>
      <c r="P577" s="1510"/>
      <c r="Q577" s="1510"/>
      <c r="R577" s="1510"/>
      <c r="T577" s="55" t="s">
        <v>590</v>
      </c>
      <c r="U577" t="s">
        <v>472</v>
      </c>
      <c r="Z577" s="1510" t="str">
        <f>C557</f>
        <v>Sterling Bank</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2769</v>
      </c>
      <c r="H578" s="1432"/>
      <c r="I578" s="1432"/>
      <c r="J578" s="1432"/>
      <c r="K578" s="1432"/>
      <c r="L578" s="1432"/>
      <c r="M578" s="1432"/>
      <c r="N578" s="1432"/>
      <c r="O578" s="1432"/>
      <c r="P578" s="1432"/>
      <c r="Q578" s="1432"/>
      <c r="R578" s="1432"/>
      <c r="T578" s="22"/>
      <c r="U578" t="s">
        <v>85</v>
      </c>
      <c r="Z578" s="1432" t="s">
        <v>2769</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1" t="s">
        <v>2770</v>
      </c>
      <c r="H579" s="1431"/>
      <c r="I579" s="1431"/>
      <c r="J579" s="1431"/>
      <c r="K579" s="1431"/>
      <c r="L579" s="1431"/>
      <c r="M579" s="1431"/>
      <c r="N579" s="1431"/>
      <c r="O579" s="1431"/>
      <c r="P579" s="1431"/>
      <c r="Q579" s="1431"/>
      <c r="R579" s="1431"/>
      <c r="T579" s="22"/>
      <c r="U579" t="s">
        <v>589</v>
      </c>
      <c r="Z579" s="1431" t="s">
        <v>2770</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2774</v>
      </c>
      <c r="H580" s="1431"/>
      <c r="I580" s="1431"/>
      <c r="J580" s="1431"/>
      <c r="K580" s="1431"/>
      <c r="L580" s="1431"/>
      <c r="M580" s="1431"/>
      <c r="N580" s="1431"/>
      <c r="O580" s="1431"/>
      <c r="P580" s="1431"/>
      <c r="Q580" s="1431"/>
      <c r="R580" s="1431"/>
      <c r="T580" s="22"/>
      <c r="U580" t="s">
        <v>17</v>
      </c>
      <c r="Z580" s="1431" t="s">
        <v>2772</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16">
        <v>3145715610</v>
      </c>
      <c r="H581" s="1435"/>
      <c r="I581" s="1435"/>
      <c r="J581" s="1435"/>
      <c r="K581" s="1435"/>
      <c r="L581" s="1435"/>
      <c r="O581" s="33" t="s">
        <v>207</v>
      </c>
      <c r="P581" s="1419"/>
      <c r="Q581" s="1419"/>
      <c r="R581" s="1419"/>
      <c r="T581" s="22"/>
      <c r="U581" t="s">
        <v>317</v>
      </c>
      <c r="Z581" s="1516">
        <v>3145715610</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2775</v>
      </c>
      <c r="I582" s="1432"/>
      <c r="J582" s="1432"/>
      <c r="K582" s="1432"/>
      <c r="L582" s="1432"/>
      <c r="M582" s="1432"/>
      <c r="N582" s="1432"/>
      <c r="O582" s="1432"/>
      <c r="P582" s="1432"/>
      <c r="Q582" s="1432"/>
      <c r="R582" s="1432"/>
      <c r="T582" s="22"/>
      <c r="U582" t="s">
        <v>18</v>
      </c>
      <c r="AA582" s="1432" t="s">
        <v>2773</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554</v>
      </c>
      <c r="O583" s="1418"/>
      <c r="T583" s="22"/>
      <c r="U583" t="s">
        <v>20</v>
      </c>
      <c r="AG583" s="1418" t="s">
        <v>554</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0" t="str">
        <f>C558</f>
        <v>Walker &amp; Dunlop</v>
      </c>
      <c r="H585" s="1510"/>
      <c r="I585" s="1510"/>
      <c r="J585" s="1510"/>
      <c r="K585" s="1510"/>
      <c r="L585" s="1510"/>
      <c r="M585" s="1510"/>
      <c r="N585" s="1510"/>
      <c r="O585" s="1510"/>
      <c r="P585" s="1510"/>
      <c r="Q585" s="1510"/>
      <c r="R585" s="1510"/>
      <c r="T585" s="55" t="s">
        <v>593</v>
      </c>
      <c r="U585" t="s">
        <v>472</v>
      </c>
      <c r="Z585" s="1510" t="str">
        <f>C559</f>
        <v>Community Builders Group</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2767</v>
      </c>
      <c r="H586" s="1432"/>
      <c r="I586" s="1432"/>
      <c r="J586" s="1432"/>
      <c r="K586" s="1432"/>
      <c r="L586" s="1432"/>
      <c r="M586" s="1432"/>
      <c r="N586" s="1432"/>
      <c r="O586" s="1432"/>
      <c r="P586" s="1432"/>
      <c r="Q586" s="1432"/>
      <c r="R586" s="1432"/>
      <c r="T586" s="22"/>
      <c r="U586" t="s">
        <v>85</v>
      </c>
      <c r="Z586" s="1432" t="s">
        <v>2652</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32" t="s">
        <v>2731</v>
      </c>
      <c r="H587" s="1432"/>
      <c r="I587" s="1432"/>
      <c r="J587" s="1432"/>
      <c r="K587" s="1432"/>
      <c r="L587" s="1432"/>
      <c r="M587" s="1432"/>
      <c r="N587" s="1432"/>
      <c r="O587" s="1432"/>
      <c r="P587" s="1432"/>
      <c r="Q587" s="1432"/>
      <c r="R587" s="1432"/>
      <c r="T587" s="22"/>
      <c r="U587" t="s">
        <v>589</v>
      </c>
      <c r="Z587" s="1431" t="s">
        <v>2653</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2692</v>
      </c>
      <c r="H588" s="1432"/>
      <c r="I588" s="1432"/>
      <c r="J588" s="1432"/>
      <c r="K588" s="1432"/>
      <c r="L588" s="1432"/>
      <c r="M588" s="1432"/>
      <c r="N588" s="1432"/>
      <c r="O588" s="1432"/>
      <c r="P588" s="1432"/>
      <c r="Q588" s="1432"/>
      <c r="R588" s="1432"/>
      <c r="T588" s="22"/>
      <c r="U588" t="s">
        <v>17</v>
      </c>
      <c r="Z588" s="1431" t="s">
        <v>2655</v>
      </c>
      <c r="AA588" s="1431"/>
      <c r="AB588" s="1431"/>
      <c r="AC588" s="1431"/>
      <c r="AD588" s="1431"/>
      <c r="AE588" s="1431"/>
      <c r="AF588" s="1431"/>
      <c r="AG588" s="1431"/>
      <c r="AH588" s="1431"/>
      <c r="AI588" s="1431"/>
      <c r="AJ588" s="1431"/>
      <c r="AK588" s="1431"/>
    </row>
    <row r="589" spans="1:110" ht="12.95" customHeight="1">
      <c r="A589" s="22"/>
      <c r="B589" t="s">
        <v>317</v>
      </c>
      <c r="G589" s="1516">
        <v>8184495800</v>
      </c>
      <c r="H589" s="1435"/>
      <c r="I589" s="1435"/>
      <c r="J589" s="1435"/>
      <c r="K589" s="1435"/>
      <c r="L589" s="1435"/>
      <c r="O589" s="33" t="s">
        <v>207</v>
      </c>
      <c r="P589" s="1419"/>
      <c r="Q589" s="1419"/>
      <c r="R589" s="1419"/>
      <c r="T589" s="22"/>
      <c r="U589" t="s">
        <v>317</v>
      </c>
      <c r="Z589" s="1516" t="s">
        <v>2656</v>
      </c>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2771</v>
      </c>
      <c r="I590" s="1432"/>
      <c r="J590" s="1432"/>
      <c r="K590" s="1432"/>
      <c r="L590" s="1432"/>
      <c r="M590" s="1432"/>
      <c r="N590" s="1432"/>
      <c r="O590" s="1432"/>
      <c r="P590" s="1432"/>
      <c r="Q590" s="1432"/>
      <c r="R590" s="1432"/>
      <c r="T590" s="22"/>
      <c r="U590" t="s">
        <v>18</v>
      </c>
      <c r="AA590" s="1432" t="s">
        <v>1850</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554</v>
      </c>
      <c r="O591" s="1418"/>
      <c r="T591" s="22"/>
      <c r="U591" t="s">
        <v>20</v>
      </c>
      <c r="AG591" s="1418" t="s">
        <v>554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0" t="str">
        <f>C560</f>
        <v>South Catalina Street 1 LP</v>
      </c>
      <c r="H593" s="1510"/>
      <c r="I593" s="1510"/>
      <c r="J593" s="1510"/>
      <c r="K593" s="1510"/>
      <c r="L593" s="1510"/>
      <c r="M593" s="1510"/>
      <c r="N593" s="1510"/>
      <c r="O593" s="1510"/>
      <c r="P593" s="1510"/>
      <c r="Q593" s="1510"/>
      <c r="R593" s="1510"/>
      <c r="T593" s="55" t="s">
        <v>465</v>
      </c>
      <c r="U593" t="s">
        <v>472</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t="s">
        <v>2652</v>
      </c>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32" t="s">
        <v>2653</v>
      </c>
      <c r="H595" s="1432"/>
      <c r="I595" s="1432"/>
      <c r="J595" s="1432"/>
      <c r="K595" s="1432"/>
      <c r="L595" s="1432"/>
      <c r="M595" s="1432"/>
      <c r="N595" s="1432"/>
      <c r="O595" s="1432"/>
      <c r="P595" s="1432"/>
      <c r="Q595" s="1432"/>
      <c r="R595" s="1432"/>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t="s">
        <v>2655</v>
      </c>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6"/>
      <c r="BH596" s="1397"/>
      <c r="BI596" s="121" t="s">
        <v>484</v>
      </c>
      <c r="BJ596" s="122"/>
      <c r="BK596" s="1396"/>
      <c r="BL596" s="1397"/>
      <c r="BM596" s="3"/>
      <c r="BN596" s="1518" t="s">
        <v>642</v>
      </c>
      <c r="BO596" s="1519"/>
      <c r="BP596" s="1519"/>
      <c r="BQ596" s="1519"/>
      <c r="BR596" s="1520"/>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435">
        <v>6267973888</v>
      </c>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2</v>
      </c>
      <c r="BL597" s="1397"/>
      <c r="BM597" s="3"/>
      <c r="BN597" s="1392">
        <f t="shared" ref="BN597:BN631" si="5">IF(B718="SRO/Studio",G718,0)</f>
        <v>2</v>
      </c>
      <c r="BO597" s="1393"/>
      <c r="BP597" s="1393"/>
      <c r="BQ597" s="1393"/>
      <c r="BR597" s="1394"/>
      <c r="BS597" s="1395">
        <f t="shared" ref="BS597:BS631" si="6">IF(B718="1 Bedroom",G718,0)</f>
        <v>0</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0">
        <f t="shared" ref="CS597:CS631" si="11">IF(AND(B718="SRO/Studio",AC718&lt;=0.3),G718,0)</f>
        <v>2</v>
      </c>
      <c r="CT597" s="1390"/>
      <c r="CU597" s="1390"/>
      <c r="CV597" s="1390"/>
      <c r="CW597" s="1390"/>
      <c r="CX597" s="1390">
        <f t="shared" ref="CX597:CX631" si="12">IF(AND(B718="1 Bedroom",AC718&lt;=0.3),G718,0)</f>
        <v>0</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f t="shared" ref="DX597:DX631" si="17">IF(BN597&gt;0,O718,"")</f>
        <v>656</v>
      </c>
      <c r="DY597" s="1388"/>
      <c r="DZ597" s="1388"/>
      <c r="EA597" s="1388"/>
      <c r="EB597" s="1389"/>
      <c r="EC597" s="1387" t="str">
        <f t="shared" ref="EC597:EC631" si="18">IF(BS597&gt;0,O718,"")</f>
        <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5" customHeight="1">
      <c r="A598" s="22"/>
      <c r="B598" t="s">
        <v>18</v>
      </c>
      <c r="C598"/>
      <c r="D598"/>
      <c r="E598"/>
      <c r="F598"/>
      <c r="G598"/>
      <c r="H598" s="1432" t="s">
        <v>2766</v>
      </c>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2</v>
      </c>
      <c r="BH598" s="1397"/>
      <c r="BI598" s="1387">
        <f t="shared" si="3"/>
        <v>0</v>
      </c>
      <c r="BJ598" s="1389"/>
      <c r="BK598" s="1396">
        <f t="shared" si="4"/>
        <v>0</v>
      </c>
      <c r="BL598" s="1397"/>
      <c r="BM598" s="3"/>
      <c r="BN598" s="1392">
        <f t="shared" si="5"/>
        <v>2</v>
      </c>
      <c r="BO598" s="1393"/>
      <c r="BP598" s="1393"/>
      <c r="BQ598" s="1393"/>
      <c r="BR598" s="1394"/>
      <c r="BS598" s="1395">
        <f t="shared" si="6"/>
        <v>0</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f t="shared" si="17"/>
        <v>1141</v>
      </c>
      <c r="DY598" s="1388"/>
      <c r="DZ598" s="1388"/>
      <c r="EA598" s="1388"/>
      <c r="EB598" s="1389"/>
      <c r="EC598" s="1387" t="str">
        <f t="shared" si="18"/>
        <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5" customHeight="1">
      <c r="A599" s="22"/>
      <c r="B599" t="s">
        <v>20</v>
      </c>
      <c r="N599" s="1418" t="s">
        <v>554</v>
      </c>
      <c r="O599" s="1418"/>
      <c r="T599" s="22"/>
      <c r="U599" t="s">
        <v>20</v>
      </c>
      <c r="AG599" s="1418" t="s">
        <v>678</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2">
        <f t="shared" si="5"/>
        <v>8</v>
      </c>
      <c r="BO599" s="1393"/>
      <c r="BP599" s="1393"/>
      <c r="BQ599" s="1393"/>
      <c r="BR599" s="1394"/>
      <c r="BS599" s="1395">
        <f t="shared" si="6"/>
        <v>0</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f t="shared" si="17"/>
        <v>1384</v>
      </c>
      <c r="DY599" s="1388"/>
      <c r="DZ599" s="1388"/>
      <c r="EA599" s="1388"/>
      <c r="EB599" s="1389"/>
      <c r="EC599" s="1387" t="str">
        <f t="shared" si="18"/>
        <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5" customHeight="1">
      <c r="A600" s="22"/>
      <c r="T600" s="22"/>
      <c r="BA600" s="4" t="s">
        <v>165</v>
      </c>
      <c r="BB600" s="3"/>
      <c r="BC600" s="3"/>
      <c r="BD600" s="3"/>
      <c r="BE600" s="1387">
        <f t="shared" si="1"/>
        <v>0</v>
      </c>
      <c r="BF600" s="1389"/>
      <c r="BG600" s="1396">
        <f t="shared" si="2"/>
        <v>0</v>
      </c>
      <c r="BH600" s="1397"/>
      <c r="BI600" s="1387">
        <f t="shared" si="3"/>
        <v>0</v>
      </c>
      <c r="BJ600" s="1389"/>
      <c r="BK600" s="1396">
        <f t="shared" si="4"/>
        <v>0</v>
      </c>
      <c r="BL600" s="1397"/>
      <c r="BM600" s="3"/>
      <c r="BN600" s="1392">
        <f t="shared" si="5"/>
        <v>3</v>
      </c>
      <c r="BO600" s="1393"/>
      <c r="BP600" s="1393"/>
      <c r="BQ600" s="1393"/>
      <c r="BR600" s="1394"/>
      <c r="BS600" s="1395">
        <f t="shared" si="6"/>
        <v>0</v>
      </c>
      <c r="BT600" s="1395"/>
      <c r="BU600" s="1395"/>
      <c r="BV600" s="1395"/>
      <c r="BW600" s="1395"/>
      <c r="BX600" s="1395">
        <f t="shared" si="7"/>
        <v>0</v>
      </c>
      <c r="BY600" s="1395"/>
      <c r="BZ600" s="1395"/>
      <c r="CA600" s="1395"/>
      <c r="CB600" s="1395"/>
      <c r="CC600" s="1395">
        <f t="shared" si="8"/>
        <v>0</v>
      </c>
      <c r="CD600" s="1395"/>
      <c r="CE600" s="1395"/>
      <c r="CF600" s="1395"/>
      <c r="CG600" s="1395"/>
      <c r="CH600" s="1395">
        <f t="shared" si="9"/>
        <v>0</v>
      </c>
      <c r="CI600" s="1395"/>
      <c r="CJ600" s="1395"/>
      <c r="CK600" s="1395"/>
      <c r="CL600" s="1395"/>
      <c r="CM600" s="1395">
        <f t="shared" si="10"/>
        <v>0</v>
      </c>
      <c r="CN600" s="1395"/>
      <c r="CO600" s="1395"/>
      <c r="CP600" s="1395"/>
      <c r="CQ600" s="1395"/>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f t="shared" si="17"/>
        <v>1795</v>
      </c>
      <c r="DY600" s="1388"/>
      <c r="DZ600" s="1388"/>
      <c r="EA600" s="1388"/>
      <c r="EB600" s="1389"/>
      <c r="EC600" s="1387" t="str">
        <f t="shared" si="18"/>
        <v/>
      </c>
      <c r="ED600" s="1388"/>
      <c r="EE600" s="1388"/>
      <c r="EF600" s="1388"/>
      <c r="EG600" s="1389"/>
      <c r="EH600" s="1387" t="str">
        <f t="shared" si="19"/>
        <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5" customHeight="1">
      <c r="A601" s="55" t="s">
        <v>470</v>
      </c>
      <c r="B601" t="s">
        <v>472</v>
      </c>
      <c r="G601" s="1510">
        <f>C562</f>
        <v>0</v>
      </c>
      <c r="H601" s="1510"/>
      <c r="I601" s="1510"/>
      <c r="J601" s="1510"/>
      <c r="K601" s="1510"/>
      <c r="L601" s="1510"/>
      <c r="M601" s="1510"/>
      <c r="N601" s="1510"/>
      <c r="O601" s="1510"/>
      <c r="P601" s="1510"/>
      <c r="Q601" s="1510"/>
      <c r="R601" s="1510"/>
      <c r="T601" s="55" t="s">
        <v>655</v>
      </c>
      <c r="U601" t="s">
        <v>472</v>
      </c>
      <c r="Z601" s="1510">
        <f>C563</f>
        <v>0</v>
      </c>
      <c r="AA601" s="1510"/>
      <c r="AB601" s="1510"/>
      <c r="AC601" s="1510"/>
      <c r="AD601" s="1510"/>
      <c r="AE601" s="1510"/>
      <c r="AF601" s="1510"/>
      <c r="AG601" s="1510"/>
      <c r="AH601" s="1510"/>
      <c r="AI601" s="1510"/>
      <c r="AJ601" s="1510"/>
      <c r="AK601" s="1510"/>
      <c r="BA601" s="4" t="s">
        <v>30</v>
      </c>
      <c r="BB601" s="3"/>
      <c r="BC601" s="3"/>
      <c r="BD601" s="3"/>
      <c r="BE601" s="1387">
        <f t="shared" si="1"/>
        <v>0</v>
      </c>
      <c r="BF601" s="1389"/>
      <c r="BG601" s="1396">
        <f t="shared" si="2"/>
        <v>0</v>
      </c>
      <c r="BH601" s="1397"/>
      <c r="BI601" s="1387">
        <f t="shared" si="3"/>
        <v>1</v>
      </c>
      <c r="BJ601" s="1389"/>
      <c r="BK601" s="1396">
        <f t="shared" si="4"/>
        <v>3</v>
      </c>
      <c r="BL601" s="1397"/>
      <c r="BM601" s="3"/>
      <c r="BN601" s="1392">
        <f t="shared" si="5"/>
        <v>0</v>
      </c>
      <c r="BO601" s="1393"/>
      <c r="BP601" s="1393"/>
      <c r="BQ601" s="1393"/>
      <c r="BR601" s="1394"/>
      <c r="BS601" s="1395">
        <f t="shared" si="6"/>
        <v>3</v>
      </c>
      <c r="BT601" s="1395"/>
      <c r="BU601" s="1395"/>
      <c r="BV601" s="1395"/>
      <c r="BW601" s="1395"/>
      <c r="BX601" s="1395">
        <f t="shared" si="7"/>
        <v>0</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0">
        <f t="shared" si="11"/>
        <v>0</v>
      </c>
      <c r="CT601" s="1390"/>
      <c r="CU601" s="1390"/>
      <c r="CV601" s="1390"/>
      <c r="CW601" s="1390"/>
      <c r="CX601" s="1390">
        <f t="shared" si="12"/>
        <v>3</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f t="shared" si="18"/>
        <v>678</v>
      </c>
      <c r="ED601" s="1388"/>
      <c r="EE601" s="1388"/>
      <c r="EF601" s="1388"/>
      <c r="EG601" s="1389"/>
      <c r="EH601" s="1387" t="str">
        <f t="shared" si="19"/>
        <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1</v>
      </c>
      <c r="BF602" s="1389"/>
      <c r="BG602" s="1396">
        <f t="shared" si="2"/>
        <v>3</v>
      </c>
      <c r="BH602" s="1397"/>
      <c r="BI602" s="1387">
        <f t="shared" si="3"/>
        <v>0</v>
      </c>
      <c r="BJ602" s="1389"/>
      <c r="BK602" s="1396">
        <f t="shared" si="4"/>
        <v>0</v>
      </c>
      <c r="BL602" s="1397"/>
      <c r="BM602" s="3"/>
      <c r="BN602" s="1392">
        <f t="shared" si="5"/>
        <v>0</v>
      </c>
      <c r="BO602" s="1393"/>
      <c r="BP602" s="1393"/>
      <c r="BQ602" s="1393"/>
      <c r="BR602" s="1394"/>
      <c r="BS602" s="1395">
        <f t="shared" si="6"/>
        <v>3</v>
      </c>
      <c r="BT602" s="1395"/>
      <c r="BU602" s="1395"/>
      <c r="BV602" s="1395"/>
      <c r="BW602" s="1395"/>
      <c r="BX602" s="1395">
        <f t="shared" si="7"/>
        <v>0</v>
      </c>
      <c r="BY602" s="1395"/>
      <c r="BZ602" s="1395"/>
      <c r="CA602" s="1395"/>
      <c r="CB602" s="1395"/>
      <c r="CC602" s="1395">
        <f t="shared" si="8"/>
        <v>0</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f t="shared" si="18"/>
        <v>1198</v>
      </c>
      <c r="ED602" s="1388"/>
      <c r="EE602" s="1388"/>
      <c r="EF602" s="1388"/>
      <c r="EG602" s="1389"/>
      <c r="EH602" s="1387" t="str">
        <f t="shared" si="19"/>
        <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5"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0</v>
      </c>
      <c r="BJ603" s="1389"/>
      <c r="BK603" s="1396">
        <f t="shared" si="4"/>
        <v>0</v>
      </c>
      <c r="BL603" s="1397"/>
      <c r="BM603" s="3"/>
      <c r="BN603" s="1392">
        <f t="shared" si="5"/>
        <v>0</v>
      </c>
      <c r="BO603" s="1393"/>
      <c r="BP603" s="1393"/>
      <c r="BQ603" s="1393"/>
      <c r="BR603" s="1394"/>
      <c r="BS603" s="1395">
        <f t="shared" si="6"/>
        <v>13</v>
      </c>
      <c r="BT603" s="1395"/>
      <c r="BU603" s="1395"/>
      <c r="BV603" s="1395"/>
      <c r="BW603" s="1395"/>
      <c r="BX603" s="1395">
        <f t="shared" si="7"/>
        <v>0</v>
      </c>
      <c r="BY603" s="1395"/>
      <c r="BZ603" s="1395"/>
      <c r="CA603" s="1395"/>
      <c r="CB603" s="1395"/>
      <c r="CC603" s="1395">
        <f t="shared" si="8"/>
        <v>0</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f t="shared" si="18"/>
        <v>1458</v>
      </c>
      <c r="ED603" s="1388"/>
      <c r="EE603" s="1388"/>
      <c r="EF603" s="1388"/>
      <c r="EG603" s="1389"/>
      <c r="EH603" s="1387" t="str">
        <f t="shared" si="19"/>
        <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2">
        <f t="shared" si="5"/>
        <v>0</v>
      </c>
      <c r="BO604" s="1393"/>
      <c r="BP604" s="1393"/>
      <c r="BQ604" s="1393"/>
      <c r="BR604" s="1394"/>
      <c r="BS604" s="1395">
        <f t="shared" si="6"/>
        <v>4</v>
      </c>
      <c r="BT604" s="1395"/>
      <c r="BU604" s="1395"/>
      <c r="BV604" s="1395"/>
      <c r="BW604" s="1395"/>
      <c r="BX604" s="1395">
        <f t="shared" si="7"/>
        <v>0</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f t="shared" si="18"/>
        <v>1458</v>
      </c>
      <c r="ED604" s="1388"/>
      <c r="EE604" s="1388"/>
      <c r="EF604" s="1388"/>
      <c r="EG604" s="1389"/>
      <c r="EH604" s="1387" t="str">
        <f t="shared" si="19"/>
        <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5"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0</v>
      </c>
      <c r="BJ605" s="1389"/>
      <c r="BK605" s="1396">
        <f t="shared" si="4"/>
        <v>0</v>
      </c>
      <c r="BL605" s="1397"/>
      <c r="BM605" s="3"/>
      <c r="BN605" s="1392">
        <f t="shared" si="5"/>
        <v>0</v>
      </c>
      <c r="BO605" s="1393"/>
      <c r="BP605" s="1393"/>
      <c r="BQ605" s="1393"/>
      <c r="BR605" s="1394"/>
      <c r="BS605" s="1395">
        <f t="shared" si="6"/>
        <v>5</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0">
        <f t="shared" si="11"/>
        <v>0</v>
      </c>
      <c r="CT605" s="1390"/>
      <c r="CU605" s="1390"/>
      <c r="CV605" s="1390"/>
      <c r="CW605" s="1390"/>
      <c r="CX605" s="1390">
        <f t="shared" si="12"/>
        <v>0</v>
      </c>
      <c r="CY605" s="1390"/>
      <c r="CZ605" s="1390"/>
      <c r="DA605" s="1390"/>
      <c r="DB605" s="1390"/>
      <c r="DC605" s="1390">
        <f t="shared" si="13"/>
        <v>0</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f t="shared" si="18"/>
        <v>1900</v>
      </c>
      <c r="ED605" s="1388"/>
      <c r="EE605" s="1388"/>
      <c r="EF605" s="1388"/>
      <c r="EG605" s="1389"/>
      <c r="EH605" s="1387" t="str">
        <f t="shared" si="19"/>
        <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0</v>
      </c>
      <c r="BF606" s="1389"/>
      <c r="BG606" s="1396">
        <f t="shared" si="2"/>
        <v>0</v>
      </c>
      <c r="BH606" s="1397"/>
      <c r="BI606" s="1387">
        <f t="shared" si="3"/>
        <v>1</v>
      </c>
      <c r="BJ606" s="1389"/>
      <c r="BK606" s="1396">
        <f t="shared" si="4"/>
        <v>4</v>
      </c>
      <c r="BL606" s="1397"/>
      <c r="BM606" s="3"/>
      <c r="BN606" s="1392">
        <f t="shared" si="5"/>
        <v>0</v>
      </c>
      <c r="BO606" s="1393"/>
      <c r="BP606" s="1393"/>
      <c r="BQ606" s="1393"/>
      <c r="BR606" s="1394"/>
      <c r="BS606" s="1395">
        <f t="shared" si="6"/>
        <v>0</v>
      </c>
      <c r="BT606" s="1395"/>
      <c r="BU606" s="1395"/>
      <c r="BV606" s="1395"/>
      <c r="BW606" s="1395"/>
      <c r="BX606" s="1395">
        <f t="shared" si="7"/>
        <v>4</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0">
        <f t="shared" si="11"/>
        <v>0</v>
      </c>
      <c r="CT606" s="1390"/>
      <c r="CU606" s="1390"/>
      <c r="CV606" s="1390"/>
      <c r="CW606" s="1390"/>
      <c r="CX606" s="1390">
        <f t="shared" si="12"/>
        <v>0</v>
      </c>
      <c r="CY606" s="1390"/>
      <c r="CZ606" s="1390"/>
      <c r="DA606" s="1390"/>
      <c r="DB606" s="1390"/>
      <c r="DC606" s="1390">
        <f t="shared" si="13"/>
        <v>4</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f t="shared" si="19"/>
        <v>807</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5" customHeight="1">
      <c r="A607" s="22"/>
      <c r="B607" t="s">
        <v>20</v>
      </c>
      <c r="C607"/>
      <c r="D607"/>
      <c r="E607"/>
      <c r="F607"/>
      <c r="G607"/>
      <c r="H607"/>
      <c r="I607"/>
      <c r="J607"/>
      <c r="K607"/>
      <c r="L607"/>
      <c r="M607"/>
      <c r="N607" s="1418" t="s">
        <v>678</v>
      </c>
      <c r="O607" s="1418"/>
      <c r="P607"/>
      <c r="Q607"/>
      <c r="R607"/>
      <c r="S607"/>
      <c r="T607" s="22"/>
      <c r="U607" t="s">
        <v>20</v>
      </c>
      <c r="V607"/>
      <c r="W607"/>
      <c r="X607"/>
      <c r="Y607"/>
      <c r="Z607"/>
      <c r="AA607"/>
      <c r="AB607"/>
      <c r="AC607"/>
      <c r="AD607"/>
      <c r="AE607"/>
      <c r="AF607"/>
      <c r="AG607" s="1418" t="s">
        <v>678</v>
      </c>
      <c r="AH607" s="1418"/>
      <c r="AI607"/>
      <c r="AJ607"/>
      <c r="AK607"/>
      <c r="AL607"/>
      <c r="AM607"/>
      <c r="AN607"/>
      <c r="AO607"/>
      <c r="AP607"/>
      <c r="AQ607"/>
      <c r="AR607"/>
      <c r="AS607"/>
      <c r="AT607"/>
      <c r="AU607"/>
      <c r="AV607"/>
      <c r="AW607"/>
      <c r="AX607"/>
      <c r="AY607"/>
      <c r="AZ607" s="3"/>
      <c r="BA607" s="3"/>
      <c r="BB607" s="3"/>
      <c r="BC607" s="3"/>
      <c r="BD607" s="3"/>
      <c r="BE607" s="1387">
        <f t="shared" si="1"/>
        <v>1</v>
      </c>
      <c r="BF607" s="1389"/>
      <c r="BG607" s="1396">
        <f t="shared" si="2"/>
        <v>4</v>
      </c>
      <c r="BH607" s="1397"/>
      <c r="BI607" s="1387">
        <f t="shared" si="3"/>
        <v>0</v>
      </c>
      <c r="BJ607" s="1389"/>
      <c r="BK607" s="1396">
        <f t="shared" si="4"/>
        <v>0</v>
      </c>
      <c r="BL607" s="1397"/>
      <c r="BM607" s="3"/>
      <c r="BN607" s="1392">
        <f t="shared" si="5"/>
        <v>0</v>
      </c>
      <c r="BO607" s="1393"/>
      <c r="BP607" s="1393"/>
      <c r="BQ607" s="1393"/>
      <c r="BR607" s="1394"/>
      <c r="BS607" s="1395">
        <f t="shared" si="6"/>
        <v>0</v>
      </c>
      <c r="BT607" s="1395"/>
      <c r="BU607" s="1395"/>
      <c r="BV607" s="1395"/>
      <c r="BW607" s="1395"/>
      <c r="BX607" s="1395">
        <f t="shared" si="7"/>
        <v>4</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f t="shared" si="19"/>
        <v>1431</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2">
        <f t="shared" si="5"/>
        <v>0</v>
      </c>
      <c r="BO608" s="1393"/>
      <c r="BP608" s="1393"/>
      <c r="BQ608" s="1393"/>
      <c r="BR608" s="1394"/>
      <c r="BS608" s="1395">
        <f t="shared" si="6"/>
        <v>0</v>
      </c>
      <c r="BT608" s="1395"/>
      <c r="BU608" s="1395"/>
      <c r="BV608" s="1395"/>
      <c r="BW608" s="1395"/>
      <c r="BX608" s="1395">
        <f t="shared" si="7"/>
        <v>4</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f t="shared" si="19"/>
        <v>1743</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5"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2">
        <f t="shared" si="5"/>
        <v>0</v>
      </c>
      <c r="BO609" s="1393"/>
      <c r="BP609" s="1393"/>
      <c r="BQ609" s="1393"/>
      <c r="BR609" s="1394"/>
      <c r="BS609" s="1395">
        <f t="shared" si="6"/>
        <v>0</v>
      </c>
      <c r="BT609" s="1395"/>
      <c r="BU609" s="1395"/>
      <c r="BV609" s="1395"/>
      <c r="BW609" s="1395"/>
      <c r="BX609" s="1395">
        <f t="shared" si="7"/>
        <v>23</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f t="shared" si="19"/>
        <v>1743</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2">
        <f t="shared" si="5"/>
        <v>0</v>
      </c>
      <c r="BO610" s="1393"/>
      <c r="BP610" s="1393"/>
      <c r="BQ610" s="1393"/>
      <c r="BR610" s="1394"/>
      <c r="BS610" s="1395">
        <f t="shared" si="6"/>
        <v>0</v>
      </c>
      <c r="BT610" s="1395"/>
      <c r="BU610" s="1395"/>
      <c r="BV610" s="1395"/>
      <c r="BW610" s="1395"/>
      <c r="BX610" s="1395">
        <f t="shared" si="7"/>
        <v>7</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f t="shared" si="19"/>
        <v>2367</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5"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1</v>
      </c>
      <c r="BJ611" s="1389"/>
      <c r="BK611" s="1396">
        <f t="shared" si="4"/>
        <v>4</v>
      </c>
      <c r="BL611" s="1397"/>
      <c r="BM611" s="3"/>
      <c r="BN611" s="1392">
        <f t="shared" si="5"/>
        <v>0</v>
      </c>
      <c r="BO611" s="1393"/>
      <c r="BP611" s="1393"/>
      <c r="BQ611" s="1393"/>
      <c r="BR611" s="1394"/>
      <c r="BS611" s="1395">
        <f t="shared" si="6"/>
        <v>0</v>
      </c>
      <c r="BT611" s="1395"/>
      <c r="BU611" s="1395"/>
      <c r="BV611" s="1395"/>
      <c r="BW611" s="1395"/>
      <c r="BX611" s="1395">
        <f t="shared" si="7"/>
        <v>0</v>
      </c>
      <c r="BY611" s="1395"/>
      <c r="BZ611" s="1395"/>
      <c r="CA611" s="1395"/>
      <c r="CB611" s="1395"/>
      <c r="CC611" s="1395">
        <f t="shared" si="8"/>
        <v>4</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4</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f t="shared" si="20"/>
        <v>921</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1</v>
      </c>
      <c r="BF612" s="1389"/>
      <c r="BG612" s="1396">
        <f t="shared" si="2"/>
        <v>4</v>
      </c>
      <c r="BH612" s="1397"/>
      <c r="BI612" s="1387">
        <f t="shared" si="3"/>
        <v>0</v>
      </c>
      <c r="BJ612" s="1389"/>
      <c r="BK612" s="1396">
        <f t="shared" si="4"/>
        <v>0</v>
      </c>
      <c r="BL612" s="1397"/>
      <c r="BM612" s="3"/>
      <c r="BN612" s="1392">
        <f t="shared" si="5"/>
        <v>0</v>
      </c>
      <c r="BO612" s="1393"/>
      <c r="BP612" s="1393"/>
      <c r="BQ612" s="1393"/>
      <c r="BR612" s="1394"/>
      <c r="BS612" s="1395">
        <f t="shared" si="6"/>
        <v>0</v>
      </c>
      <c r="BT612" s="1395"/>
      <c r="BU612" s="1395"/>
      <c r="BV612" s="1395"/>
      <c r="BW612" s="1395"/>
      <c r="BX612" s="1395">
        <f t="shared" si="7"/>
        <v>0</v>
      </c>
      <c r="BY612" s="1395"/>
      <c r="BZ612" s="1395"/>
      <c r="CA612" s="1395"/>
      <c r="CB612" s="1395"/>
      <c r="CC612" s="1395">
        <f t="shared" si="8"/>
        <v>4</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f t="shared" si="20"/>
        <v>1643</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5"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2">
        <f t="shared" si="5"/>
        <v>0</v>
      </c>
      <c r="BO613" s="1393"/>
      <c r="BP613" s="1393"/>
      <c r="BQ613" s="1393"/>
      <c r="BR613" s="1394"/>
      <c r="BS613" s="1395">
        <f t="shared" si="6"/>
        <v>0</v>
      </c>
      <c r="BT613" s="1395"/>
      <c r="BU613" s="1395"/>
      <c r="BV613" s="1395"/>
      <c r="BW613" s="1395"/>
      <c r="BX613" s="1395">
        <f t="shared" si="7"/>
        <v>0</v>
      </c>
      <c r="BY613" s="1395"/>
      <c r="BZ613" s="1395"/>
      <c r="CA613" s="1395"/>
      <c r="CB613" s="1395"/>
      <c r="CC613" s="1395">
        <f t="shared" si="8"/>
        <v>27</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f t="shared" si="20"/>
        <v>2003</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2">
        <f t="shared" si="5"/>
        <v>0</v>
      </c>
      <c r="BO614" s="1393"/>
      <c r="BP614" s="1393"/>
      <c r="BQ614" s="1393"/>
      <c r="BR614" s="1394"/>
      <c r="BS614" s="1395">
        <f t="shared" si="6"/>
        <v>0</v>
      </c>
      <c r="BT614" s="1395"/>
      <c r="BU614" s="1395"/>
      <c r="BV614" s="1395"/>
      <c r="BW614" s="1395"/>
      <c r="BX614" s="1395">
        <f t="shared" si="7"/>
        <v>0</v>
      </c>
      <c r="BY614" s="1395"/>
      <c r="BZ614" s="1395"/>
      <c r="CA614" s="1395"/>
      <c r="CB614" s="1395"/>
      <c r="CC614" s="1395">
        <f t="shared" si="8"/>
        <v>1</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f t="shared" si="20"/>
        <v>2725</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5" customHeight="1">
      <c r="B615" t="s">
        <v>20</v>
      </c>
      <c r="N615" s="1418" t="s">
        <v>678</v>
      </c>
      <c r="O615" s="1418"/>
      <c r="U615" t="s">
        <v>20</v>
      </c>
      <c r="AG615" s="1418" t="s">
        <v>678</v>
      </c>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2">
        <f t="shared" si="5"/>
        <v>0</v>
      </c>
      <c r="BO615" s="1393"/>
      <c r="BP615" s="1393"/>
      <c r="BQ615" s="1393"/>
      <c r="BR615" s="1394"/>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2">
        <f t="shared" si="5"/>
        <v>0</v>
      </c>
      <c r="BO616" s="1393"/>
      <c r="BP616" s="1393"/>
      <c r="BQ616" s="1393"/>
      <c r="BR616" s="1394"/>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2">
        <f t="shared" si="5"/>
        <v>0</v>
      </c>
      <c r="BO617" s="1393"/>
      <c r="BP617" s="1393"/>
      <c r="BQ617" s="1393"/>
      <c r="BR617" s="1394"/>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2">
        <f t="shared" si="5"/>
        <v>0</v>
      </c>
      <c r="BO618" s="1393"/>
      <c r="BP618" s="1393"/>
      <c r="BQ618" s="1393"/>
      <c r="BR618" s="1394"/>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2">
        <f t="shared" si="5"/>
        <v>0</v>
      </c>
      <c r="BO619" s="1393"/>
      <c r="BP619" s="1393"/>
      <c r="BQ619" s="1393"/>
      <c r="BR619" s="1394"/>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5" customHeight="1">
      <c r="A620" s="2" t="s">
        <v>320</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2">
        <f t="shared" si="5"/>
        <v>0</v>
      </c>
      <c r="BO620" s="1393"/>
      <c r="BP620" s="1393"/>
      <c r="BQ620" s="1393"/>
      <c r="BR620" s="1394"/>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2">
        <f t="shared" si="5"/>
        <v>0</v>
      </c>
      <c r="BO621" s="1393"/>
      <c r="BP621" s="1393"/>
      <c r="BQ621" s="1393"/>
      <c r="BR621" s="1394"/>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5" customHeight="1">
      <c r="C622" s="2" t="s">
        <v>2419</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2">
        <f t="shared" si="5"/>
        <v>0</v>
      </c>
      <c r="BO622" s="1393"/>
      <c r="BP622" s="1393"/>
      <c r="BQ622" s="1393"/>
      <c r="BR622" s="1394"/>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2">
        <f t="shared" si="5"/>
        <v>0</v>
      </c>
      <c r="BO623" s="1393"/>
      <c r="BP623" s="1393"/>
      <c r="BQ623" s="1393"/>
      <c r="BR623" s="1394"/>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5" customHeight="1">
      <c r="B624" s="1591" t="s">
        <v>2421</v>
      </c>
      <c r="C624" s="1591"/>
      <c r="D624" s="1591"/>
      <c r="E624" s="1591"/>
      <c r="F624" s="1591"/>
      <c r="G624" s="1591"/>
      <c r="H624" s="1591"/>
      <c r="I624" s="1591"/>
      <c r="J624" s="1591"/>
      <c r="K624" s="1591"/>
      <c r="L624" s="1591"/>
      <c r="M624" s="1699" t="s">
        <v>2422</v>
      </c>
      <c r="N624" s="1699"/>
      <c r="O624" s="1699"/>
      <c r="P624" s="1699"/>
      <c r="Q624" s="1699" t="s">
        <v>2043</v>
      </c>
      <c r="R624" s="1699"/>
      <c r="S624" s="1699"/>
      <c r="T624" s="1699" t="s">
        <v>2041</v>
      </c>
      <c r="U624" s="1699"/>
      <c r="V624" s="1699"/>
      <c r="W624" s="1842" t="s">
        <v>462</v>
      </c>
      <c r="X624" s="1842"/>
      <c r="Y624" s="1842"/>
      <c r="Z624" s="1409" t="s">
        <v>2451</v>
      </c>
      <c r="AA624" s="1409"/>
      <c r="AB624" s="1410"/>
      <c r="AC624" s="1708" t="s">
        <v>1864</v>
      </c>
      <c r="AD624" s="1709"/>
      <c r="AE624" s="1710"/>
      <c r="AF624" s="1408" t="s">
        <v>2230</v>
      </c>
      <c r="AG624" s="1409"/>
      <c r="AH624" s="1409"/>
      <c r="AI624" s="1409"/>
      <c r="AJ624" s="1410"/>
      <c r="AK624" s="1830" t="s">
        <v>2231</v>
      </c>
      <c r="AL624" s="1831"/>
      <c r="AM624" s="1831"/>
      <c r="AN624" s="1832"/>
      <c r="AO624" s="1699" t="s">
        <v>463</v>
      </c>
      <c r="AP624" s="1699"/>
      <c r="AQ624" s="1699"/>
      <c r="AR624" s="1699"/>
      <c r="AS624" s="1699"/>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2">
        <f t="shared" si="5"/>
        <v>0</v>
      </c>
      <c r="BO624" s="1393"/>
      <c r="BP624" s="1393"/>
      <c r="BQ624" s="1393"/>
      <c r="BR624" s="1394"/>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5" customHeight="1">
      <c r="B625" s="1591"/>
      <c r="C625" s="1591"/>
      <c r="D625" s="1591"/>
      <c r="E625" s="1591"/>
      <c r="F625" s="1591"/>
      <c r="G625" s="1591"/>
      <c r="H625" s="1591"/>
      <c r="I625" s="1591"/>
      <c r="J625" s="1591"/>
      <c r="K625" s="1591"/>
      <c r="L625" s="1591"/>
      <c r="M625" s="1699"/>
      <c r="N625" s="1699"/>
      <c r="O625" s="1699"/>
      <c r="P625" s="1699"/>
      <c r="Q625" s="1699"/>
      <c r="R625" s="1699"/>
      <c r="S625" s="1699"/>
      <c r="T625" s="1699"/>
      <c r="U625" s="1699"/>
      <c r="V625" s="1699"/>
      <c r="W625" s="1842"/>
      <c r="X625" s="1842"/>
      <c r="Y625" s="1842"/>
      <c r="Z625" s="1412"/>
      <c r="AA625" s="1412"/>
      <c r="AB625" s="1413"/>
      <c r="AC625" s="1711"/>
      <c r="AD625" s="1712"/>
      <c r="AE625" s="1713"/>
      <c r="AF625" s="1411"/>
      <c r="AG625" s="1412"/>
      <c r="AH625" s="1412"/>
      <c r="AI625" s="1412"/>
      <c r="AJ625" s="1413"/>
      <c r="AK625" s="1833"/>
      <c r="AL625" s="1834"/>
      <c r="AM625" s="1834"/>
      <c r="AN625" s="1835"/>
      <c r="AO625" s="1699"/>
      <c r="AP625" s="1699"/>
      <c r="AQ625" s="1699"/>
      <c r="AR625" s="1699"/>
      <c r="AS625" s="1699"/>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2">
        <f t="shared" si="5"/>
        <v>0</v>
      </c>
      <c r="BO625" s="1393"/>
      <c r="BP625" s="1393"/>
      <c r="BQ625" s="1393"/>
      <c r="BR625" s="1394"/>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5" customHeight="1">
      <c r="B626" s="1591"/>
      <c r="C626" s="1591"/>
      <c r="D626" s="1591"/>
      <c r="E626" s="1591"/>
      <c r="F626" s="1591"/>
      <c r="G626" s="1591"/>
      <c r="H626" s="1591"/>
      <c r="I626" s="1591"/>
      <c r="J626" s="1591"/>
      <c r="K626" s="1591"/>
      <c r="L626" s="1591"/>
      <c r="M626" s="1699"/>
      <c r="N626" s="1699"/>
      <c r="O626" s="1699"/>
      <c r="P626" s="1699"/>
      <c r="Q626" s="1699"/>
      <c r="R626" s="1699"/>
      <c r="S626" s="1699"/>
      <c r="T626" s="1699"/>
      <c r="U626" s="1699"/>
      <c r="V626" s="1699"/>
      <c r="W626" s="1842"/>
      <c r="X626" s="1842"/>
      <c r="Y626" s="1842"/>
      <c r="Z626" s="1484"/>
      <c r="AA626" s="1484"/>
      <c r="AB626" s="1485"/>
      <c r="AC626" s="1714"/>
      <c r="AD626" s="1715"/>
      <c r="AE626" s="1716"/>
      <c r="AF626" s="1483"/>
      <c r="AG626" s="1484"/>
      <c r="AH626" s="1484"/>
      <c r="AI626" s="1484"/>
      <c r="AJ626" s="1485"/>
      <c r="AK626" s="1836"/>
      <c r="AL626" s="1837"/>
      <c r="AM626" s="1837"/>
      <c r="AN626" s="1838"/>
      <c r="AO626" s="1699"/>
      <c r="AP626" s="1699"/>
      <c r="AQ626" s="1699"/>
      <c r="AR626" s="1699"/>
      <c r="AS626" s="1699"/>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2">
        <f t="shared" si="5"/>
        <v>0</v>
      </c>
      <c r="BO626" s="1393"/>
      <c r="BP626" s="1393"/>
      <c r="BQ626" s="1393"/>
      <c r="BR626" s="1394"/>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5" customHeight="1">
      <c r="B627" s="51" t="s">
        <v>112</v>
      </c>
      <c r="C627" s="1703" t="s">
        <v>2732</v>
      </c>
      <c r="D627" s="1703"/>
      <c r="E627" s="1703"/>
      <c r="F627" s="1703"/>
      <c r="G627" s="1703"/>
      <c r="H627" s="1703"/>
      <c r="I627" s="1703"/>
      <c r="J627" s="1703"/>
      <c r="K627" s="1703"/>
      <c r="L627" s="1703"/>
      <c r="M627" s="1707" t="s">
        <v>2438</v>
      </c>
      <c r="N627" s="1707"/>
      <c r="O627" s="1707"/>
      <c r="P627" s="1707"/>
      <c r="Q627" s="1555">
        <v>204</v>
      </c>
      <c r="R627" s="1555"/>
      <c r="S627" s="1706"/>
      <c r="T627" s="1705">
        <v>480</v>
      </c>
      <c r="U627" s="1555"/>
      <c r="V627" s="1706"/>
      <c r="W627" s="1700">
        <v>5.3499999999999999E-2</v>
      </c>
      <c r="X627" s="1701"/>
      <c r="Y627" s="1702"/>
      <c r="Z627" s="1512" t="s">
        <v>2450</v>
      </c>
      <c r="AA627" s="1513"/>
      <c r="AB627" s="1514"/>
      <c r="AC627" s="1423">
        <v>1</v>
      </c>
      <c r="AD627" s="1424"/>
      <c r="AE627" s="1425"/>
      <c r="AF627" s="1584">
        <v>2916247</v>
      </c>
      <c r="AG627" s="1585"/>
      <c r="AH627" s="1585"/>
      <c r="AI627" s="1585"/>
      <c r="AJ627" s="1586"/>
      <c r="AK627" s="1717"/>
      <c r="AL627" s="1718"/>
      <c r="AM627" s="1718"/>
      <c r="AN627" s="1719"/>
      <c r="AO627" s="1611">
        <v>48065435</v>
      </c>
      <c r="AP627" s="1611"/>
      <c r="AQ627" s="1611"/>
      <c r="AR627" s="1611"/>
      <c r="AS627" s="1611"/>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2">
        <f t="shared" si="5"/>
        <v>0</v>
      </c>
      <c r="BO627" s="1393"/>
      <c r="BP627" s="1393"/>
      <c r="BQ627" s="1393"/>
      <c r="BR627" s="1394"/>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5" customHeight="1">
      <c r="B628" s="52" t="s">
        <v>113</v>
      </c>
      <c r="C628" s="1703" t="s">
        <v>2673</v>
      </c>
      <c r="D628" s="1703"/>
      <c r="E628" s="1703"/>
      <c r="F628" s="1703"/>
      <c r="G628" s="1703"/>
      <c r="H628" s="1703"/>
      <c r="I628" s="1703"/>
      <c r="J628" s="1703"/>
      <c r="K628" s="1703"/>
      <c r="L628" s="1703"/>
      <c r="M628" s="1707" t="s">
        <v>2425</v>
      </c>
      <c r="N628" s="1707"/>
      <c r="O628" s="1707"/>
      <c r="P628" s="1707"/>
      <c r="Q628" s="1705"/>
      <c r="R628" s="1555"/>
      <c r="S628" s="1706"/>
      <c r="T628" s="1705"/>
      <c r="U628" s="1555"/>
      <c r="V628" s="1706"/>
      <c r="W628" s="1700"/>
      <c r="X628" s="1701"/>
      <c r="Y628" s="1702"/>
      <c r="Z628" s="1512" t="s">
        <v>1291</v>
      </c>
      <c r="AA628" s="1513"/>
      <c r="AB628" s="1514"/>
      <c r="AC628" s="1423"/>
      <c r="AD628" s="1424"/>
      <c r="AE628" s="1425"/>
      <c r="AF628" s="1584"/>
      <c r="AG628" s="1585"/>
      <c r="AH628" s="1585"/>
      <c r="AI628" s="1585"/>
      <c r="AJ628" s="1586"/>
      <c r="AK628" s="1717"/>
      <c r="AL628" s="1718"/>
      <c r="AM628" s="1718"/>
      <c r="AN628" s="1719"/>
      <c r="AO628" s="1579">
        <v>6673168</v>
      </c>
      <c r="AP628" s="1580"/>
      <c r="AQ628" s="1580"/>
      <c r="AR628" s="1580"/>
      <c r="AS628" s="1581"/>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2">
        <f t="shared" si="5"/>
        <v>0</v>
      </c>
      <c r="BO628" s="1393"/>
      <c r="BP628" s="1393"/>
      <c r="BQ628" s="1393"/>
      <c r="BR628" s="1394"/>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5" customHeight="1">
      <c r="B629" s="52" t="s">
        <v>119</v>
      </c>
      <c r="C629" s="1703"/>
      <c r="D629" s="1703"/>
      <c r="E629" s="1703"/>
      <c r="F629" s="1703"/>
      <c r="G629" s="1703"/>
      <c r="H629" s="1703"/>
      <c r="I629" s="1703"/>
      <c r="J629" s="1703"/>
      <c r="K629" s="1703"/>
      <c r="L629" s="1703"/>
      <c r="M629" s="1707" t="s">
        <v>1291</v>
      </c>
      <c r="N629" s="1707"/>
      <c r="O629" s="1707"/>
      <c r="P629" s="1707"/>
      <c r="Q629" s="1705"/>
      <c r="R629" s="1555"/>
      <c r="S629" s="1706"/>
      <c r="T629" s="1705"/>
      <c r="U629" s="1555"/>
      <c r="V629" s="1706"/>
      <c r="W629" s="1700"/>
      <c r="X629" s="1701"/>
      <c r="Y629" s="1702"/>
      <c r="Z629" s="1512" t="s">
        <v>1291</v>
      </c>
      <c r="AA629" s="1513"/>
      <c r="AB629" s="1514"/>
      <c r="AC629" s="1423"/>
      <c r="AD629" s="1424"/>
      <c r="AE629" s="1425"/>
      <c r="AF629" s="1584"/>
      <c r="AG629" s="1585"/>
      <c r="AH629" s="1585"/>
      <c r="AI629" s="1585"/>
      <c r="AJ629" s="1586"/>
      <c r="AK629" s="1717"/>
      <c r="AL629" s="1718"/>
      <c r="AM629" s="1718"/>
      <c r="AN629" s="1719"/>
      <c r="AO629" s="1579"/>
      <c r="AP629" s="1580"/>
      <c r="AQ629" s="1580"/>
      <c r="AR629" s="1580"/>
      <c r="AS629" s="1581"/>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2">
        <f t="shared" si="5"/>
        <v>0</v>
      </c>
      <c r="BO629" s="1393"/>
      <c r="BP629" s="1393"/>
      <c r="BQ629" s="1393"/>
      <c r="BR629" s="1394"/>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5" customHeight="1">
      <c r="B630" s="52" t="s">
        <v>590</v>
      </c>
      <c r="C630" s="1704"/>
      <c r="D630" s="1704"/>
      <c r="E630" s="1704"/>
      <c r="F630" s="1704"/>
      <c r="G630" s="1704"/>
      <c r="H630" s="1704"/>
      <c r="I630" s="1704"/>
      <c r="J630" s="1704"/>
      <c r="K630" s="1704"/>
      <c r="L630" s="1704"/>
      <c r="M630" s="1707" t="s">
        <v>1291</v>
      </c>
      <c r="N630" s="1707"/>
      <c r="O630" s="1707"/>
      <c r="P630" s="1707"/>
      <c r="Q630" s="1705"/>
      <c r="R630" s="1555"/>
      <c r="S630" s="1706"/>
      <c r="T630" s="1705"/>
      <c r="U630" s="1555"/>
      <c r="V630" s="1706"/>
      <c r="W630" s="1700"/>
      <c r="X630" s="1701"/>
      <c r="Y630" s="1702"/>
      <c r="Z630" s="1512" t="s">
        <v>1291</v>
      </c>
      <c r="AA630" s="1513"/>
      <c r="AB630" s="1514"/>
      <c r="AC630" s="1423"/>
      <c r="AD630" s="1424"/>
      <c r="AE630" s="1425"/>
      <c r="AF630" s="1584"/>
      <c r="AG630" s="1585"/>
      <c r="AH630" s="1585"/>
      <c r="AI630" s="1585"/>
      <c r="AJ630" s="1586"/>
      <c r="AK630" s="1717"/>
      <c r="AL630" s="1718"/>
      <c r="AM630" s="1718"/>
      <c r="AN630" s="1719"/>
      <c r="AO630" s="1579"/>
      <c r="AP630" s="1580"/>
      <c r="AQ630" s="1580"/>
      <c r="AR630" s="1580"/>
      <c r="AS630" s="1581"/>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2">
        <f t="shared" si="5"/>
        <v>0</v>
      </c>
      <c r="BO630" s="1393"/>
      <c r="BP630" s="1393"/>
      <c r="BQ630" s="1393"/>
      <c r="BR630" s="1394"/>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5" customHeight="1">
      <c r="B631" s="52" t="s">
        <v>773</v>
      </c>
      <c r="C631" s="1704"/>
      <c r="D631" s="1704"/>
      <c r="E631" s="1704"/>
      <c r="F631" s="1704"/>
      <c r="G631" s="1704"/>
      <c r="H631" s="1704"/>
      <c r="I631" s="1704"/>
      <c r="J631" s="1704"/>
      <c r="K631" s="1704"/>
      <c r="L631" s="1704"/>
      <c r="M631" s="1707" t="s">
        <v>1291</v>
      </c>
      <c r="N631" s="1707"/>
      <c r="O631" s="1707"/>
      <c r="P631" s="1707"/>
      <c r="Q631" s="1705"/>
      <c r="R631" s="1555"/>
      <c r="S631" s="1706"/>
      <c r="T631" s="1705"/>
      <c r="U631" s="1555"/>
      <c r="V631" s="1706"/>
      <c r="W631" s="1700"/>
      <c r="X631" s="1701"/>
      <c r="Y631" s="1702"/>
      <c r="Z631" s="1512" t="s">
        <v>1291</v>
      </c>
      <c r="AA631" s="1513"/>
      <c r="AB631" s="1514"/>
      <c r="AC631" s="1423"/>
      <c r="AD631" s="1424"/>
      <c r="AE631" s="1425"/>
      <c r="AF631" s="1584"/>
      <c r="AG631" s="1585"/>
      <c r="AH631" s="1585"/>
      <c r="AI631" s="1585"/>
      <c r="AJ631" s="1586"/>
      <c r="AK631" s="1717"/>
      <c r="AL631" s="1718"/>
      <c r="AM631" s="1718"/>
      <c r="AN631" s="1719"/>
      <c r="AO631" s="1579"/>
      <c r="AP631" s="1580"/>
      <c r="AQ631" s="1580"/>
      <c r="AR631" s="1580"/>
      <c r="AS631" s="1581"/>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2">
        <f t="shared" si="5"/>
        <v>0</v>
      </c>
      <c r="BO631" s="1393"/>
      <c r="BP631" s="1393"/>
      <c r="BQ631" s="1393"/>
      <c r="BR631" s="1394"/>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5" customHeight="1">
      <c r="B632" s="52" t="s">
        <v>593</v>
      </c>
      <c r="C632" s="1704"/>
      <c r="D632" s="1704"/>
      <c r="E632" s="1704"/>
      <c r="F632" s="1704"/>
      <c r="G632" s="1704"/>
      <c r="H632" s="1704"/>
      <c r="I632" s="1704"/>
      <c r="J632" s="1704"/>
      <c r="K632" s="1704"/>
      <c r="L632" s="1704"/>
      <c r="M632" s="1707" t="s">
        <v>1291</v>
      </c>
      <c r="N632" s="1707"/>
      <c r="O632" s="1707"/>
      <c r="P632" s="1707"/>
      <c r="Q632" s="1705"/>
      <c r="R632" s="1555"/>
      <c r="S632" s="1706"/>
      <c r="T632" s="1705"/>
      <c r="U632" s="1555"/>
      <c r="V632" s="1706"/>
      <c r="W632" s="1700"/>
      <c r="X632" s="1701"/>
      <c r="Y632" s="1702"/>
      <c r="Z632" s="1512" t="s">
        <v>1291</v>
      </c>
      <c r="AA632" s="1513"/>
      <c r="AB632" s="1514"/>
      <c r="AC632" s="1423"/>
      <c r="AD632" s="1424"/>
      <c r="AE632" s="1425"/>
      <c r="AF632" s="1584"/>
      <c r="AG632" s="1585"/>
      <c r="AH632" s="1585"/>
      <c r="AI632" s="1585"/>
      <c r="AJ632" s="1586"/>
      <c r="AK632" s="1717"/>
      <c r="AL632" s="1718"/>
      <c r="AM632" s="1718"/>
      <c r="AN632" s="1719"/>
      <c r="AO632" s="1579"/>
      <c r="AP632" s="1580"/>
      <c r="AQ632" s="1580"/>
      <c r="AR632" s="1580"/>
      <c r="AS632" s="1581"/>
      <c r="AT632" s="1192" t="str">
        <f t="shared" si="23"/>
        <v/>
      </c>
      <c r="AU632" s="3"/>
      <c r="AZ632" s="3"/>
      <c r="BA632" s="3"/>
      <c r="BB632" s="3"/>
      <c r="BC632" s="3"/>
      <c r="BD632" s="3"/>
      <c r="BE632" s="3"/>
      <c r="BF632" s="3"/>
      <c r="BG632" s="1387">
        <f>SUM(BG597:BH631)</f>
        <v>13</v>
      </c>
      <c r="BH632" s="1389"/>
      <c r="BI632" s="3"/>
      <c r="BJ632" s="3"/>
      <c r="BK632" s="1387">
        <f>SUM(BK597:BL631)</f>
        <v>13</v>
      </c>
      <c r="BL632" s="1389"/>
      <c r="BM632" s="3"/>
      <c r="BN632" s="1387">
        <f>SUM(BN597:BR631)</f>
        <v>15</v>
      </c>
      <c r="BO632" s="1388"/>
      <c r="BP632" s="1388"/>
      <c r="BQ632" s="1388"/>
      <c r="BR632" s="1389"/>
      <c r="BS632" s="1391">
        <f>SUM(BS597:BW631)</f>
        <v>28</v>
      </c>
      <c r="BT632" s="1391"/>
      <c r="BU632" s="1391"/>
      <c r="BV632" s="1391"/>
      <c r="BW632" s="1391"/>
      <c r="BX632" s="1391">
        <f>SUM(BX597:CB631)</f>
        <v>42</v>
      </c>
      <c r="BY632" s="1391"/>
      <c r="BZ632" s="1391"/>
      <c r="CA632" s="1391"/>
      <c r="CB632" s="1391"/>
      <c r="CC632" s="1391">
        <f>SUM(CC597:CG631)</f>
        <v>36</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2</v>
      </c>
      <c r="CT632" s="1391"/>
      <c r="CU632" s="1391"/>
      <c r="CV632" s="1391"/>
      <c r="CW632" s="1391"/>
      <c r="CX632" s="1391">
        <f>SUM(CX597:DB631)</f>
        <v>3</v>
      </c>
      <c r="CY632" s="1391"/>
      <c r="CZ632" s="1391"/>
      <c r="DA632" s="1391"/>
      <c r="DB632" s="1391"/>
      <c r="DC632" s="1391">
        <f>SUM(DC597:DG631)</f>
        <v>4</v>
      </c>
      <c r="DD632" s="1391"/>
      <c r="DE632" s="1391"/>
      <c r="DF632" s="1391"/>
      <c r="DG632" s="1391"/>
      <c r="DH632" s="1391">
        <f>SUM(DH597:DL631)</f>
        <v>4</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4976</v>
      </c>
      <c r="DY632" s="1391"/>
      <c r="DZ632" s="1391"/>
      <c r="EA632" s="1391"/>
      <c r="EB632" s="1391"/>
      <c r="EC632" s="1391">
        <f>SUM(EC597:EG631)</f>
        <v>6692</v>
      </c>
      <c r="ED632" s="1391"/>
      <c r="EE632" s="1391"/>
      <c r="EF632" s="1391"/>
      <c r="EG632" s="1391"/>
      <c r="EH632" s="1391">
        <f>SUM(EH597:EL631)</f>
        <v>8091</v>
      </c>
      <c r="EI632" s="1391"/>
      <c r="EJ632" s="1391"/>
      <c r="EK632" s="1391"/>
      <c r="EL632" s="1391"/>
      <c r="EM632" s="1391">
        <f>SUM(EM597:EQ631)</f>
        <v>7292</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464</v>
      </c>
      <c r="C633" s="1704"/>
      <c r="D633" s="1704"/>
      <c r="E633" s="1704"/>
      <c r="F633" s="1704"/>
      <c r="G633" s="1704"/>
      <c r="H633" s="1704"/>
      <c r="I633" s="1704"/>
      <c r="J633" s="1704"/>
      <c r="K633" s="1704"/>
      <c r="L633" s="1704"/>
      <c r="M633" s="1707" t="s">
        <v>1291</v>
      </c>
      <c r="N633" s="1707"/>
      <c r="O633" s="1707"/>
      <c r="P633" s="1707"/>
      <c r="Q633" s="1705"/>
      <c r="R633" s="1555"/>
      <c r="S633" s="1706"/>
      <c r="T633" s="1705"/>
      <c r="U633" s="1555"/>
      <c r="V633" s="1706"/>
      <c r="W633" s="1700"/>
      <c r="X633" s="1701"/>
      <c r="Y633" s="1702"/>
      <c r="Z633" s="1512" t="s">
        <v>1291</v>
      </c>
      <c r="AA633" s="1513"/>
      <c r="AB633" s="1514"/>
      <c r="AC633" s="1423"/>
      <c r="AD633" s="1424"/>
      <c r="AE633" s="1425"/>
      <c r="AF633" s="1584"/>
      <c r="AG633" s="1585"/>
      <c r="AH633" s="1585"/>
      <c r="AI633" s="1585"/>
      <c r="AJ633" s="1586"/>
      <c r="AK633" s="1717"/>
      <c r="AL633" s="1718"/>
      <c r="AM633" s="1718"/>
      <c r="AN633" s="1719"/>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7">
        <f>BN632+BS632+BX632+CC632+CH632+CM632</f>
        <v>121</v>
      </c>
      <c r="CN633" s="1388"/>
      <c r="CO633" s="1388"/>
      <c r="CP633" s="1388"/>
      <c r="CQ633" s="1389"/>
      <c r="CR633" s="385"/>
      <c r="CS633" s="3"/>
      <c r="CT633" s="3"/>
      <c r="CU633" s="3"/>
      <c r="CV633" s="3"/>
      <c r="CW633" s="3"/>
      <c r="CX633" s="3"/>
      <c r="CY633" s="3"/>
      <c r="CZ633" s="3"/>
      <c r="DA633" s="3"/>
      <c r="DB633" s="3"/>
      <c r="DC633" s="3"/>
      <c r="DD633" s="3"/>
      <c r="DE633" s="3"/>
      <c r="DF633" s="3"/>
    </row>
    <row r="634" spans="2:157" ht="12.95" customHeight="1">
      <c r="B634" s="52" t="s">
        <v>465</v>
      </c>
      <c r="C634" s="1704"/>
      <c r="D634" s="1704"/>
      <c r="E634" s="1704"/>
      <c r="F634" s="1704"/>
      <c r="G634" s="1704"/>
      <c r="H634" s="1704"/>
      <c r="I634" s="1704"/>
      <c r="J634" s="1704"/>
      <c r="K634" s="1704"/>
      <c r="L634" s="1704"/>
      <c r="M634" s="1707" t="s">
        <v>1291</v>
      </c>
      <c r="N634" s="1707"/>
      <c r="O634" s="1707"/>
      <c r="P634" s="1707"/>
      <c r="Q634" s="1705"/>
      <c r="R634" s="1555"/>
      <c r="S634" s="1706"/>
      <c r="T634" s="1705"/>
      <c r="U634" s="1555"/>
      <c r="V634" s="1706"/>
      <c r="W634" s="1700"/>
      <c r="X634" s="1701"/>
      <c r="Y634" s="1702"/>
      <c r="Z634" s="1512" t="s">
        <v>1291</v>
      </c>
      <c r="AA634" s="1513"/>
      <c r="AB634" s="1514"/>
      <c r="AC634" s="1423"/>
      <c r="AD634" s="1424"/>
      <c r="AE634" s="1425"/>
      <c r="AF634" s="1584"/>
      <c r="AG634" s="1585"/>
      <c r="AH634" s="1585"/>
      <c r="AI634" s="1585"/>
      <c r="AJ634" s="1586"/>
      <c r="AK634" s="1717"/>
      <c r="AL634" s="1718"/>
      <c r="AM634" s="1718"/>
      <c r="AN634" s="1719"/>
      <c r="AO634" s="1579"/>
      <c r="AP634" s="1580"/>
      <c r="AQ634" s="1580"/>
      <c r="AR634" s="1580"/>
      <c r="AS634" s="1581"/>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15</v>
      </c>
      <c r="BS634" s="3"/>
      <c r="BT634" s="3"/>
      <c r="BU634" s="3"/>
      <c r="BV634" s="3"/>
      <c r="BW634" s="895">
        <f>BS632*1</f>
        <v>28</v>
      </c>
      <c r="BX634" s="3"/>
      <c r="BY634" s="3"/>
      <c r="BZ634" s="3"/>
      <c r="CA634" s="3"/>
      <c r="CB634" s="895">
        <f>BX632*2</f>
        <v>84</v>
      </c>
      <c r="CC634" s="3"/>
      <c r="CD634" s="3"/>
      <c r="CE634" s="3"/>
      <c r="CF634" s="3"/>
      <c r="CG634" s="895">
        <f>CC632*3</f>
        <v>108</v>
      </c>
      <c r="CH634" s="3"/>
      <c r="CI634" s="3"/>
      <c r="CJ634" s="3"/>
      <c r="CK634" s="3"/>
      <c r="CL634" s="895">
        <f>CH632*4</f>
        <v>0</v>
      </c>
      <c r="CM634" s="3"/>
      <c r="CN634" s="3"/>
      <c r="CO634" s="3"/>
      <c r="CP634" s="3"/>
      <c r="CQ634" s="895">
        <f>CM632*5</f>
        <v>0</v>
      </c>
      <c r="CS634" s="895">
        <f>BR634+BW634+CB634+CG634+CL634+CQ634</f>
        <v>235</v>
      </c>
      <c r="CT634" s="57" t="s">
        <v>2053</v>
      </c>
      <c r="CU634" s="3"/>
      <c r="CV634" s="3"/>
      <c r="CW634" s="3"/>
      <c r="CX634" s="3"/>
      <c r="CY634" s="3"/>
      <c r="CZ634" s="3"/>
      <c r="DA634" s="3"/>
      <c r="DB634" s="3"/>
      <c r="DC634" s="3"/>
      <c r="DD634" s="3"/>
      <c r="DE634" s="3"/>
      <c r="DF634" s="3"/>
    </row>
    <row r="635" spans="2:157" ht="12.95" customHeight="1">
      <c r="B635" s="52" t="s">
        <v>470</v>
      </c>
      <c r="C635" s="1704"/>
      <c r="D635" s="1704"/>
      <c r="E635" s="1704"/>
      <c r="F635" s="1704"/>
      <c r="G635" s="1704"/>
      <c r="H635" s="1704"/>
      <c r="I635" s="1704"/>
      <c r="J635" s="1704"/>
      <c r="K635" s="1704"/>
      <c r="L635" s="1704"/>
      <c r="M635" s="1707" t="s">
        <v>1291</v>
      </c>
      <c r="N635" s="1707"/>
      <c r="O635" s="1707"/>
      <c r="P635" s="1707"/>
      <c r="Q635" s="1705"/>
      <c r="R635" s="1555"/>
      <c r="S635" s="1706"/>
      <c r="T635" s="1705"/>
      <c r="U635" s="1555"/>
      <c r="V635" s="1706"/>
      <c r="W635" s="1700"/>
      <c r="X635" s="1701"/>
      <c r="Y635" s="1702"/>
      <c r="Z635" s="1512" t="s">
        <v>1291</v>
      </c>
      <c r="AA635" s="1513"/>
      <c r="AB635" s="1514"/>
      <c r="AC635" s="1423"/>
      <c r="AD635" s="1424"/>
      <c r="AE635" s="1425"/>
      <c r="AF635" s="1584"/>
      <c r="AG635" s="1585"/>
      <c r="AH635" s="1585"/>
      <c r="AI635" s="1585"/>
      <c r="AJ635" s="1586"/>
      <c r="AK635" s="1717"/>
      <c r="AL635" s="1718"/>
      <c r="AM635" s="1718"/>
      <c r="AN635" s="1719"/>
      <c r="AO635" s="1579"/>
      <c r="AP635" s="1580"/>
      <c r="AQ635" s="1580"/>
      <c r="AR635" s="1580"/>
      <c r="AS635" s="1581"/>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f>DX597*(BN597/$BN$632)</f>
        <v>87.466666666666669</v>
      </c>
      <c r="DY635" s="1386"/>
      <c r="DZ635" s="1386"/>
      <c r="EA635" s="1386"/>
      <c r="EB635" s="1386"/>
      <c r="EC635" s="1386" t="e">
        <f t="shared" ref="EC635:EC657" si="24">EC597*(BS597/$BS$632)</f>
        <v>#VALUE!</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5" customHeight="1">
      <c r="B636" s="52" t="s">
        <v>655</v>
      </c>
      <c r="C636" s="1704"/>
      <c r="D636" s="1704"/>
      <c r="E636" s="1704"/>
      <c r="F636" s="1704"/>
      <c r="G636" s="1704"/>
      <c r="H636" s="1704"/>
      <c r="I636" s="1704"/>
      <c r="J636" s="1704"/>
      <c r="K636" s="1704"/>
      <c r="L636" s="1704"/>
      <c r="M636" s="1707" t="s">
        <v>1291</v>
      </c>
      <c r="N636" s="1707"/>
      <c r="O636" s="1707"/>
      <c r="P636" s="1707"/>
      <c r="Q636" s="1705"/>
      <c r="R636" s="1555"/>
      <c r="S636" s="1706"/>
      <c r="T636" s="1705"/>
      <c r="U636" s="1555"/>
      <c r="V636" s="1706"/>
      <c r="W636" s="1700"/>
      <c r="X636" s="1701"/>
      <c r="Y636" s="1702"/>
      <c r="Z636" s="1512" t="s">
        <v>1291</v>
      </c>
      <c r="AA636" s="1513"/>
      <c r="AB636" s="1514"/>
      <c r="AC636" s="1423"/>
      <c r="AD636" s="1424"/>
      <c r="AE636" s="1425"/>
      <c r="AF636" s="1584"/>
      <c r="AG636" s="1585"/>
      <c r="AH636" s="1585"/>
      <c r="AI636" s="1585"/>
      <c r="AJ636" s="1586"/>
      <c r="AK636" s="1717"/>
      <c r="AL636" s="1718"/>
      <c r="AM636" s="1718"/>
      <c r="AN636" s="1719"/>
      <c r="AO636" s="1579"/>
      <c r="AP636" s="1580"/>
      <c r="AQ636" s="1580"/>
      <c r="AR636" s="1580"/>
      <c r="AS636" s="1581"/>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f t="shared" ref="DX636:DX657" si="29">DX598*(BN598/$BN$632)</f>
        <v>152.13333333333333</v>
      </c>
      <c r="DY636" s="1386"/>
      <c r="DZ636" s="1386"/>
      <c r="EA636" s="1386"/>
      <c r="EB636" s="1386"/>
      <c r="EC636" s="1386" t="e">
        <f t="shared" si="24"/>
        <v>#VALUE!</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5" customHeight="1">
      <c r="B637" s="52" t="s">
        <v>363</v>
      </c>
      <c r="C637" s="1704"/>
      <c r="D637" s="1704"/>
      <c r="E637" s="1704"/>
      <c r="F637" s="1704"/>
      <c r="G637" s="1704"/>
      <c r="H637" s="1704"/>
      <c r="I637" s="1704"/>
      <c r="J637" s="1704"/>
      <c r="K637" s="1704"/>
      <c r="L637" s="1704"/>
      <c r="M637" s="1707" t="s">
        <v>1291</v>
      </c>
      <c r="N637" s="1707"/>
      <c r="O637" s="1707"/>
      <c r="P637" s="1707"/>
      <c r="Q637" s="1705"/>
      <c r="R637" s="1555"/>
      <c r="S637" s="1706"/>
      <c r="T637" s="1705"/>
      <c r="U637" s="1555"/>
      <c r="V637" s="1706"/>
      <c r="W637" s="1700"/>
      <c r="X637" s="1701"/>
      <c r="Y637" s="1702"/>
      <c r="Z637" s="1512" t="s">
        <v>1291</v>
      </c>
      <c r="AA637" s="1513"/>
      <c r="AB637" s="1514"/>
      <c r="AC637" s="1423"/>
      <c r="AD637" s="1424"/>
      <c r="AE637" s="1425"/>
      <c r="AF637" s="1584"/>
      <c r="AG637" s="1585"/>
      <c r="AH637" s="1585"/>
      <c r="AI637" s="1585"/>
      <c r="AJ637" s="1586"/>
      <c r="AK637" s="1717"/>
      <c r="AL637" s="1718"/>
      <c r="AM637" s="1718"/>
      <c r="AN637" s="1719"/>
      <c r="AO637" s="1579"/>
      <c r="AP637" s="1580"/>
      <c r="AQ637" s="1580"/>
      <c r="AR637" s="1580"/>
      <c r="AS637" s="1581"/>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2">
        <f>IF(J773="SRO/Studio",O773,0)</f>
        <v>0</v>
      </c>
      <c r="BO637" s="1393"/>
      <c r="BP637" s="1393"/>
      <c r="BQ637" s="1393"/>
      <c r="BR637" s="1394"/>
      <c r="BS637" s="1395">
        <f>IF(J773="1 Bedroom",O773,0)</f>
        <v>1</v>
      </c>
      <c r="BT637" s="1395"/>
      <c r="BU637" s="1395"/>
      <c r="BV637" s="1395"/>
      <c r="BW637" s="1395"/>
      <c r="BX637" s="1395">
        <f>IF(J773="2 Bedrooms",O773,0)</f>
        <v>0</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6">
        <f t="shared" si="29"/>
        <v>738.13333333333333</v>
      </c>
      <c r="DY637" s="1386"/>
      <c r="DZ637" s="1386"/>
      <c r="EA637" s="1386"/>
      <c r="EB637" s="1386"/>
      <c r="EC637" s="1386" t="e">
        <f t="shared" si="24"/>
        <v>#VALUE!</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5" customHeight="1">
      <c r="B638" s="52" t="s">
        <v>364</v>
      </c>
      <c r="C638" s="1703"/>
      <c r="D638" s="1704"/>
      <c r="E638" s="1704"/>
      <c r="F638" s="1704"/>
      <c r="G638" s="1704"/>
      <c r="H638" s="1704"/>
      <c r="I638" s="1704"/>
      <c r="J638" s="1704"/>
      <c r="K638" s="1704"/>
      <c r="L638" s="1704"/>
      <c r="M638" s="1707" t="s">
        <v>1291</v>
      </c>
      <c r="N638" s="1707"/>
      <c r="O638" s="1707"/>
      <c r="P638" s="1707"/>
      <c r="Q638" s="1705"/>
      <c r="R638" s="1555"/>
      <c r="S638" s="1706"/>
      <c r="T638" s="1705"/>
      <c r="U638" s="1555"/>
      <c r="V638" s="1706"/>
      <c r="W638" s="1700"/>
      <c r="X638" s="1701"/>
      <c r="Y638" s="1702"/>
      <c r="Z638" s="1512" t="s">
        <v>1291</v>
      </c>
      <c r="AA638" s="1513"/>
      <c r="AB638" s="1514"/>
      <c r="AC638" s="1423"/>
      <c r="AD638" s="1424"/>
      <c r="AE638" s="1425"/>
      <c r="AF638" s="1584"/>
      <c r="AG638" s="1585"/>
      <c r="AH638" s="1585"/>
      <c r="AI638" s="1585"/>
      <c r="AJ638" s="1586"/>
      <c r="AK638" s="1717"/>
      <c r="AL638" s="1718"/>
      <c r="AM638" s="1718"/>
      <c r="AN638" s="1719"/>
      <c r="AO638" s="1579"/>
      <c r="AP638" s="1580"/>
      <c r="AQ638" s="1580"/>
      <c r="AR638" s="1580"/>
      <c r="AS638" s="158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2">
        <f>IF(J774="SRO/Studio",O774,0)</f>
        <v>0</v>
      </c>
      <c r="BO638" s="1393"/>
      <c r="BP638" s="1393"/>
      <c r="BQ638" s="1393"/>
      <c r="BR638" s="1394"/>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6">
        <f t="shared" si="29"/>
        <v>359</v>
      </c>
      <c r="DY638" s="1386"/>
      <c r="DZ638" s="1386"/>
      <c r="EA638" s="1386"/>
      <c r="EB638" s="1386"/>
      <c r="EC638" s="1386" t="e">
        <f t="shared" si="24"/>
        <v>#VALUE!</v>
      </c>
      <c r="ED638" s="1386"/>
      <c r="EE638" s="1386"/>
      <c r="EF638" s="1386"/>
      <c r="EG638" s="1386"/>
      <c r="EH638" s="1386" t="e">
        <f t="shared" si="25"/>
        <v>#VALUE!</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588">
        <f>SUM(AO627:AR638)</f>
        <v>54738603</v>
      </c>
      <c r="AP639" s="1589"/>
      <c r="AQ639" s="1589"/>
      <c r="AR639" s="1589"/>
      <c r="AS639" s="1590"/>
      <c r="AV639" s="3"/>
      <c r="AW639" s="3"/>
      <c r="AX639" s="3"/>
      <c r="AY639" s="3"/>
      <c r="AZ639" s="34"/>
      <c r="BA639" s="34"/>
      <c r="BB639" s="34"/>
      <c r="BC639" s="34"/>
      <c r="BD639" s="34"/>
      <c r="BE639" s="34"/>
      <c r="BF639" s="34"/>
      <c r="BG639" s="34"/>
      <c r="BH639" s="34"/>
      <c r="BI639" s="34"/>
      <c r="BJ639" s="34"/>
      <c r="BK639" s="34"/>
      <c r="BL639" s="34"/>
      <c r="BM639" s="34"/>
      <c r="BN639" s="1392">
        <f>IF(J775="SRO/Studio",O775,0)</f>
        <v>0</v>
      </c>
      <c r="BO639" s="1393"/>
      <c r="BP639" s="1393"/>
      <c r="BQ639" s="1393"/>
      <c r="BR639" s="1394"/>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6" t="e">
        <f t="shared" si="29"/>
        <v>#VALUE!</v>
      </c>
      <c r="DY639" s="1386"/>
      <c r="DZ639" s="1386"/>
      <c r="EA639" s="1386"/>
      <c r="EB639" s="1386"/>
      <c r="EC639" s="1386">
        <f t="shared" si="24"/>
        <v>72.642857142857139</v>
      </c>
      <c r="ED639" s="1386"/>
      <c r="EE639" s="1386"/>
      <c r="EF639" s="1386"/>
      <c r="EG639" s="1386"/>
      <c r="EH639" s="1386" t="e">
        <f t="shared" si="25"/>
        <v>#VALUE!</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5" customHeight="1">
      <c r="B640" s="1593" t="s">
        <v>268</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79">
        <v>37747298</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92">
        <f>IF(J776="SRO/Studio",O776,0)</f>
        <v>0</v>
      </c>
      <c r="BO640" s="1393"/>
      <c r="BP640" s="1393"/>
      <c r="BQ640" s="1393"/>
      <c r="BR640" s="1394"/>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6" t="e">
        <f t="shared" si="29"/>
        <v>#VALUE!</v>
      </c>
      <c r="DY640" s="1386"/>
      <c r="DZ640" s="1386"/>
      <c r="EA640" s="1386"/>
      <c r="EB640" s="1386"/>
      <c r="EC640" s="1386">
        <f t="shared" si="24"/>
        <v>128.35714285714286</v>
      </c>
      <c r="ED640" s="1386"/>
      <c r="EE640" s="1386"/>
      <c r="EF640" s="1386"/>
      <c r="EG640" s="1386"/>
      <c r="EH640" s="1386" t="e">
        <f t="shared" si="25"/>
        <v>#VALUE!</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5" customHeight="1">
      <c r="B641" s="1840" t="s">
        <v>269</v>
      </c>
      <c r="C641" s="1723"/>
      <c r="D641" s="1723"/>
      <c r="E641" s="1723"/>
      <c r="F641" s="1723"/>
      <c r="G641" s="1723"/>
      <c r="H641" s="1723"/>
      <c r="I641" s="1723"/>
      <c r="J641" s="1723"/>
      <c r="K641" s="1723"/>
      <c r="L641" s="1723"/>
      <c r="M641" s="1723"/>
      <c r="N641" s="1723"/>
      <c r="O641" s="1723"/>
      <c r="P641" s="1723"/>
      <c r="Q641" s="1723"/>
      <c r="R641" s="1723"/>
      <c r="S641" s="1723"/>
      <c r="T641" s="1723"/>
      <c r="U641" s="1723"/>
      <c r="V641" s="1723"/>
      <c r="W641" s="1723"/>
      <c r="X641" s="1723"/>
      <c r="Y641" s="1723"/>
      <c r="Z641" s="1723"/>
      <c r="AA641" s="1723"/>
      <c r="AB641" s="1723"/>
      <c r="AC641" s="1723"/>
      <c r="AD641" s="1723"/>
      <c r="AE641" s="1723"/>
      <c r="AF641" s="1723"/>
      <c r="AG641" s="1723"/>
      <c r="AH641" s="1723"/>
      <c r="AI641" s="1723"/>
      <c r="AJ641" s="1723"/>
      <c r="AK641" s="1723"/>
      <c r="AL641" s="1723"/>
      <c r="AM641" s="1723"/>
      <c r="AN641" s="1841"/>
      <c r="AO641" s="1588">
        <f>AO639+AO640</f>
        <v>92485901</v>
      </c>
      <c r="AP641" s="1589"/>
      <c r="AQ641" s="1589"/>
      <c r="AR641" s="1589"/>
      <c r="AS641" s="1590"/>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11"/>
      <c r="BP641" s="1511"/>
      <c r="BQ641" s="1511"/>
      <c r="BR641" s="1397"/>
      <c r="BS641" s="1720">
        <f>SUM(BS637:BW640)</f>
        <v>1</v>
      </c>
      <c r="BT641" s="1721"/>
      <c r="BU641" s="1721"/>
      <c r="BV641" s="1721"/>
      <c r="BW641" s="1722"/>
      <c r="BX641" s="1720">
        <f>SUM(BX637:CB640)</f>
        <v>0</v>
      </c>
      <c r="BY641" s="1721"/>
      <c r="BZ641" s="1721"/>
      <c r="CA641" s="1721"/>
      <c r="CB641" s="1722"/>
      <c r="CC641" s="1720">
        <f>SUM(CC637:CG640)</f>
        <v>0</v>
      </c>
      <c r="CD641" s="1721"/>
      <c r="CE641" s="1721"/>
      <c r="CF641" s="1721"/>
      <c r="CG641" s="1722"/>
      <c r="CH641" s="1720">
        <f>SUM(CH637:CL640)</f>
        <v>0</v>
      </c>
      <c r="CI641" s="1721"/>
      <c r="CJ641" s="1721"/>
      <c r="CK641" s="1721"/>
      <c r="CL641" s="1722"/>
      <c r="CM641" s="1720">
        <f>SUM(CM637:CQ640)</f>
        <v>0</v>
      </c>
      <c r="CN641" s="1721"/>
      <c r="CO641" s="1721"/>
      <c r="CP641" s="1721"/>
      <c r="CQ641" s="1722"/>
      <c r="CS641" s="895">
        <f>BN641+BS641+BX641+CC641+CH641+CM641</f>
        <v>1</v>
      </c>
      <c r="CT641" s="57" t="s">
        <v>2050</v>
      </c>
      <c r="CU641" s="3"/>
      <c r="CV641" s="3"/>
      <c r="CW641" s="3"/>
      <c r="CX641" s="3"/>
      <c r="CY641" s="3"/>
      <c r="CZ641" s="3"/>
      <c r="DA641" s="3"/>
      <c r="DB641" s="3"/>
      <c r="DC641" s="3"/>
      <c r="DD641" s="3"/>
      <c r="DE641" s="3"/>
      <c r="DF641" s="3"/>
      <c r="DX641" s="1386" t="e">
        <f t="shared" si="29"/>
        <v>#VALUE!</v>
      </c>
      <c r="DY641" s="1386"/>
      <c r="DZ641" s="1386"/>
      <c r="EA641" s="1386"/>
      <c r="EB641" s="1386"/>
      <c r="EC641" s="1386">
        <f t="shared" si="24"/>
        <v>676.92857142857144</v>
      </c>
      <c r="ED641" s="1386"/>
      <c r="EE641" s="1386"/>
      <c r="EF641" s="1386"/>
      <c r="EG641" s="1386"/>
      <c r="EH641" s="1386" t="e">
        <f t="shared" si="25"/>
        <v>#VALUE!</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2052</v>
      </c>
      <c r="CU642" s="3"/>
      <c r="CV642" s="3"/>
      <c r="CW642" s="3"/>
      <c r="CX642" s="3"/>
      <c r="CY642" s="3"/>
      <c r="CZ642" s="3"/>
      <c r="DA642" s="3"/>
      <c r="DB642" s="3"/>
      <c r="DC642" s="3"/>
      <c r="DD642" s="3"/>
      <c r="DE642" s="3"/>
      <c r="DF642" s="3"/>
      <c r="DX642" s="1386" t="e">
        <f t="shared" si="29"/>
        <v>#VALUE!</v>
      </c>
      <c r="DY642" s="1386"/>
      <c r="DZ642" s="1386"/>
      <c r="EA642" s="1386"/>
      <c r="EB642" s="1386"/>
      <c r="EC642" s="1386">
        <f t="shared" si="24"/>
        <v>208.28571428571428</v>
      </c>
      <c r="ED642" s="1386"/>
      <c r="EE642" s="1386"/>
      <c r="EF642" s="1386"/>
      <c r="EG642" s="1386"/>
      <c r="EH642" s="1386" t="e">
        <f t="shared" si="25"/>
        <v>#VALUE!</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5" customHeight="1">
      <c r="A643" s="55" t="s">
        <v>112</v>
      </c>
      <c r="B643" t="s">
        <v>472</v>
      </c>
      <c r="G643" s="1510" t="str">
        <f>C627</f>
        <v>Rose Community Capital, LLC</v>
      </c>
      <c r="H643" s="1510"/>
      <c r="I643" s="1510"/>
      <c r="J643" s="1510"/>
      <c r="K643" s="1510"/>
      <c r="L643" s="1510"/>
      <c r="M643" s="1510"/>
      <c r="N643" s="1510"/>
      <c r="O643" s="1510"/>
      <c r="P643" s="1510"/>
      <c r="Q643" s="1510"/>
      <c r="R643" s="1510"/>
      <c r="S643" s="8"/>
      <c r="T643" s="55" t="s">
        <v>113</v>
      </c>
      <c r="U643" t="s">
        <v>472</v>
      </c>
      <c r="Z643" s="1510" t="str">
        <f>C628</f>
        <v>Community Builders Group</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f t="shared" si="24"/>
        <v>339.28571428571428</v>
      </c>
      <c r="ED643" s="1386"/>
      <c r="EE643" s="1386"/>
      <c r="EF643" s="1386"/>
      <c r="EG643" s="1386"/>
      <c r="EH643" s="1386" t="e">
        <f t="shared" si="25"/>
        <v>#VALUE!</v>
      </c>
      <c r="EI643" s="1386"/>
      <c r="EJ643" s="1386"/>
      <c r="EK643" s="1386"/>
      <c r="EL643" s="1386"/>
      <c r="EM643" s="1386" t="e">
        <f t="shared" si="26"/>
        <v>#VALUE!</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5" customHeight="1">
      <c r="A644" s="22"/>
      <c r="B644" t="s">
        <v>85</v>
      </c>
      <c r="G644" s="1432" t="s">
        <v>2726</v>
      </c>
      <c r="H644" s="1432"/>
      <c r="I644" s="1432"/>
      <c r="J644" s="1432"/>
      <c r="K644" s="1432"/>
      <c r="L644" s="1432"/>
      <c r="M644" s="1432"/>
      <c r="N644" s="1432"/>
      <c r="O644" s="1432"/>
      <c r="P644" s="1432"/>
      <c r="Q644" s="1432"/>
      <c r="R644" s="1432"/>
      <c r="S644" s="8"/>
      <c r="T644" s="22"/>
      <c r="U644" t="s">
        <v>85</v>
      </c>
      <c r="Z644" s="1432" t="s">
        <v>2652</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f t="shared" si="25"/>
        <v>76.857142857142847</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5" customHeight="1">
      <c r="A645" s="22"/>
      <c r="B645" t="s">
        <v>589</v>
      </c>
      <c r="G645" s="1432" t="s">
        <v>2733</v>
      </c>
      <c r="H645" s="1432"/>
      <c r="I645" s="1432"/>
      <c r="J645" s="1432"/>
      <c r="K645" s="1432"/>
      <c r="L645" s="1432"/>
      <c r="M645" s="1432"/>
      <c r="N645" s="1432"/>
      <c r="O645" s="1432"/>
      <c r="P645" s="1432"/>
      <c r="Q645" s="1432"/>
      <c r="R645" s="1432"/>
      <c r="T645" s="22"/>
      <c r="U645" t="s">
        <v>589</v>
      </c>
      <c r="Z645" s="1431" t="s">
        <v>2653</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2">
        <f t="shared" ref="BN645:BN654" si="30">IF(J787="SRO/Studio",O787,0)</f>
        <v>0</v>
      </c>
      <c r="BO645" s="1393"/>
      <c r="BP645" s="1393"/>
      <c r="BQ645" s="1393"/>
      <c r="BR645" s="1394"/>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2">
        <f t="shared" ref="CS645:CS654" si="36">IF(AND(BN645&gt;=1,AH787&gt;=0.1,AH787&lt;=1),O787,0)</f>
        <v>0</v>
      </c>
      <c r="CT645" s="1393"/>
      <c r="CU645" s="1393"/>
      <c r="CV645" s="1393"/>
      <c r="CW645" s="1394"/>
      <c r="CX645" s="1392">
        <f t="shared" ref="CX645:CX654" si="37">IF(AND(BS645&gt;=1,AH787&gt;=0.1,AH787&lt;=1),O787,0)</f>
        <v>0</v>
      </c>
      <c r="CY645" s="1393"/>
      <c r="CZ645" s="1393"/>
      <c r="DA645" s="1393"/>
      <c r="DB645" s="1394"/>
      <c r="DC645" s="1392">
        <f t="shared" ref="DC645:DC654" si="38">IF(AND(BX645&gt;=1,AH787&gt;=0.1,AH787&lt;=1),O787,0)</f>
        <v>0</v>
      </c>
      <c r="DD645" s="1393"/>
      <c r="DE645" s="1393"/>
      <c r="DF645" s="1393"/>
      <c r="DG645" s="1394"/>
      <c r="DH645" s="1392">
        <f t="shared" ref="DH645:DH654" si="39">IF(AND(CC645&gt;=1,AH787&gt;=0.1,AH787&lt;=1),O787,0)</f>
        <v>0</v>
      </c>
      <c r="DI645" s="1393"/>
      <c r="DJ645" s="1393"/>
      <c r="DK645" s="1393"/>
      <c r="DL645" s="1394"/>
      <c r="DM645" s="1392">
        <f t="shared" ref="DM645:DM654" si="40">IF(AND(CH645&gt;=1,AH787&gt;=0.1,AH787&lt;=1),O787,0)</f>
        <v>0</v>
      </c>
      <c r="DN645" s="1393"/>
      <c r="DO645" s="1393"/>
      <c r="DP645" s="1393"/>
      <c r="DQ645" s="1394"/>
      <c r="DR645" s="1392">
        <f t="shared" ref="DR645:DR654" si="41">IF(AND(CM645&gt;=1,AH787&gt;=0.1,AH787&lt;=1),O787,0)</f>
        <v>0</v>
      </c>
      <c r="DS645" s="1393"/>
      <c r="DT645" s="1393"/>
      <c r="DU645" s="1393"/>
      <c r="DV645" s="1394"/>
      <c r="DX645" s="1386" t="e">
        <f t="shared" si="29"/>
        <v>#VALUE!</v>
      </c>
      <c r="DY645" s="1386"/>
      <c r="DZ645" s="1386"/>
      <c r="EA645" s="1386"/>
      <c r="EB645" s="1386"/>
      <c r="EC645" s="1386" t="e">
        <f t="shared" si="24"/>
        <v>#VALUE!</v>
      </c>
      <c r="ED645" s="1386"/>
      <c r="EE645" s="1386"/>
      <c r="EF645" s="1386"/>
      <c r="EG645" s="1386"/>
      <c r="EH645" s="1386">
        <f t="shared" si="25"/>
        <v>136.28571428571428</v>
      </c>
      <c r="EI645" s="1386"/>
      <c r="EJ645" s="1386"/>
      <c r="EK645" s="1386"/>
      <c r="EL645" s="1386"/>
      <c r="EM645" s="1386" t="e">
        <f t="shared" si="26"/>
        <v>#VALUE!</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5" customHeight="1">
      <c r="A646" s="22"/>
      <c r="B646" t="s">
        <v>17</v>
      </c>
      <c r="G646" s="1432" t="s">
        <v>2728</v>
      </c>
      <c r="H646" s="1432"/>
      <c r="I646" s="1432"/>
      <c r="J646" s="1432"/>
      <c r="K646" s="1432"/>
      <c r="L646" s="1432"/>
      <c r="M646" s="1432"/>
      <c r="N646" s="1432"/>
      <c r="O646" s="1432"/>
      <c r="P646" s="1432"/>
      <c r="Q646" s="1432"/>
      <c r="R646" s="1432"/>
      <c r="S646" s="8"/>
      <c r="T646" s="22"/>
      <c r="U646" t="s">
        <v>17</v>
      </c>
      <c r="Z646" s="1431" t="s">
        <v>2655</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2">
        <f t="shared" si="30"/>
        <v>0</v>
      </c>
      <c r="BO646" s="1393"/>
      <c r="BP646" s="1393"/>
      <c r="BQ646" s="1393"/>
      <c r="BR646" s="1394"/>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2">
        <f t="shared" si="36"/>
        <v>0</v>
      </c>
      <c r="CT646" s="1393"/>
      <c r="CU646" s="1393"/>
      <c r="CV646" s="1393"/>
      <c r="CW646" s="1394"/>
      <c r="CX646" s="1392">
        <f t="shared" si="37"/>
        <v>0</v>
      </c>
      <c r="CY646" s="1393"/>
      <c r="CZ646" s="1393"/>
      <c r="DA646" s="1393"/>
      <c r="DB646" s="1394"/>
      <c r="DC646" s="1392">
        <f t="shared" si="38"/>
        <v>0</v>
      </c>
      <c r="DD646" s="1393"/>
      <c r="DE646" s="1393"/>
      <c r="DF646" s="1393"/>
      <c r="DG646" s="1394"/>
      <c r="DH646" s="1392">
        <f t="shared" si="39"/>
        <v>0</v>
      </c>
      <c r="DI646" s="1393"/>
      <c r="DJ646" s="1393"/>
      <c r="DK646" s="1393"/>
      <c r="DL646" s="1394"/>
      <c r="DM646" s="1392">
        <f t="shared" si="40"/>
        <v>0</v>
      </c>
      <c r="DN646" s="1393"/>
      <c r="DO646" s="1393"/>
      <c r="DP646" s="1393"/>
      <c r="DQ646" s="1394"/>
      <c r="DR646" s="1392">
        <f t="shared" si="41"/>
        <v>0</v>
      </c>
      <c r="DS646" s="1393"/>
      <c r="DT646" s="1393"/>
      <c r="DU646" s="1393"/>
      <c r="DV646" s="1394"/>
      <c r="DX646" s="1386" t="e">
        <f t="shared" si="29"/>
        <v>#VALUE!</v>
      </c>
      <c r="DY646" s="1386"/>
      <c r="DZ646" s="1386"/>
      <c r="EA646" s="1386"/>
      <c r="EB646" s="1386"/>
      <c r="EC646" s="1386" t="e">
        <f t="shared" si="24"/>
        <v>#VALUE!</v>
      </c>
      <c r="ED646" s="1386"/>
      <c r="EE646" s="1386"/>
      <c r="EF646" s="1386"/>
      <c r="EG646" s="1386"/>
      <c r="EH646" s="1386">
        <f t="shared" si="25"/>
        <v>166</v>
      </c>
      <c r="EI646" s="1386"/>
      <c r="EJ646" s="1386"/>
      <c r="EK646" s="1386"/>
      <c r="EL646" s="1386"/>
      <c r="EM646" s="1386" t="e">
        <f t="shared" si="26"/>
        <v>#VALUE!</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5" customHeight="1">
      <c r="A647" s="22"/>
      <c r="B647" t="s">
        <v>317</v>
      </c>
      <c r="G647" s="1516" t="s">
        <v>2729</v>
      </c>
      <c r="H647" s="1435"/>
      <c r="I647" s="1435"/>
      <c r="J647" s="1435"/>
      <c r="K647" s="1435"/>
      <c r="L647" s="1435"/>
      <c r="O647" s="33" t="s">
        <v>207</v>
      </c>
      <c r="P647" s="1419"/>
      <c r="Q647" s="1419"/>
      <c r="R647" s="1419"/>
      <c r="S647" s="10"/>
      <c r="T647" s="22"/>
      <c r="U647" t="s">
        <v>317</v>
      </c>
      <c r="Z647" s="1516" t="s">
        <v>2656</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2">
        <f t="shared" si="30"/>
        <v>0</v>
      </c>
      <c r="BO647" s="1393"/>
      <c r="BP647" s="1393"/>
      <c r="BQ647" s="1393"/>
      <c r="BR647" s="1394"/>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2">
        <f t="shared" si="36"/>
        <v>0</v>
      </c>
      <c r="CT647" s="1393"/>
      <c r="CU647" s="1393"/>
      <c r="CV647" s="1393"/>
      <c r="CW647" s="1394"/>
      <c r="CX647" s="1392">
        <f t="shared" si="37"/>
        <v>0</v>
      </c>
      <c r="CY647" s="1393"/>
      <c r="CZ647" s="1393"/>
      <c r="DA647" s="1393"/>
      <c r="DB647" s="1394"/>
      <c r="DC647" s="1392">
        <f t="shared" si="38"/>
        <v>0</v>
      </c>
      <c r="DD647" s="1393"/>
      <c r="DE647" s="1393"/>
      <c r="DF647" s="1393"/>
      <c r="DG647" s="1394"/>
      <c r="DH647" s="1392">
        <f t="shared" si="39"/>
        <v>0</v>
      </c>
      <c r="DI647" s="1393"/>
      <c r="DJ647" s="1393"/>
      <c r="DK647" s="1393"/>
      <c r="DL647" s="1394"/>
      <c r="DM647" s="1392">
        <f t="shared" si="40"/>
        <v>0</v>
      </c>
      <c r="DN647" s="1393"/>
      <c r="DO647" s="1393"/>
      <c r="DP647" s="1393"/>
      <c r="DQ647" s="1394"/>
      <c r="DR647" s="1392">
        <f t="shared" si="41"/>
        <v>0</v>
      </c>
      <c r="DS647" s="1393"/>
      <c r="DT647" s="1393"/>
      <c r="DU647" s="1393"/>
      <c r="DV647" s="1394"/>
      <c r="DX647" s="1386" t="e">
        <f t="shared" si="29"/>
        <v>#VALUE!</v>
      </c>
      <c r="DY647" s="1386"/>
      <c r="DZ647" s="1386"/>
      <c r="EA647" s="1386"/>
      <c r="EB647" s="1386"/>
      <c r="EC647" s="1386" t="e">
        <f t="shared" si="24"/>
        <v>#VALUE!</v>
      </c>
      <c r="ED647" s="1386"/>
      <c r="EE647" s="1386"/>
      <c r="EF647" s="1386"/>
      <c r="EG647" s="1386"/>
      <c r="EH647" s="1386">
        <f t="shared" si="25"/>
        <v>954.50000000000011</v>
      </c>
      <c r="EI647" s="1386"/>
      <c r="EJ647" s="1386"/>
      <c r="EK647" s="1386"/>
      <c r="EL647" s="1386"/>
      <c r="EM647" s="1386" t="e">
        <f t="shared" si="26"/>
        <v>#VALUE!</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5" customHeight="1">
      <c r="A648" s="22"/>
      <c r="B648" t="s">
        <v>18</v>
      </c>
      <c r="H648" s="1432" t="s">
        <v>2734</v>
      </c>
      <c r="I648" s="1432"/>
      <c r="J648" s="1432"/>
      <c r="K648" s="1432"/>
      <c r="L648" s="1432"/>
      <c r="M648" s="1432"/>
      <c r="N648" s="1432"/>
      <c r="O648" s="1432"/>
      <c r="P648" s="1432"/>
      <c r="Q648" s="1432"/>
      <c r="R648" s="1432"/>
      <c r="S648" s="8"/>
      <c r="T648" s="22"/>
      <c r="U648" t="s">
        <v>18</v>
      </c>
      <c r="AA648" s="1432" t="s">
        <v>1850</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2">
        <f t="shared" si="30"/>
        <v>0</v>
      </c>
      <c r="BO648" s="1393"/>
      <c r="BP648" s="1393"/>
      <c r="BQ648" s="1393"/>
      <c r="BR648" s="1394"/>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2">
        <f t="shared" si="36"/>
        <v>0</v>
      </c>
      <c r="CT648" s="1393"/>
      <c r="CU648" s="1393"/>
      <c r="CV648" s="1393"/>
      <c r="CW648" s="1394"/>
      <c r="CX648" s="1392">
        <f t="shared" si="37"/>
        <v>0</v>
      </c>
      <c r="CY648" s="1393"/>
      <c r="CZ648" s="1393"/>
      <c r="DA648" s="1393"/>
      <c r="DB648" s="1394"/>
      <c r="DC648" s="1392">
        <f t="shared" si="38"/>
        <v>0</v>
      </c>
      <c r="DD648" s="1393"/>
      <c r="DE648" s="1393"/>
      <c r="DF648" s="1393"/>
      <c r="DG648" s="1394"/>
      <c r="DH648" s="1392">
        <f t="shared" si="39"/>
        <v>0</v>
      </c>
      <c r="DI648" s="1393"/>
      <c r="DJ648" s="1393"/>
      <c r="DK648" s="1393"/>
      <c r="DL648" s="1394"/>
      <c r="DM648" s="1392">
        <f t="shared" si="40"/>
        <v>0</v>
      </c>
      <c r="DN648" s="1393"/>
      <c r="DO648" s="1393"/>
      <c r="DP648" s="1393"/>
      <c r="DQ648" s="1394"/>
      <c r="DR648" s="1392">
        <f t="shared" si="41"/>
        <v>0</v>
      </c>
      <c r="DS648" s="1393"/>
      <c r="DT648" s="1393"/>
      <c r="DU648" s="1393"/>
      <c r="DV648" s="1394"/>
      <c r="DX648" s="1386" t="e">
        <f t="shared" si="29"/>
        <v>#VALUE!</v>
      </c>
      <c r="DY648" s="1386"/>
      <c r="DZ648" s="1386"/>
      <c r="EA648" s="1386"/>
      <c r="EB648" s="1386"/>
      <c r="EC648" s="1386" t="e">
        <f t="shared" si="24"/>
        <v>#VALUE!</v>
      </c>
      <c r="ED648" s="1386"/>
      <c r="EE648" s="1386"/>
      <c r="EF648" s="1386"/>
      <c r="EG648" s="1386"/>
      <c r="EH648" s="1386">
        <f t="shared" si="25"/>
        <v>394.5</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5"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2">
        <f t="shared" si="30"/>
        <v>0</v>
      </c>
      <c r="BO649" s="1393"/>
      <c r="BP649" s="1393"/>
      <c r="BQ649" s="1393"/>
      <c r="BR649" s="1394"/>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2">
        <f t="shared" si="36"/>
        <v>0</v>
      </c>
      <c r="CT649" s="1393"/>
      <c r="CU649" s="1393"/>
      <c r="CV649" s="1393"/>
      <c r="CW649" s="1394"/>
      <c r="CX649" s="1392">
        <f t="shared" si="37"/>
        <v>0</v>
      </c>
      <c r="CY649" s="1393"/>
      <c r="CZ649" s="1393"/>
      <c r="DA649" s="1393"/>
      <c r="DB649" s="1394"/>
      <c r="DC649" s="1392">
        <f t="shared" si="38"/>
        <v>0</v>
      </c>
      <c r="DD649" s="1393"/>
      <c r="DE649" s="1393"/>
      <c r="DF649" s="1393"/>
      <c r="DG649" s="1394"/>
      <c r="DH649" s="1392">
        <f t="shared" si="39"/>
        <v>0</v>
      </c>
      <c r="DI649" s="1393"/>
      <c r="DJ649" s="1393"/>
      <c r="DK649" s="1393"/>
      <c r="DL649" s="1394"/>
      <c r="DM649" s="1392">
        <f t="shared" si="40"/>
        <v>0</v>
      </c>
      <c r="DN649" s="1393"/>
      <c r="DO649" s="1393"/>
      <c r="DP649" s="1393"/>
      <c r="DQ649" s="1394"/>
      <c r="DR649" s="1392">
        <f t="shared" si="41"/>
        <v>0</v>
      </c>
      <c r="DS649" s="1393"/>
      <c r="DT649" s="1393"/>
      <c r="DU649" s="1393"/>
      <c r="DV649" s="1394"/>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f t="shared" si="26"/>
        <v>102.33333333333333</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5" customHeight="1">
      <c r="A650" s="22"/>
      <c r="T650" s="22"/>
      <c r="AZ650" s="34"/>
      <c r="BA650" s="34"/>
      <c r="BB650" s="34"/>
      <c r="BC650" s="34"/>
      <c r="BD650" s="34"/>
      <c r="BE650" s="34"/>
      <c r="BF650" s="34"/>
      <c r="BG650" s="34"/>
      <c r="BH650" s="34"/>
      <c r="BI650" s="34"/>
      <c r="BJ650" s="34"/>
      <c r="BK650" s="34"/>
      <c r="BL650" s="34"/>
      <c r="BM650" s="34"/>
      <c r="BN650" s="1392">
        <f t="shared" si="30"/>
        <v>0</v>
      </c>
      <c r="BO650" s="1393"/>
      <c r="BP650" s="1393"/>
      <c r="BQ650" s="1393"/>
      <c r="BR650" s="1394"/>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2">
        <f t="shared" si="36"/>
        <v>0</v>
      </c>
      <c r="CT650" s="1393"/>
      <c r="CU650" s="1393"/>
      <c r="CV650" s="1393"/>
      <c r="CW650" s="1394"/>
      <c r="CX650" s="1392">
        <f t="shared" si="37"/>
        <v>0</v>
      </c>
      <c r="CY650" s="1393"/>
      <c r="CZ650" s="1393"/>
      <c r="DA650" s="1393"/>
      <c r="DB650" s="1394"/>
      <c r="DC650" s="1392">
        <f t="shared" si="38"/>
        <v>0</v>
      </c>
      <c r="DD650" s="1393"/>
      <c r="DE650" s="1393"/>
      <c r="DF650" s="1393"/>
      <c r="DG650" s="1394"/>
      <c r="DH650" s="1392">
        <f t="shared" si="39"/>
        <v>0</v>
      </c>
      <c r="DI650" s="1393"/>
      <c r="DJ650" s="1393"/>
      <c r="DK650" s="1393"/>
      <c r="DL650" s="1394"/>
      <c r="DM650" s="1392">
        <f t="shared" si="40"/>
        <v>0</v>
      </c>
      <c r="DN650" s="1393"/>
      <c r="DO650" s="1393"/>
      <c r="DP650" s="1393"/>
      <c r="DQ650" s="1394"/>
      <c r="DR650" s="1392">
        <f t="shared" si="41"/>
        <v>0</v>
      </c>
      <c r="DS650" s="1393"/>
      <c r="DT650" s="1393"/>
      <c r="DU650" s="1393"/>
      <c r="DV650" s="1394"/>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f t="shared" si="26"/>
        <v>182.55555555555554</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5" customHeight="1">
      <c r="A651" s="55" t="s">
        <v>119</v>
      </c>
      <c r="B651" t="s">
        <v>472</v>
      </c>
      <c r="G651" s="1510">
        <f>C629</f>
        <v>0</v>
      </c>
      <c r="H651" s="1510"/>
      <c r="I651" s="1510"/>
      <c r="J651" s="1510"/>
      <c r="K651" s="1510"/>
      <c r="L651" s="1510"/>
      <c r="M651" s="1510"/>
      <c r="N651" s="1510"/>
      <c r="O651" s="1510"/>
      <c r="P651" s="1510"/>
      <c r="Q651" s="1510"/>
      <c r="R651" s="1510"/>
      <c r="T651" s="55" t="s">
        <v>590</v>
      </c>
      <c r="U651" t="s">
        <v>472</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2">
        <f t="shared" si="30"/>
        <v>0</v>
      </c>
      <c r="BO651" s="1393"/>
      <c r="BP651" s="1393"/>
      <c r="BQ651" s="1393"/>
      <c r="BR651" s="1394"/>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2">
        <f t="shared" si="36"/>
        <v>0</v>
      </c>
      <c r="CT651" s="1393"/>
      <c r="CU651" s="1393"/>
      <c r="CV651" s="1393"/>
      <c r="CW651" s="1394"/>
      <c r="CX651" s="1392">
        <f t="shared" si="37"/>
        <v>0</v>
      </c>
      <c r="CY651" s="1393"/>
      <c r="CZ651" s="1393"/>
      <c r="DA651" s="1393"/>
      <c r="DB651" s="1394"/>
      <c r="DC651" s="1392">
        <f t="shared" si="38"/>
        <v>0</v>
      </c>
      <c r="DD651" s="1393"/>
      <c r="DE651" s="1393"/>
      <c r="DF651" s="1393"/>
      <c r="DG651" s="1394"/>
      <c r="DH651" s="1392">
        <f t="shared" si="39"/>
        <v>0</v>
      </c>
      <c r="DI651" s="1393"/>
      <c r="DJ651" s="1393"/>
      <c r="DK651" s="1393"/>
      <c r="DL651" s="1394"/>
      <c r="DM651" s="1392">
        <f t="shared" si="40"/>
        <v>0</v>
      </c>
      <c r="DN651" s="1393"/>
      <c r="DO651" s="1393"/>
      <c r="DP651" s="1393"/>
      <c r="DQ651" s="1394"/>
      <c r="DR651" s="1392">
        <f t="shared" si="41"/>
        <v>0</v>
      </c>
      <c r="DS651" s="1393"/>
      <c r="DT651" s="1393"/>
      <c r="DU651" s="1393"/>
      <c r="DV651" s="1394"/>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f t="shared" si="26"/>
        <v>1502.25</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5" customHeight="1">
      <c r="A652" s="22"/>
      <c r="B652" t="s">
        <v>85</v>
      </c>
      <c r="G652" s="1432"/>
      <c r="H652" s="1432"/>
      <c r="I652" s="1432"/>
      <c r="J652" s="1432"/>
      <c r="K652" s="1432"/>
      <c r="L652" s="1432"/>
      <c r="M652" s="1432"/>
      <c r="N652" s="1432"/>
      <c r="O652" s="1432"/>
      <c r="P652" s="1432"/>
      <c r="Q652" s="1432"/>
      <c r="R652" s="1432"/>
      <c r="T652" s="22"/>
      <c r="U652" t="s">
        <v>85</v>
      </c>
      <c r="Z652" s="1432"/>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2">
        <f t="shared" si="30"/>
        <v>0</v>
      </c>
      <c r="BO652" s="1393"/>
      <c r="BP652" s="1393"/>
      <c r="BQ652" s="1393"/>
      <c r="BR652" s="1394"/>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2">
        <f t="shared" si="36"/>
        <v>0</v>
      </c>
      <c r="CT652" s="1393"/>
      <c r="CU652" s="1393"/>
      <c r="CV652" s="1393"/>
      <c r="CW652" s="1394"/>
      <c r="CX652" s="1392">
        <f t="shared" si="37"/>
        <v>0</v>
      </c>
      <c r="CY652" s="1393"/>
      <c r="CZ652" s="1393"/>
      <c r="DA652" s="1393"/>
      <c r="DB652" s="1394"/>
      <c r="DC652" s="1392">
        <f t="shared" si="38"/>
        <v>0</v>
      </c>
      <c r="DD652" s="1393"/>
      <c r="DE652" s="1393"/>
      <c r="DF652" s="1393"/>
      <c r="DG652" s="1394"/>
      <c r="DH652" s="1392">
        <f t="shared" si="39"/>
        <v>0</v>
      </c>
      <c r="DI652" s="1393"/>
      <c r="DJ652" s="1393"/>
      <c r="DK652" s="1393"/>
      <c r="DL652" s="1394"/>
      <c r="DM652" s="1392">
        <f t="shared" si="40"/>
        <v>0</v>
      </c>
      <c r="DN652" s="1393"/>
      <c r="DO652" s="1393"/>
      <c r="DP652" s="1393"/>
      <c r="DQ652" s="1394"/>
      <c r="DR652" s="1392">
        <f t="shared" si="41"/>
        <v>0</v>
      </c>
      <c r="DS652" s="1393"/>
      <c r="DT652" s="1393"/>
      <c r="DU652" s="1393"/>
      <c r="DV652" s="1394"/>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f t="shared" si="26"/>
        <v>75.694444444444443</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5" customHeight="1">
      <c r="A653" s="22"/>
      <c r="B653" t="s">
        <v>589</v>
      </c>
      <c r="G653" s="1431"/>
      <c r="H653" s="1431"/>
      <c r="I653" s="1431"/>
      <c r="J653" s="1431"/>
      <c r="K653" s="1431"/>
      <c r="L653" s="1431"/>
      <c r="M653" s="1431"/>
      <c r="N653" s="1431"/>
      <c r="O653" s="1431"/>
      <c r="P653" s="1431"/>
      <c r="Q653" s="1431"/>
      <c r="R653" s="1431"/>
      <c r="T653" s="22"/>
      <c r="U653" t="s">
        <v>589</v>
      </c>
      <c r="Z653" s="1431"/>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2">
        <f t="shared" si="30"/>
        <v>0</v>
      </c>
      <c r="BO653" s="1393"/>
      <c r="BP653" s="1393"/>
      <c r="BQ653" s="1393"/>
      <c r="BR653" s="1394"/>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2">
        <f t="shared" si="36"/>
        <v>0</v>
      </c>
      <c r="CT653" s="1393"/>
      <c r="CU653" s="1393"/>
      <c r="CV653" s="1393"/>
      <c r="CW653" s="1394"/>
      <c r="CX653" s="1392">
        <f t="shared" si="37"/>
        <v>0</v>
      </c>
      <c r="CY653" s="1393"/>
      <c r="CZ653" s="1393"/>
      <c r="DA653" s="1393"/>
      <c r="DB653" s="1394"/>
      <c r="DC653" s="1392">
        <f t="shared" si="38"/>
        <v>0</v>
      </c>
      <c r="DD653" s="1393"/>
      <c r="DE653" s="1393"/>
      <c r="DF653" s="1393"/>
      <c r="DG653" s="1394"/>
      <c r="DH653" s="1392">
        <f t="shared" si="39"/>
        <v>0</v>
      </c>
      <c r="DI653" s="1393"/>
      <c r="DJ653" s="1393"/>
      <c r="DK653" s="1393"/>
      <c r="DL653" s="1394"/>
      <c r="DM653" s="1392">
        <f t="shared" si="40"/>
        <v>0</v>
      </c>
      <c r="DN653" s="1393"/>
      <c r="DO653" s="1393"/>
      <c r="DP653" s="1393"/>
      <c r="DQ653" s="1394"/>
      <c r="DR653" s="1392">
        <f t="shared" si="41"/>
        <v>0</v>
      </c>
      <c r="DS653" s="1393"/>
      <c r="DT653" s="1393"/>
      <c r="DU653" s="1393"/>
      <c r="DV653" s="1394"/>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5" customHeight="1">
      <c r="A654" s="22"/>
      <c r="B654" t="s">
        <v>17</v>
      </c>
      <c r="G654" s="1431"/>
      <c r="H654" s="1431"/>
      <c r="I654" s="1431"/>
      <c r="J654" s="1431"/>
      <c r="K654" s="1431"/>
      <c r="L654" s="1431"/>
      <c r="M654" s="1431"/>
      <c r="N654" s="1431"/>
      <c r="O654" s="1431"/>
      <c r="P654" s="1431"/>
      <c r="Q654" s="1431"/>
      <c r="R654" s="1431"/>
      <c r="T654" s="22"/>
      <c r="U654" t="s">
        <v>17</v>
      </c>
      <c r="Z654" s="1431"/>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2">
        <f t="shared" si="30"/>
        <v>0</v>
      </c>
      <c r="BO654" s="1393"/>
      <c r="BP654" s="1393"/>
      <c r="BQ654" s="1393"/>
      <c r="BR654" s="1394"/>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2">
        <f t="shared" si="36"/>
        <v>0</v>
      </c>
      <c r="CT654" s="1393"/>
      <c r="CU654" s="1393"/>
      <c r="CV654" s="1393"/>
      <c r="CW654" s="1394"/>
      <c r="CX654" s="1392">
        <f t="shared" si="37"/>
        <v>0</v>
      </c>
      <c r="CY654" s="1393"/>
      <c r="CZ654" s="1393"/>
      <c r="DA654" s="1393"/>
      <c r="DB654" s="1394"/>
      <c r="DC654" s="1392">
        <f t="shared" si="38"/>
        <v>0</v>
      </c>
      <c r="DD654" s="1393"/>
      <c r="DE654" s="1393"/>
      <c r="DF654" s="1393"/>
      <c r="DG654" s="1394"/>
      <c r="DH654" s="1392">
        <f t="shared" si="39"/>
        <v>0</v>
      </c>
      <c r="DI654" s="1393"/>
      <c r="DJ654" s="1393"/>
      <c r="DK654" s="1393"/>
      <c r="DL654" s="1394"/>
      <c r="DM654" s="1392">
        <f t="shared" si="40"/>
        <v>0</v>
      </c>
      <c r="DN654" s="1393"/>
      <c r="DO654" s="1393"/>
      <c r="DP654" s="1393"/>
      <c r="DQ654" s="1394"/>
      <c r="DR654" s="1392">
        <f t="shared" si="41"/>
        <v>0</v>
      </c>
      <c r="DS654" s="1393"/>
      <c r="DT654" s="1393"/>
      <c r="DU654" s="1393"/>
      <c r="DV654" s="1394"/>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5" customHeight="1">
      <c r="A655" s="22"/>
      <c r="B655" t="s">
        <v>317</v>
      </c>
      <c r="G655" s="1516"/>
      <c r="H655" s="1435"/>
      <c r="I655" s="1435"/>
      <c r="J655" s="1435"/>
      <c r="K655" s="1435"/>
      <c r="L655" s="1435"/>
      <c r="O655" s="33" t="s">
        <v>207</v>
      </c>
      <c r="P655" s="1419"/>
      <c r="Q655" s="1419"/>
      <c r="R655" s="1419"/>
      <c r="T655" s="22"/>
      <c r="U655" t="s">
        <v>317</v>
      </c>
      <c r="Z655" s="1435"/>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11"/>
      <c r="BP655" s="1511"/>
      <c r="BQ655" s="1511"/>
      <c r="BR655" s="1397"/>
      <c r="BS655" s="1720">
        <f>SUM(BS645:BW654)</f>
        <v>0</v>
      </c>
      <c r="BT655" s="1721"/>
      <c r="BU655" s="1721"/>
      <c r="BV655" s="1721"/>
      <c r="BW655" s="1722"/>
      <c r="BX655" s="1720">
        <f>SUM(BX645:CB654)</f>
        <v>0</v>
      </c>
      <c r="BY655" s="1721"/>
      <c r="BZ655" s="1721"/>
      <c r="CA655" s="1721"/>
      <c r="CB655" s="1722"/>
      <c r="CC655" s="1720">
        <f>SUM(CC645:CG654)</f>
        <v>0</v>
      </c>
      <c r="CD655" s="1721"/>
      <c r="CE655" s="1721"/>
      <c r="CF655" s="1721"/>
      <c r="CG655" s="1722"/>
      <c r="CH655" s="1720">
        <f>SUM(CH645:CL654)</f>
        <v>0</v>
      </c>
      <c r="CI655" s="1721"/>
      <c r="CJ655" s="1721"/>
      <c r="CK655" s="1721"/>
      <c r="CL655" s="1722"/>
      <c r="CM655" s="1720">
        <f>SUM(CM645:CQ654)</f>
        <v>0</v>
      </c>
      <c r="CN655" s="1721"/>
      <c r="CO655" s="1721"/>
      <c r="CP655" s="1721"/>
      <c r="CQ655" s="1722"/>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5" customHeight="1">
      <c r="A656" s="22"/>
      <c r="B656" t="s">
        <v>18</v>
      </c>
      <c r="H656" s="1432"/>
      <c r="I656" s="1432"/>
      <c r="J656" s="1432"/>
      <c r="K656" s="1432"/>
      <c r="L656" s="1432"/>
      <c r="M656" s="1432"/>
      <c r="N656" s="1432"/>
      <c r="O656" s="1432"/>
      <c r="P656" s="1432"/>
      <c r="Q656" s="1432"/>
      <c r="R656" s="1432"/>
      <c r="T656" s="22"/>
      <c r="U656" t="s">
        <v>18</v>
      </c>
      <c r="AA656" s="1432"/>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5" customHeight="1">
      <c r="A657" s="22"/>
      <c r="B657" t="s">
        <v>20</v>
      </c>
      <c r="N657" s="1418" t="s">
        <v>678</v>
      </c>
      <c r="O657" s="1418"/>
      <c r="T657" s="22"/>
      <c r="U657" t="s">
        <v>20</v>
      </c>
      <c r="AG657" s="1418" t="s">
        <v>678</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5" customHeight="1">
      <c r="A659" s="55" t="s">
        <v>773</v>
      </c>
      <c r="B659" t="s">
        <v>472</v>
      </c>
      <c r="G659" s="1510">
        <f>C631</f>
        <v>0</v>
      </c>
      <c r="H659" s="1510"/>
      <c r="I659" s="1510"/>
      <c r="J659" s="1510"/>
      <c r="K659" s="1510"/>
      <c r="L659" s="1510"/>
      <c r="M659" s="1510"/>
      <c r="N659" s="1510"/>
      <c r="O659" s="1510"/>
      <c r="P659" s="1510"/>
      <c r="Q659" s="1510"/>
      <c r="R659" s="1510"/>
      <c r="T659" s="55" t="s">
        <v>593</v>
      </c>
      <c r="U659" t="s">
        <v>472</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20">
        <f>BN632+BN641+BN655</f>
        <v>15</v>
      </c>
      <c r="BO660" s="1721"/>
      <c r="BP660" s="1721"/>
      <c r="BQ660" s="1721"/>
      <c r="BR660" s="1722"/>
      <c r="BS660" s="1720">
        <f>BS632+BS641+BS655</f>
        <v>29</v>
      </c>
      <c r="BT660" s="1721"/>
      <c r="BU660" s="1721"/>
      <c r="BV660" s="1721"/>
      <c r="BW660" s="1722"/>
      <c r="BX660" s="1720">
        <f>BX632+BX641+BX655</f>
        <v>42</v>
      </c>
      <c r="BY660" s="1721"/>
      <c r="BZ660" s="1721"/>
      <c r="CA660" s="1721"/>
      <c r="CB660" s="1722"/>
      <c r="CC660" s="1720">
        <f>CC632+CC641+CC655</f>
        <v>36</v>
      </c>
      <c r="CD660" s="1721"/>
      <c r="CE660" s="1721"/>
      <c r="CF660" s="1721"/>
      <c r="CG660" s="1722"/>
      <c r="CH660" s="1720">
        <f>CH632+CH641+CH655</f>
        <v>0</v>
      </c>
      <c r="CI660" s="1721"/>
      <c r="CJ660" s="1721"/>
      <c r="CK660" s="1721"/>
      <c r="CL660" s="1722"/>
      <c r="CM660" s="1387">
        <f>CM655+CM641+CM632</f>
        <v>0</v>
      </c>
      <c r="CN660" s="1388"/>
      <c r="CO660" s="1388"/>
      <c r="CP660" s="1388"/>
      <c r="CQ660" s="1389"/>
      <c r="CR660" s="3"/>
      <c r="CS660" s="895">
        <f>CS634+CS658</f>
        <v>235</v>
      </c>
      <c r="CT660" s="57" t="s">
        <v>2054</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5" customHeight="1">
      <c r="A661" s="22"/>
      <c r="B661" t="s">
        <v>589</v>
      </c>
      <c r="G661" s="1432"/>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5" customHeight="1">
      <c r="A663" s="22"/>
      <c r="B663" t="s">
        <v>317</v>
      </c>
      <c r="G663" s="1435"/>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5" customHeight="1">
      <c r="A665" s="22"/>
      <c r="B665" t="s">
        <v>20</v>
      </c>
      <c r="N665" s="1418" t="s">
        <v>678</v>
      </c>
      <c r="O665" s="1418"/>
      <c r="T665" s="22"/>
      <c r="U665" t="s">
        <v>20</v>
      </c>
      <c r="AG665" s="1418" t="s">
        <v>678</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5" customHeight="1">
      <c r="A667" s="55" t="s">
        <v>464</v>
      </c>
      <c r="B667" t="s">
        <v>472</v>
      </c>
      <c r="G667" s="1510">
        <f>C633</f>
        <v>0</v>
      </c>
      <c r="H667" s="1510"/>
      <c r="I667" s="1510"/>
      <c r="J667" s="1510"/>
      <c r="K667" s="1510"/>
      <c r="L667" s="1510"/>
      <c r="M667" s="1510"/>
      <c r="N667" s="1510"/>
      <c r="O667" s="1510"/>
      <c r="P667" s="1510"/>
      <c r="Q667" s="1510"/>
      <c r="R667" s="1510"/>
      <c r="T667" s="55" t="s">
        <v>465</v>
      </c>
      <c r="U667" t="s">
        <v>472</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2426</v>
      </c>
      <c r="BB668" s="3"/>
      <c r="BC668" s="3"/>
      <c r="BD668" s="3"/>
      <c r="BE668" s="3"/>
      <c r="BF668" s="218"/>
      <c r="BG668" s="315">
        <f t="shared" ref="BG668:BG700" si="49">G718</f>
        <v>2</v>
      </c>
      <c r="BH668" s="319">
        <f t="shared" ref="BH668:BH702" si="50">IF($BG$703=0,0,BG668/$BG$703)</f>
        <v>1.6528925619834711E-2</v>
      </c>
      <c r="BI668" s="320">
        <f t="shared" ref="BI668:BI691" si="51">IF(BH668=0,"",BH668*AC718)</f>
        <v>4.9586776859504135E-3</v>
      </c>
      <c r="BJ668" s="3"/>
      <c r="BK668" s="3"/>
      <c r="BL668" s="3"/>
      <c r="BM668" s="3"/>
      <c r="BN668" s="3"/>
      <c r="BO668" s="3"/>
      <c r="BT668" s="315">
        <f t="shared" ref="BT668:BT700" si="52">G718</f>
        <v>2</v>
      </c>
      <c r="BU668" s="319">
        <f t="shared" ref="BU668:BU702" si="53">IF($BT$703=0,0,BT668/$BT$703)</f>
        <v>1.6528925619834711E-2</v>
      </c>
      <c r="BV668" s="320">
        <f t="shared" ref="BV668:BV700" si="54">IF(BU668=0,"",BU668*AH718)</f>
        <v>4.9600403343939281E-3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5"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48"/>
        <v>2426</v>
      </c>
      <c r="BB669" s="3"/>
      <c r="BC669" s="3"/>
      <c r="BD669" s="3"/>
      <c r="BE669" s="3"/>
      <c r="BF669" s="218"/>
      <c r="BG669" s="316">
        <f t="shared" si="49"/>
        <v>2</v>
      </c>
      <c r="BH669" s="319">
        <f t="shared" si="50"/>
        <v>1.6528925619834711E-2</v>
      </c>
      <c r="BI669" s="320">
        <f t="shared" si="51"/>
        <v>8.2644628099173556E-3</v>
      </c>
      <c r="BJ669" s="3"/>
      <c r="BK669" s="3"/>
      <c r="BL669" s="3"/>
      <c r="BM669" s="3"/>
      <c r="BN669" s="3"/>
      <c r="BO669" s="3"/>
      <c r="BT669" s="316">
        <f t="shared" si="52"/>
        <v>2</v>
      </c>
      <c r="BU669" s="319">
        <f t="shared" si="53"/>
        <v>1.6528925619834711E-2</v>
      </c>
      <c r="BV669" s="320">
        <f t="shared" si="54"/>
        <v>8.2644628099173556E-3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2426</v>
      </c>
      <c r="BB670" s="3"/>
      <c r="BC670" s="3"/>
      <c r="BD670" s="3"/>
      <c r="BE670" s="3"/>
      <c r="BF670" s="218"/>
      <c r="BG670" s="316">
        <f t="shared" si="49"/>
        <v>8</v>
      </c>
      <c r="BH670" s="319">
        <f t="shared" si="50"/>
        <v>6.6115702479338845E-2</v>
      </c>
      <c r="BI670" s="320">
        <f t="shared" si="51"/>
        <v>3.9669421487603308E-2</v>
      </c>
      <c r="BJ670" s="3"/>
      <c r="BK670" s="3"/>
      <c r="BL670" s="3"/>
      <c r="BM670" s="3"/>
      <c r="BN670" s="3"/>
      <c r="BO670" s="3"/>
      <c r="BT670" s="316">
        <f t="shared" si="52"/>
        <v>8</v>
      </c>
      <c r="BU670" s="319">
        <f t="shared" si="53"/>
        <v>6.6115702479338845E-2</v>
      </c>
      <c r="BV670" s="320">
        <f t="shared" si="54"/>
        <v>3.9680322675151425E-2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1336.7333333333333</v>
      </c>
      <c r="DY670" s="1386"/>
      <c r="DZ670" s="1386"/>
      <c r="EA670" s="1386"/>
      <c r="EB670" s="1386"/>
      <c r="EC670" s="1386">
        <f>SUMIF(EC635:EG669,"&gt;0")</f>
        <v>1425.5</v>
      </c>
      <c r="ED670" s="1386"/>
      <c r="EE670" s="1386"/>
      <c r="EF670" s="1386"/>
      <c r="EG670" s="1386"/>
      <c r="EH670" s="1386">
        <f>SUMIF(EH635:EL669,"&gt;0")</f>
        <v>1728.1428571428573</v>
      </c>
      <c r="EI670" s="1386"/>
      <c r="EJ670" s="1386"/>
      <c r="EK670" s="1386"/>
      <c r="EL670" s="1386"/>
      <c r="EM670" s="1386">
        <f>SUMIF(EM635:EQ669,"&gt;0")</f>
        <v>1862.8333333333333</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5"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2600</v>
      </c>
      <c r="BB671" s="3"/>
      <c r="BC671" s="3"/>
      <c r="BD671" s="3"/>
      <c r="BE671" s="3"/>
      <c r="BF671" s="218"/>
      <c r="BG671" s="316">
        <f t="shared" si="49"/>
        <v>3</v>
      </c>
      <c r="BH671" s="319">
        <f t="shared" si="50"/>
        <v>2.4793388429752067E-2</v>
      </c>
      <c r="BI671" s="320">
        <f t="shared" si="51"/>
        <v>1.9834710743801654E-2</v>
      </c>
      <c r="BJ671" s="3"/>
      <c r="BK671" s="3"/>
      <c r="BL671" s="3"/>
      <c r="BM671" s="3"/>
      <c r="BN671" s="3"/>
      <c r="BO671" s="3"/>
      <c r="BT671" s="316">
        <f t="shared" si="52"/>
        <v>3</v>
      </c>
      <c r="BU671" s="319">
        <f t="shared" si="53"/>
        <v>2.4793388429752067E-2</v>
      </c>
      <c r="BV671" s="320">
        <f t="shared" si="54"/>
        <v>1.9080484830316203E-2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2600</v>
      </c>
      <c r="BB672" s="3"/>
      <c r="BC672" s="3"/>
      <c r="BD672" s="3"/>
      <c r="BE672" s="3"/>
      <c r="BF672" s="218"/>
      <c r="BG672" s="316">
        <f t="shared" si="49"/>
        <v>3</v>
      </c>
      <c r="BH672" s="319">
        <f t="shared" si="50"/>
        <v>2.4793388429752067E-2</v>
      </c>
      <c r="BI672" s="320">
        <f t="shared" si="51"/>
        <v>7.4380165289256199E-3</v>
      </c>
      <c r="BJ672" s="3"/>
      <c r="BK672" s="3"/>
      <c r="BL672" s="3"/>
      <c r="BM672" s="3"/>
      <c r="BN672" s="3"/>
      <c r="BO672" s="3"/>
      <c r="BT672" s="316">
        <f t="shared" si="52"/>
        <v>3</v>
      </c>
      <c r="BU672" s="319">
        <f t="shared" si="53"/>
        <v>2.4793388429752067E-2</v>
      </c>
      <c r="BV672" s="320">
        <f t="shared" si="54"/>
        <v>7.4380165289256199E-3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678</v>
      </c>
      <c r="O673" s="1418"/>
      <c r="T673" s="22"/>
      <c r="U673" t="s">
        <v>20</v>
      </c>
      <c r="AG673" s="1418" t="s">
        <v>678</v>
      </c>
      <c r="AH673" s="1418"/>
      <c r="AZ673" s="3"/>
      <c r="BA673" s="118">
        <f t="shared" si="48"/>
        <v>2600</v>
      </c>
      <c r="BB673" s="3"/>
      <c r="BC673" s="3"/>
      <c r="BD673" s="3"/>
      <c r="BE673" s="3"/>
      <c r="BF673" s="218"/>
      <c r="BG673" s="316">
        <f t="shared" si="49"/>
        <v>3</v>
      </c>
      <c r="BH673" s="319">
        <f t="shared" si="50"/>
        <v>2.4793388429752067E-2</v>
      </c>
      <c r="BI673" s="320">
        <f t="shared" si="51"/>
        <v>1.2396694214876033E-2</v>
      </c>
      <c r="BJ673" s="3"/>
      <c r="BK673" s="3"/>
      <c r="BL673" s="3"/>
      <c r="BM673" s="3"/>
      <c r="BN673" s="3"/>
      <c r="BO673" s="3"/>
      <c r="BT673" s="316">
        <f t="shared" si="52"/>
        <v>3</v>
      </c>
      <c r="BU673" s="319">
        <f t="shared" si="53"/>
        <v>2.4793388429752067E-2</v>
      </c>
      <c r="BV673" s="320">
        <f t="shared" si="54"/>
        <v>1.2396694214876033E-2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2600</v>
      </c>
      <c r="BB674" s="3"/>
      <c r="BC674" s="3"/>
      <c r="BD674" s="3"/>
      <c r="BE674" s="3"/>
      <c r="BF674" s="218"/>
      <c r="BG674" s="316">
        <f t="shared" si="49"/>
        <v>13</v>
      </c>
      <c r="BH674" s="319">
        <f t="shared" si="50"/>
        <v>0.10743801652892562</v>
      </c>
      <c r="BI674" s="320">
        <f t="shared" si="51"/>
        <v>6.4462809917355368E-2</v>
      </c>
      <c r="BJ674" s="3"/>
      <c r="BK674" s="3"/>
      <c r="BL674" s="3"/>
      <c r="BM674" s="3"/>
      <c r="BN674" s="3"/>
      <c r="BO674" s="3"/>
      <c r="BT674" s="316">
        <f t="shared" si="52"/>
        <v>13</v>
      </c>
      <c r="BU674" s="319">
        <f t="shared" si="53"/>
        <v>0.10743801652892562</v>
      </c>
      <c r="BV674" s="320">
        <f t="shared" si="54"/>
        <v>6.4462809917355368E-2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0">
        <f>C635</f>
        <v>0</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f t="shared" si="48"/>
        <v>2600</v>
      </c>
      <c r="BB675" s="3"/>
      <c r="BC675" s="3"/>
      <c r="BD675" s="3"/>
      <c r="BE675" s="3"/>
      <c r="BF675" s="218"/>
      <c r="BG675" s="316">
        <f t="shared" si="49"/>
        <v>4</v>
      </c>
      <c r="BH675" s="319">
        <f t="shared" si="50"/>
        <v>3.3057851239669422E-2</v>
      </c>
      <c r="BI675" s="320">
        <f t="shared" si="51"/>
        <v>1.9834710743801654E-2</v>
      </c>
      <c r="BJ675" s="3"/>
      <c r="BK675" s="3"/>
      <c r="BL675" s="3"/>
      <c r="BM675" s="3"/>
      <c r="BN675" s="3"/>
      <c r="BO675" s="3"/>
      <c r="BT675" s="316">
        <f t="shared" si="52"/>
        <v>4</v>
      </c>
      <c r="BU675" s="319">
        <f t="shared" si="53"/>
        <v>3.3057851239669422E-2</v>
      </c>
      <c r="BV675" s="320">
        <f t="shared" si="54"/>
        <v>1.9834710743801654E-2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3120</v>
      </c>
      <c r="BB676" s="3"/>
      <c r="BC676" s="3"/>
      <c r="BD676" s="3"/>
      <c r="BE676" s="3"/>
      <c r="BF676" s="218"/>
      <c r="BG676" s="316">
        <f t="shared" si="49"/>
        <v>5</v>
      </c>
      <c r="BH676" s="319">
        <f t="shared" si="50"/>
        <v>4.1322314049586778E-2</v>
      </c>
      <c r="BI676" s="320">
        <f t="shared" si="51"/>
        <v>3.3057851239669422E-2</v>
      </c>
      <c r="BJ676" s="3"/>
      <c r="BK676" s="3"/>
      <c r="BL676" s="3"/>
      <c r="BM676" s="3"/>
      <c r="BN676" s="3"/>
      <c r="BO676" s="3"/>
      <c r="BT676" s="316">
        <f t="shared" si="52"/>
        <v>5</v>
      </c>
      <c r="BU676" s="319">
        <f t="shared" si="53"/>
        <v>4.1322314049586778E-2</v>
      </c>
      <c r="BV676" s="320">
        <f t="shared" si="54"/>
        <v>3.1818181818181822E-2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f t="shared" si="48"/>
        <v>3120</v>
      </c>
      <c r="BB677" s="3"/>
      <c r="BC677" s="3"/>
      <c r="BD677" s="3"/>
      <c r="BE677" s="3"/>
      <c r="BF677" s="218"/>
      <c r="BG677" s="316">
        <f t="shared" si="49"/>
        <v>4</v>
      </c>
      <c r="BH677" s="319">
        <f t="shared" si="50"/>
        <v>3.3057851239669422E-2</v>
      </c>
      <c r="BI677" s="320">
        <f t="shared" si="51"/>
        <v>9.9173553719008271E-3</v>
      </c>
      <c r="BJ677" s="3"/>
      <c r="BK677" s="3"/>
      <c r="BL677" s="3"/>
      <c r="BM677" s="3"/>
      <c r="BN677" s="3"/>
      <c r="BO677" s="3"/>
      <c r="BT677" s="316">
        <f t="shared" si="52"/>
        <v>4</v>
      </c>
      <c r="BU677" s="319">
        <f t="shared" si="53"/>
        <v>3.3057851239669422E-2</v>
      </c>
      <c r="BV677" s="320">
        <f t="shared" si="54"/>
        <v>9.9173553719008271E-3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3120</v>
      </c>
      <c r="BB678" s="3"/>
      <c r="BC678" s="3"/>
      <c r="BD678" s="3"/>
      <c r="BE678" s="3"/>
      <c r="BF678" s="218"/>
      <c r="BG678" s="316">
        <f t="shared" si="49"/>
        <v>4</v>
      </c>
      <c r="BH678" s="319">
        <f t="shared" si="50"/>
        <v>3.3057851239669422E-2</v>
      </c>
      <c r="BI678" s="320">
        <f t="shared" si="51"/>
        <v>1.6528925619834711E-2</v>
      </c>
      <c r="BJ678" s="3"/>
      <c r="BK678" s="3"/>
      <c r="BL678" s="3"/>
      <c r="BM678" s="3"/>
      <c r="BN678" s="3"/>
      <c r="BO678" s="3"/>
      <c r="BT678" s="316">
        <f t="shared" si="52"/>
        <v>4</v>
      </c>
      <c r="BU678" s="319">
        <f t="shared" si="53"/>
        <v>3.3057851239669422E-2</v>
      </c>
      <c r="BV678" s="320">
        <f t="shared" si="54"/>
        <v>1.6528925619834711E-2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f t="shared" si="48"/>
        <v>3120</v>
      </c>
      <c r="BB679" s="3"/>
      <c r="BC679" s="3"/>
      <c r="BD679" s="3"/>
      <c r="BE679" s="3"/>
      <c r="BF679" s="218"/>
      <c r="BG679" s="316">
        <f t="shared" si="49"/>
        <v>4</v>
      </c>
      <c r="BH679" s="319">
        <f t="shared" si="50"/>
        <v>3.3057851239669422E-2</v>
      </c>
      <c r="BI679" s="320">
        <f t="shared" si="51"/>
        <v>1.9834710743801654E-2</v>
      </c>
      <c r="BJ679" s="3"/>
      <c r="BK679" s="3"/>
      <c r="BL679" s="3"/>
      <c r="BM679" s="3"/>
      <c r="BN679" s="3"/>
      <c r="BO679" s="3"/>
      <c r="BT679" s="316">
        <f t="shared" si="52"/>
        <v>4</v>
      </c>
      <c r="BU679" s="319">
        <f t="shared" si="53"/>
        <v>3.3057851239669422E-2</v>
      </c>
      <c r="BV679" s="320">
        <f t="shared" si="54"/>
        <v>1.9834710743801654E-2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3120</v>
      </c>
      <c r="BB680" s="3"/>
      <c r="BC680" s="3"/>
      <c r="BD680" s="3"/>
      <c r="BE680" s="3"/>
      <c r="BF680" s="218"/>
      <c r="BG680" s="316">
        <f t="shared" si="49"/>
        <v>23</v>
      </c>
      <c r="BH680" s="319">
        <f t="shared" si="50"/>
        <v>0.19008264462809918</v>
      </c>
      <c r="BI680" s="320">
        <f t="shared" si="51"/>
        <v>0.1140495867768595</v>
      </c>
      <c r="BJ680" s="3"/>
      <c r="BK680" s="3"/>
      <c r="BL680" s="3"/>
      <c r="BM680" s="3"/>
      <c r="BN680" s="3"/>
      <c r="BO680" s="3"/>
      <c r="BT680" s="316">
        <f t="shared" si="52"/>
        <v>23</v>
      </c>
      <c r="BU680" s="319">
        <f t="shared" si="53"/>
        <v>0.19008264462809918</v>
      </c>
      <c r="BV680" s="320">
        <f t="shared" si="54"/>
        <v>0.1140495867768595</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678</v>
      </c>
      <c r="O681" s="1418"/>
      <c r="T681" s="22"/>
      <c r="U681" t="s">
        <v>20</v>
      </c>
      <c r="AG681" s="1418" t="s">
        <v>678</v>
      </c>
      <c r="AH681" s="1418"/>
      <c r="AZ681" s="3"/>
      <c r="BA681" s="118">
        <f t="shared" si="48"/>
        <v>3606</v>
      </c>
      <c r="BB681" s="3"/>
      <c r="BC681" s="3"/>
      <c r="BD681" s="3"/>
      <c r="BE681" s="3"/>
      <c r="BF681" s="218"/>
      <c r="BG681" s="316">
        <f t="shared" si="49"/>
        <v>7</v>
      </c>
      <c r="BH681" s="319">
        <f t="shared" si="50"/>
        <v>5.7851239669421489E-2</v>
      </c>
      <c r="BI681" s="320">
        <f t="shared" si="51"/>
        <v>4.6280991735537194E-2</v>
      </c>
      <c r="BJ681" s="3"/>
      <c r="BK681" s="3"/>
      <c r="BL681" s="3"/>
      <c r="BM681" s="3"/>
      <c r="BN681" s="3"/>
      <c r="BO681" s="3"/>
      <c r="BT681" s="316">
        <f t="shared" si="52"/>
        <v>7</v>
      </c>
      <c r="BU681" s="319">
        <f t="shared" si="53"/>
        <v>5.7851239669421489E-2</v>
      </c>
      <c r="BV681" s="320">
        <f t="shared" si="54"/>
        <v>4.6280991735537194E-2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3606</v>
      </c>
      <c r="BB682" s="3"/>
      <c r="BC682" s="3"/>
      <c r="BD682" s="3"/>
      <c r="BE682" s="3"/>
      <c r="BF682" s="218"/>
      <c r="BG682" s="316">
        <f t="shared" si="49"/>
        <v>4</v>
      </c>
      <c r="BH682" s="319">
        <f t="shared" si="50"/>
        <v>3.3057851239669422E-2</v>
      </c>
      <c r="BI682" s="320">
        <f t="shared" si="51"/>
        <v>9.9173553719008271E-3</v>
      </c>
      <c r="BJ682" s="3"/>
      <c r="BK682" s="3"/>
      <c r="BL682" s="3"/>
      <c r="BM682" s="3"/>
      <c r="BN682" s="3"/>
      <c r="BO682" s="3"/>
      <c r="BT682" s="316">
        <f t="shared" si="52"/>
        <v>4</v>
      </c>
      <c r="BU682" s="319">
        <f t="shared" si="53"/>
        <v>3.3057851239669422E-2</v>
      </c>
      <c r="BV682" s="320">
        <f t="shared" si="54"/>
        <v>9.9100214060129366E-3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f t="shared" si="48"/>
        <v>3606</v>
      </c>
      <c r="BB683" s="3"/>
      <c r="BC683" s="3"/>
      <c r="BD683" s="3"/>
      <c r="BE683" s="3"/>
      <c r="BF683" s="218"/>
      <c r="BG683" s="316">
        <f t="shared" si="49"/>
        <v>4</v>
      </c>
      <c r="BH683" s="319">
        <f t="shared" si="50"/>
        <v>3.3057851239669422E-2</v>
      </c>
      <c r="BI683" s="320">
        <f t="shared" si="51"/>
        <v>1.6528925619834711E-2</v>
      </c>
      <c r="BJ683" s="3"/>
      <c r="BK683" s="3"/>
      <c r="BL683" s="3"/>
      <c r="BM683" s="3"/>
      <c r="BN683" s="3"/>
      <c r="BO683" s="3"/>
      <c r="BT683" s="316">
        <f t="shared" si="52"/>
        <v>4</v>
      </c>
      <c r="BU683" s="319">
        <f t="shared" si="53"/>
        <v>3.3057851239669422E-2</v>
      </c>
      <c r="BV683" s="320">
        <f t="shared" si="54"/>
        <v>1.6528925619834711E-2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f t="shared" si="48"/>
        <v>3606</v>
      </c>
      <c r="BB684" s="3"/>
      <c r="BC684" s="3"/>
      <c r="BD684" s="3"/>
      <c r="BE684" s="3"/>
      <c r="BF684" s="218"/>
      <c r="BG684" s="316">
        <f t="shared" si="49"/>
        <v>27</v>
      </c>
      <c r="BH684" s="319">
        <f t="shared" si="50"/>
        <v>0.2231404958677686</v>
      </c>
      <c r="BI684" s="320">
        <f t="shared" si="51"/>
        <v>0.13388429752066117</v>
      </c>
      <c r="BJ684" s="3"/>
      <c r="BK684" s="3"/>
      <c r="BL684" s="3"/>
      <c r="BM684" s="3"/>
      <c r="BN684" s="3"/>
      <c r="BO684" s="3"/>
      <c r="BT684" s="316">
        <f t="shared" si="52"/>
        <v>27</v>
      </c>
      <c r="BU684" s="319">
        <f t="shared" si="53"/>
        <v>0.2231404958677686</v>
      </c>
      <c r="BV684" s="320">
        <f t="shared" si="54"/>
        <v>0.13384716931835372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1</v>
      </c>
      <c r="BH685" s="319">
        <f t="shared" si="50"/>
        <v>8.2644628099173556E-3</v>
      </c>
      <c r="BI685" s="320">
        <f t="shared" si="51"/>
        <v>6.611570247933885E-3</v>
      </c>
      <c r="BJ685" s="3"/>
      <c r="BK685" s="3"/>
      <c r="BL685" s="3"/>
      <c r="BM685" s="3"/>
      <c r="BN685" s="3"/>
      <c r="BO685" s="3"/>
      <c r="BT685" s="316">
        <f t="shared" si="52"/>
        <v>1</v>
      </c>
      <c r="BU685" s="319">
        <f t="shared" si="53"/>
        <v>8.2644628099173556E-3</v>
      </c>
      <c r="BV685" s="320">
        <f t="shared" si="54"/>
        <v>6.6120286208018776E-3</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678</v>
      </c>
      <c r="O689" s="1418"/>
      <c r="U689" t="s">
        <v>20</v>
      </c>
      <c r="AG689" s="1418" t="s">
        <v>678</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8" t="s">
        <v>678</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8" t="s">
        <v>678</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6">
        <v>45809</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3">
        <v>0.54990000000000006</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0" t="str">
        <f>H335</f>
        <v>California Municipal Finance Authority</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8" t="s">
        <v>678</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121</v>
      </c>
      <c r="BH703" s="322">
        <f>SUM(BH668:BH702)</f>
        <v>1.0000000000000002</v>
      </c>
      <c r="BI703" s="322">
        <f>SUM(BI668:BI702)</f>
        <v>0.58347107438016521</v>
      </c>
      <c r="BN703" s="3"/>
      <c r="BO703" s="3"/>
      <c r="BT703" s="893">
        <f>SUM(BT668:BT702)</f>
        <v>121</v>
      </c>
      <c r="BU703" s="322">
        <f>SUM(BU668:BU702)</f>
        <v>1.0000000000000002</v>
      </c>
      <c r="BV703" s="322">
        <f>SUM(BV668:BV702)</f>
        <v>0.58144543908585655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390</v>
      </c>
      <c r="C714" s="1366"/>
      <c r="D714" s="1366"/>
      <c r="E714" s="1366"/>
      <c r="F714" s="1367"/>
      <c r="G714" s="1577" t="s">
        <v>286</v>
      </c>
      <c r="H714" s="1366"/>
      <c r="I714" s="1366"/>
      <c r="J714" s="1367"/>
      <c r="K714" s="1380" t="s">
        <v>1867</v>
      </c>
      <c r="L714" s="1381"/>
      <c r="M714" s="1381"/>
      <c r="N714" s="1382"/>
      <c r="O714" s="1577"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2">
        <v>2</v>
      </c>
      <c r="H718" s="1363"/>
      <c r="I718" s="1363"/>
      <c r="J718" s="1364"/>
      <c r="K718" s="1572">
        <v>335</v>
      </c>
      <c r="L718" s="1573"/>
      <c r="M718" s="1573"/>
      <c r="N718" s="1574"/>
      <c r="O718" s="1374">
        <v>656</v>
      </c>
      <c r="P718" s="1375"/>
      <c r="Q718" s="1375"/>
      <c r="R718" s="1375"/>
      <c r="S718" s="1376"/>
      <c r="T718" s="1374">
        <v>72</v>
      </c>
      <c r="U718" s="1375"/>
      <c r="V718" s="1375"/>
      <c r="W718" s="1376"/>
      <c r="X718" s="1356">
        <f t="shared" ref="X718:X741" si="59">O718+T718</f>
        <v>728</v>
      </c>
      <c r="Y718" s="1357"/>
      <c r="Z718" s="1357"/>
      <c r="AA718" s="1357"/>
      <c r="AB718" s="1358"/>
      <c r="AC718" s="1377">
        <v>0.3</v>
      </c>
      <c r="AD718" s="1378"/>
      <c r="AE718" s="1378"/>
      <c r="AF718" s="1378"/>
      <c r="AG718" s="1379"/>
      <c r="AH718" s="1359">
        <f t="shared" ref="AH718:AH751" si="60">IF($AC718&gt;0,($X718/$BA667), "")</f>
        <v>0.30008244023083264</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2">
        <v>2</v>
      </c>
      <c r="H719" s="1363"/>
      <c r="I719" s="1363"/>
      <c r="J719" s="1364"/>
      <c r="K719" s="1572">
        <v>335</v>
      </c>
      <c r="L719" s="1573"/>
      <c r="M719" s="1573"/>
      <c r="N719" s="1574"/>
      <c r="O719" s="1374">
        <v>1141</v>
      </c>
      <c r="P719" s="1375"/>
      <c r="Q719" s="1375"/>
      <c r="R719" s="1375"/>
      <c r="S719" s="1376"/>
      <c r="T719" s="1374">
        <v>72</v>
      </c>
      <c r="U719" s="1375"/>
      <c r="V719" s="1375"/>
      <c r="W719" s="1376"/>
      <c r="X719" s="1356">
        <f t="shared" si="59"/>
        <v>1213</v>
      </c>
      <c r="Y719" s="1357"/>
      <c r="Z719" s="1357"/>
      <c r="AA719" s="1357"/>
      <c r="AB719" s="1358"/>
      <c r="AC719" s="1377">
        <v>0.5</v>
      </c>
      <c r="AD719" s="1378"/>
      <c r="AE719" s="1378"/>
      <c r="AF719" s="1378"/>
      <c r="AG719" s="1379"/>
      <c r="AH719" s="1359">
        <f t="shared" si="60"/>
        <v>0.5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325</v>
      </c>
      <c r="C720" s="1354"/>
      <c r="D720" s="1354"/>
      <c r="E720" s="1354"/>
      <c r="F720" s="1355"/>
      <c r="G720" s="1362">
        <v>8</v>
      </c>
      <c r="H720" s="1363"/>
      <c r="I720" s="1363"/>
      <c r="J720" s="1364"/>
      <c r="K720" s="1572">
        <v>335</v>
      </c>
      <c r="L720" s="1573"/>
      <c r="M720" s="1573"/>
      <c r="N720" s="1574"/>
      <c r="O720" s="1374">
        <v>1384</v>
      </c>
      <c r="P720" s="1375"/>
      <c r="Q720" s="1375"/>
      <c r="R720" s="1375"/>
      <c r="S720" s="1376"/>
      <c r="T720" s="1374">
        <v>72</v>
      </c>
      <c r="U720" s="1375"/>
      <c r="V720" s="1375"/>
      <c r="W720" s="1376"/>
      <c r="X720" s="1356">
        <f t="shared" si="59"/>
        <v>1456</v>
      </c>
      <c r="Y720" s="1357"/>
      <c r="Z720" s="1357"/>
      <c r="AA720" s="1357"/>
      <c r="AB720" s="1358"/>
      <c r="AC720" s="1377">
        <v>0.6</v>
      </c>
      <c r="AD720" s="1378"/>
      <c r="AE720" s="1378"/>
      <c r="AF720" s="1378"/>
      <c r="AG720" s="1379"/>
      <c r="AH720" s="1359">
        <f t="shared" si="60"/>
        <v>0.60016488046166527</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362">
        <v>3</v>
      </c>
      <c r="H721" s="1363"/>
      <c r="I721" s="1363"/>
      <c r="J721" s="1364"/>
      <c r="K721" s="1572">
        <v>335</v>
      </c>
      <c r="L721" s="1573"/>
      <c r="M721" s="1573"/>
      <c r="N721" s="1574"/>
      <c r="O721" s="1374">
        <v>1795</v>
      </c>
      <c r="P721" s="1375"/>
      <c r="Q721" s="1375"/>
      <c r="R721" s="1375"/>
      <c r="S721" s="1376"/>
      <c r="T721" s="1374">
        <v>72</v>
      </c>
      <c r="U721" s="1375"/>
      <c r="V721" s="1375"/>
      <c r="W721" s="1376"/>
      <c r="X721" s="1356">
        <f t="shared" si="59"/>
        <v>1867</v>
      </c>
      <c r="Y721" s="1357"/>
      <c r="Z721" s="1357"/>
      <c r="AA721" s="1357"/>
      <c r="AB721" s="1358"/>
      <c r="AC721" s="1377">
        <v>0.8</v>
      </c>
      <c r="AD721" s="1378"/>
      <c r="AE721" s="1378"/>
      <c r="AF721" s="1378"/>
      <c r="AG721" s="1379"/>
      <c r="AH721" s="1359">
        <f t="shared" si="60"/>
        <v>0.76957955482275353</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326</v>
      </c>
      <c r="C722" s="1354"/>
      <c r="D722" s="1354"/>
      <c r="E722" s="1354"/>
      <c r="F722" s="1355"/>
      <c r="G722" s="1362">
        <v>3</v>
      </c>
      <c r="H722" s="1363"/>
      <c r="I722" s="1363"/>
      <c r="J722" s="1364"/>
      <c r="K722" s="1572">
        <v>520</v>
      </c>
      <c r="L722" s="1573"/>
      <c r="M722" s="1573"/>
      <c r="N722" s="1574"/>
      <c r="O722" s="1374">
        <v>678</v>
      </c>
      <c r="P722" s="1375"/>
      <c r="Q722" s="1375"/>
      <c r="R722" s="1375"/>
      <c r="S722" s="1376"/>
      <c r="T722" s="1374">
        <v>102</v>
      </c>
      <c r="U722" s="1375"/>
      <c r="V722" s="1375"/>
      <c r="W722" s="1376"/>
      <c r="X722" s="1356">
        <f t="shared" si="59"/>
        <v>780</v>
      </c>
      <c r="Y722" s="1357"/>
      <c r="Z722" s="1357"/>
      <c r="AA722" s="1357"/>
      <c r="AB722" s="1358"/>
      <c r="AC722" s="1377">
        <v>0.3</v>
      </c>
      <c r="AD722" s="1378"/>
      <c r="AE722" s="1378"/>
      <c r="AF722" s="1378"/>
      <c r="AG722" s="1379"/>
      <c r="AH722" s="1359">
        <f t="shared" si="60"/>
        <v>0.3</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326</v>
      </c>
      <c r="C723" s="1354"/>
      <c r="D723" s="1354"/>
      <c r="E723" s="1354"/>
      <c r="F723" s="1355"/>
      <c r="G723" s="1362">
        <v>3</v>
      </c>
      <c r="H723" s="1363"/>
      <c r="I723" s="1363"/>
      <c r="J723" s="1364"/>
      <c r="K723" s="1572">
        <v>520</v>
      </c>
      <c r="L723" s="1573"/>
      <c r="M723" s="1573"/>
      <c r="N723" s="1574"/>
      <c r="O723" s="1374">
        <v>1198</v>
      </c>
      <c r="P723" s="1375"/>
      <c r="Q723" s="1375"/>
      <c r="R723" s="1375"/>
      <c r="S723" s="1376"/>
      <c r="T723" s="1374">
        <v>102</v>
      </c>
      <c r="U723" s="1375"/>
      <c r="V723" s="1375"/>
      <c r="W723" s="1376"/>
      <c r="X723" s="1356">
        <f t="shared" si="59"/>
        <v>1300</v>
      </c>
      <c r="Y723" s="1357"/>
      <c r="Z723" s="1357"/>
      <c r="AA723" s="1357"/>
      <c r="AB723" s="1358"/>
      <c r="AC723" s="1377">
        <v>0.5</v>
      </c>
      <c r="AD723" s="1378"/>
      <c r="AE723" s="1378"/>
      <c r="AF723" s="1378"/>
      <c r="AG723" s="1379"/>
      <c r="AH723" s="1359">
        <f t="shared" si="60"/>
        <v>0.5</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326</v>
      </c>
      <c r="C724" s="1354"/>
      <c r="D724" s="1354"/>
      <c r="E724" s="1354"/>
      <c r="F724" s="1355"/>
      <c r="G724" s="1362">
        <v>13</v>
      </c>
      <c r="H724" s="1363"/>
      <c r="I724" s="1363"/>
      <c r="J724" s="1364"/>
      <c r="K724" s="1572">
        <v>520</v>
      </c>
      <c r="L724" s="1573"/>
      <c r="M724" s="1573"/>
      <c r="N724" s="1574"/>
      <c r="O724" s="1374">
        <v>1458</v>
      </c>
      <c r="P724" s="1375"/>
      <c r="Q724" s="1375"/>
      <c r="R724" s="1375"/>
      <c r="S724" s="1376"/>
      <c r="T724" s="1374">
        <v>102</v>
      </c>
      <c r="U724" s="1375"/>
      <c r="V724" s="1375"/>
      <c r="W724" s="1376"/>
      <c r="X724" s="1356">
        <f t="shared" si="59"/>
        <v>1560</v>
      </c>
      <c r="Y724" s="1357"/>
      <c r="Z724" s="1357"/>
      <c r="AA724" s="1357"/>
      <c r="AB724" s="1358"/>
      <c r="AC724" s="1377">
        <v>0.6</v>
      </c>
      <c r="AD724" s="1378"/>
      <c r="AE724" s="1378"/>
      <c r="AF724" s="1378"/>
      <c r="AG724" s="1379"/>
      <c r="AH724" s="1359">
        <f t="shared" si="60"/>
        <v>0.6</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326</v>
      </c>
      <c r="C725" s="1354"/>
      <c r="D725" s="1354"/>
      <c r="E725" s="1354"/>
      <c r="F725" s="1355"/>
      <c r="G725" s="1362">
        <v>4</v>
      </c>
      <c r="H725" s="1363"/>
      <c r="I725" s="1363"/>
      <c r="J725" s="1364"/>
      <c r="K725" s="1572">
        <v>520</v>
      </c>
      <c r="L725" s="1573"/>
      <c r="M725" s="1573"/>
      <c r="N725" s="1574"/>
      <c r="O725" s="1374">
        <v>1458</v>
      </c>
      <c r="P725" s="1375"/>
      <c r="Q725" s="1375"/>
      <c r="R725" s="1375"/>
      <c r="S725" s="1376"/>
      <c r="T725" s="1374">
        <v>102</v>
      </c>
      <c r="U725" s="1375"/>
      <c r="V725" s="1375"/>
      <c r="W725" s="1376"/>
      <c r="X725" s="1356">
        <f t="shared" si="59"/>
        <v>1560</v>
      </c>
      <c r="Y725" s="1357"/>
      <c r="Z725" s="1357"/>
      <c r="AA725" s="1357"/>
      <c r="AB725" s="1358"/>
      <c r="AC725" s="1377">
        <v>0.6</v>
      </c>
      <c r="AD725" s="1378"/>
      <c r="AE725" s="1378"/>
      <c r="AF725" s="1378"/>
      <c r="AG725" s="1379"/>
      <c r="AH725" s="1359">
        <f t="shared" si="60"/>
        <v>0.6</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326</v>
      </c>
      <c r="C726" s="1354"/>
      <c r="D726" s="1354"/>
      <c r="E726" s="1354"/>
      <c r="F726" s="1355"/>
      <c r="G726" s="1362">
        <v>5</v>
      </c>
      <c r="H726" s="1363"/>
      <c r="I726" s="1363"/>
      <c r="J726" s="1364"/>
      <c r="K726" s="1572">
        <v>520</v>
      </c>
      <c r="L726" s="1573"/>
      <c r="M726" s="1573"/>
      <c r="N726" s="1574"/>
      <c r="O726" s="1374">
        <v>1900</v>
      </c>
      <c r="P726" s="1375"/>
      <c r="Q726" s="1375"/>
      <c r="R726" s="1375"/>
      <c r="S726" s="1376"/>
      <c r="T726" s="1374">
        <v>102</v>
      </c>
      <c r="U726" s="1375"/>
      <c r="V726" s="1375"/>
      <c r="W726" s="1376"/>
      <c r="X726" s="1356">
        <f t="shared" si="59"/>
        <v>2002</v>
      </c>
      <c r="Y726" s="1357"/>
      <c r="Z726" s="1357"/>
      <c r="AA726" s="1357"/>
      <c r="AB726" s="1358"/>
      <c r="AC726" s="1377">
        <v>0.8</v>
      </c>
      <c r="AD726" s="1378"/>
      <c r="AE726" s="1378"/>
      <c r="AF726" s="1378"/>
      <c r="AG726" s="1379"/>
      <c r="AH726" s="1359">
        <f t="shared" si="60"/>
        <v>0.77</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4</v>
      </c>
      <c r="H727" s="1363"/>
      <c r="I727" s="1363"/>
      <c r="J727" s="1364"/>
      <c r="K727" s="1572">
        <v>775</v>
      </c>
      <c r="L727" s="1573"/>
      <c r="M727" s="1573"/>
      <c r="N727" s="1574"/>
      <c r="O727" s="1374">
        <v>807</v>
      </c>
      <c r="P727" s="1375"/>
      <c r="Q727" s="1375"/>
      <c r="R727" s="1375"/>
      <c r="S727" s="1376"/>
      <c r="T727" s="1374">
        <v>129</v>
      </c>
      <c r="U727" s="1375"/>
      <c r="V727" s="1375"/>
      <c r="W727" s="1376"/>
      <c r="X727" s="1356">
        <f t="shared" si="59"/>
        <v>936</v>
      </c>
      <c r="Y727" s="1357"/>
      <c r="Z727" s="1357"/>
      <c r="AA727" s="1357"/>
      <c r="AB727" s="1358"/>
      <c r="AC727" s="1377">
        <v>0.3</v>
      </c>
      <c r="AD727" s="1378"/>
      <c r="AE727" s="1378"/>
      <c r="AF727" s="1378"/>
      <c r="AG727" s="1379"/>
      <c r="AH727" s="1359">
        <f t="shared" si="60"/>
        <v>0.3</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4</v>
      </c>
      <c r="H728" s="1363"/>
      <c r="I728" s="1363"/>
      <c r="J728" s="1364"/>
      <c r="K728" s="1572">
        <v>775</v>
      </c>
      <c r="L728" s="1573"/>
      <c r="M728" s="1573"/>
      <c r="N728" s="1574"/>
      <c r="O728" s="1374">
        <v>1431</v>
      </c>
      <c r="P728" s="1375"/>
      <c r="Q728" s="1375"/>
      <c r="R728" s="1375"/>
      <c r="S728" s="1376"/>
      <c r="T728" s="1374">
        <v>129</v>
      </c>
      <c r="U728" s="1375"/>
      <c r="V728" s="1375"/>
      <c r="W728" s="1376"/>
      <c r="X728" s="1356">
        <f t="shared" si="59"/>
        <v>1560</v>
      </c>
      <c r="Y728" s="1357"/>
      <c r="Z728" s="1357"/>
      <c r="AA728" s="1357"/>
      <c r="AB728" s="1358"/>
      <c r="AC728" s="1377">
        <v>0.5</v>
      </c>
      <c r="AD728" s="1378"/>
      <c r="AE728" s="1378"/>
      <c r="AF728" s="1378"/>
      <c r="AG728" s="1379"/>
      <c r="AH728" s="1359">
        <f t="shared" si="60"/>
        <v>0.5</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4</v>
      </c>
      <c r="H729" s="1363"/>
      <c r="I729" s="1363"/>
      <c r="J729" s="1364"/>
      <c r="K729" s="1572">
        <v>775</v>
      </c>
      <c r="L729" s="1573"/>
      <c r="M729" s="1573"/>
      <c r="N729" s="1574"/>
      <c r="O729" s="1374">
        <v>1743</v>
      </c>
      <c r="P729" s="1375"/>
      <c r="Q729" s="1375"/>
      <c r="R729" s="1375"/>
      <c r="S729" s="1376"/>
      <c r="T729" s="1374">
        <v>129</v>
      </c>
      <c r="U729" s="1375"/>
      <c r="V729" s="1375"/>
      <c r="W729" s="1376"/>
      <c r="X729" s="1356">
        <f t="shared" si="59"/>
        <v>1872</v>
      </c>
      <c r="Y729" s="1357"/>
      <c r="Z729" s="1357"/>
      <c r="AA729" s="1357"/>
      <c r="AB729" s="1358"/>
      <c r="AC729" s="1377">
        <v>0.6</v>
      </c>
      <c r="AD729" s="1378"/>
      <c r="AE729" s="1378"/>
      <c r="AF729" s="1378"/>
      <c r="AG729" s="1379"/>
      <c r="AH729" s="1359">
        <f t="shared" si="60"/>
        <v>0.6</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163</v>
      </c>
      <c r="C730" s="1354"/>
      <c r="D730" s="1354"/>
      <c r="E730" s="1354"/>
      <c r="F730" s="1355"/>
      <c r="G730" s="1362">
        <v>23</v>
      </c>
      <c r="H730" s="1363"/>
      <c r="I730" s="1363"/>
      <c r="J730" s="1364"/>
      <c r="K730" s="1572">
        <v>775</v>
      </c>
      <c r="L730" s="1573"/>
      <c r="M730" s="1573"/>
      <c r="N730" s="1574"/>
      <c r="O730" s="1374">
        <v>1743</v>
      </c>
      <c r="P730" s="1375"/>
      <c r="Q730" s="1375"/>
      <c r="R730" s="1375"/>
      <c r="S730" s="1376"/>
      <c r="T730" s="1374">
        <v>129</v>
      </c>
      <c r="U730" s="1375"/>
      <c r="V730" s="1375"/>
      <c r="W730" s="1376"/>
      <c r="X730" s="1356">
        <f t="shared" si="59"/>
        <v>1872</v>
      </c>
      <c r="Y730" s="1357"/>
      <c r="Z730" s="1357"/>
      <c r="AA730" s="1357"/>
      <c r="AB730" s="1358"/>
      <c r="AC730" s="1377">
        <v>0.6</v>
      </c>
      <c r="AD730" s="1378"/>
      <c r="AE730" s="1378"/>
      <c r="AF730" s="1378"/>
      <c r="AG730" s="1379"/>
      <c r="AH730" s="1359">
        <f t="shared" si="60"/>
        <v>0.6</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163</v>
      </c>
      <c r="C731" s="1354"/>
      <c r="D731" s="1354"/>
      <c r="E731" s="1354"/>
      <c r="F731" s="1355"/>
      <c r="G731" s="1362">
        <v>7</v>
      </c>
      <c r="H731" s="1363"/>
      <c r="I731" s="1363"/>
      <c r="J731" s="1364"/>
      <c r="K731" s="1572">
        <v>775</v>
      </c>
      <c r="L731" s="1573"/>
      <c r="M731" s="1573"/>
      <c r="N731" s="1574"/>
      <c r="O731" s="1374">
        <v>2367</v>
      </c>
      <c r="P731" s="1375"/>
      <c r="Q731" s="1375"/>
      <c r="R731" s="1375"/>
      <c r="S731" s="1376"/>
      <c r="T731" s="1374">
        <v>129</v>
      </c>
      <c r="U731" s="1375"/>
      <c r="V731" s="1375"/>
      <c r="W731" s="1376"/>
      <c r="X731" s="1356">
        <f t="shared" si="59"/>
        <v>2496</v>
      </c>
      <c r="Y731" s="1357"/>
      <c r="Z731" s="1357"/>
      <c r="AA731" s="1357"/>
      <c r="AB731" s="1358"/>
      <c r="AC731" s="1377">
        <v>0.8</v>
      </c>
      <c r="AD731" s="1378"/>
      <c r="AE731" s="1378"/>
      <c r="AF731" s="1378"/>
      <c r="AG731" s="1379"/>
      <c r="AH731" s="1359">
        <f t="shared" si="60"/>
        <v>0.8</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t="s">
        <v>164</v>
      </c>
      <c r="C732" s="1354"/>
      <c r="D732" s="1354"/>
      <c r="E732" s="1354"/>
      <c r="F732" s="1355"/>
      <c r="G732" s="1362">
        <v>4</v>
      </c>
      <c r="H732" s="1363"/>
      <c r="I732" s="1363"/>
      <c r="J732" s="1364"/>
      <c r="K732" s="1572">
        <v>1033</v>
      </c>
      <c r="L732" s="1573"/>
      <c r="M732" s="1573"/>
      <c r="N732" s="1574"/>
      <c r="O732" s="1374">
        <v>921</v>
      </c>
      <c r="P732" s="1375"/>
      <c r="Q732" s="1375"/>
      <c r="R732" s="1375"/>
      <c r="S732" s="1376"/>
      <c r="T732" s="1374">
        <v>160</v>
      </c>
      <c r="U732" s="1375"/>
      <c r="V732" s="1375"/>
      <c r="W732" s="1376"/>
      <c r="X732" s="1356">
        <f t="shared" si="59"/>
        <v>1081</v>
      </c>
      <c r="Y732" s="1357"/>
      <c r="Z732" s="1357"/>
      <c r="AA732" s="1357"/>
      <c r="AB732" s="1358"/>
      <c r="AC732" s="1377">
        <v>0.3</v>
      </c>
      <c r="AD732" s="1378"/>
      <c r="AE732" s="1378"/>
      <c r="AF732" s="1378"/>
      <c r="AG732" s="1379"/>
      <c r="AH732" s="1359">
        <f t="shared" si="60"/>
        <v>0.2997781475318913</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t="s">
        <v>164</v>
      </c>
      <c r="C733" s="1354"/>
      <c r="D733" s="1354"/>
      <c r="E733" s="1354"/>
      <c r="F733" s="1355"/>
      <c r="G733" s="1362">
        <v>4</v>
      </c>
      <c r="H733" s="1363"/>
      <c r="I733" s="1363"/>
      <c r="J733" s="1364"/>
      <c r="K733" s="1572">
        <v>1033</v>
      </c>
      <c r="L733" s="1573"/>
      <c r="M733" s="1573"/>
      <c r="N733" s="1574"/>
      <c r="O733" s="1374">
        <v>1643</v>
      </c>
      <c r="P733" s="1375"/>
      <c r="Q733" s="1375"/>
      <c r="R733" s="1375"/>
      <c r="S733" s="1376"/>
      <c r="T733" s="1374">
        <v>160</v>
      </c>
      <c r="U733" s="1375"/>
      <c r="V733" s="1375"/>
      <c r="W733" s="1376"/>
      <c r="X733" s="1356">
        <f t="shared" si="59"/>
        <v>1803</v>
      </c>
      <c r="Y733" s="1357"/>
      <c r="Z733" s="1357"/>
      <c r="AA733" s="1357"/>
      <c r="AB733" s="1358"/>
      <c r="AC733" s="1377">
        <v>0.5</v>
      </c>
      <c r="AD733" s="1378"/>
      <c r="AE733" s="1378"/>
      <c r="AF733" s="1378"/>
      <c r="AG733" s="1379"/>
      <c r="AH733" s="1359">
        <f t="shared" si="60"/>
        <v>0.5</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t="s">
        <v>164</v>
      </c>
      <c r="C734" s="1354"/>
      <c r="D734" s="1354"/>
      <c r="E734" s="1354"/>
      <c r="F734" s="1355"/>
      <c r="G734" s="1362">
        <v>27</v>
      </c>
      <c r="H734" s="1363"/>
      <c r="I734" s="1363"/>
      <c r="J734" s="1364"/>
      <c r="K734" s="1572">
        <v>1033</v>
      </c>
      <c r="L734" s="1573"/>
      <c r="M734" s="1573"/>
      <c r="N734" s="1574"/>
      <c r="O734" s="1374">
        <v>2003</v>
      </c>
      <c r="P734" s="1375"/>
      <c r="Q734" s="1375"/>
      <c r="R734" s="1375"/>
      <c r="S734" s="1376"/>
      <c r="T734" s="1374">
        <v>160</v>
      </c>
      <c r="U734" s="1375"/>
      <c r="V734" s="1375"/>
      <c r="W734" s="1376"/>
      <c r="X734" s="1356">
        <f t="shared" si="59"/>
        <v>2163</v>
      </c>
      <c r="Y734" s="1357"/>
      <c r="Z734" s="1357"/>
      <c r="AA734" s="1357"/>
      <c r="AB734" s="1358"/>
      <c r="AC734" s="1377">
        <v>0.6</v>
      </c>
      <c r="AD734" s="1378"/>
      <c r="AE734" s="1378"/>
      <c r="AF734" s="1378"/>
      <c r="AG734" s="1379"/>
      <c r="AH734" s="1359">
        <f t="shared" si="60"/>
        <v>0.59983361064891849</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t="s">
        <v>164</v>
      </c>
      <c r="C735" s="1354"/>
      <c r="D735" s="1354"/>
      <c r="E735" s="1354"/>
      <c r="F735" s="1355"/>
      <c r="G735" s="1362">
        <v>1</v>
      </c>
      <c r="H735" s="1363"/>
      <c r="I735" s="1363"/>
      <c r="J735" s="1364"/>
      <c r="K735" s="1572">
        <v>1033</v>
      </c>
      <c r="L735" s="1573"/>
      <c r="M735" s="1573"/>
      <c r="N735" s="1574"/>
      <c r="O735" s="1374">
        <v>2725</v>
      </c>
      <c r="P735" s="1375"/>
      <c r="Q735" s="1375"/>
      <c r="R735" s="1375"/>
      <c r="S735" s="1376"/>
      <c r="T735" s="1374">
        <v>160</v>
      </c>
      <c r="U735" s="1375"/>
      <c r="V735" s="1375"/>
      <c r="W735" s="1376"/>
      <c r="X735" s="1356">
        <f t="shared" si="59"/>
        <v>2885</v>
      </c>
      <c r="Y735" s="1357"/>
      <c r="Z735" s="1357"/>
      <c r="AA735" s="1357"/>
      <c r="AB735" s="1358"/>
      <c r="AC735" s="1377">
        <v>0.8</v>
      </c>
      <c r="AD735" s="1378"/>
      <c r="AE735" s="1378"/>
      <c r="AF735" s="1378"/>
      <c r="AG735" s="1379"/>
      <c r="AH735" s="1359">
        <f t="shared" si="60"/>
        <v>0.80005546311702713</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71">
        <f>SUM(G718:G752)</f>
        <v>121</v>
      </c>
      <c r="H753" s="1772"/>
      <c r="I753" s="1772"/>
      <c r="J753" s="1773"/>
      <c r="K753" s="937" t="s">
        <v>124</v>
      </c>
      <c r="L753" s="5"/>
      <c r="M753" s="5"/>
      <c r="N753" s="46"/>
      <c r="O753" s="1356">
        <f>SUMPRODUCT(G718:G752,O718:O752)</f>
        <v>199609</v>
      </c>
      <c r="P753" s="1357"/>
      <c r="Q753" s="1357"/>
      <c r="R753" s="1357"/>
      <c r="S753" s="1358"/>
      <c r="T753"/>
      <c r="U753"/>
      <c r="V753"/>
      <c r="W753"/>
      <c r="X753" s="939" t="s">
        <v>916</v>
      </c>
      <c r="Y753" s="938"/>
      <c r="Z753" s="938"/>
      <c r="AA753" s="938"/>
      <c r="AB753" s="940"/>
      <c r="AC753" s="1730">
        <f>BI703</f>
        <v>0.58347107438016521</v>
      </c>
      <c r="AD753" s="1731"/>
      <c r="AE753" s="1731"/>
      <c r="AF753" s="1731"/>
      <c r="AG753" s="1732"/>
      <c r="AH753" s="1730">
        <f>IFERROR(BV703,"")</f>
        <v>0.58144543908585655</v>
      </c>
      <c r="AI753" s="1731"/>
      <c r="AJ753" s="173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2182</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1">
        <f>CS634</f>
        <v>235</v>
      </c>
      <c r="P756" s="1391"/>
      <c r="Q756" s="1391"/>
      <c r="R756" s="1391"/>
      <c r="S756" s="1004"/>
      <c r="T756" s="1004"/>
      <c r="U756" s="118" t="s">
        <v>2181</v>
      </c>
      <c r="V756" s="1067"/>
      <c r="W756" s="1067"/>
      <c r="X756" s="1067"/>
      <c r="Y756" s="1068"/>
      <c r="Z756" s="1068"/>
      <c r="AA756" s="1068"/>
      <c r="AB756" s="1068"/>
      <c r="AC756" s="1067"/>
      <c r="AD756" s="1067"/>
      <c r="AE756" s="1067"/>
      <c r="AF756" s="1067"/>
      <c r="AG756" s="1766"/>
      <c r="AH756" s="1766"/>
      <c r="AI756" s="1766"/>
      <c r="AJ756" s="176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4" t="s">
        <v>600</v>
      </c>
      <c r="AE759" s="1774"/>
      <c r="AF759" s="177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390</v>
      </c>
      <c r="K769" s="1366"/>
      <c r="L769" s="1366"/>
      <c r="M769" s="1366"/>
      <c r="N769" s="1367"/>
      <c r="O769" s="1769" t="s">
        <v>286</v>
      </c>
      <c r="P769" s="1769"/>
      <c r="Q769" s="1769"/>
      <c r="R769" s="1769"/>
      <c r="S769" s="1769"/>
      <c r="T769" s="1380" t="s">
        <v>1867</v>
      </c>
      <c r="U769" s="1381"/>
      <c r="V769" s="1381"/>
      <c r="W769" s="1382"/>
      <c r="X769" s="1577" t="s">
        <v>456</v>
      </c>
      <c r="Y769" s="1366"/>
      <c r="Z769" s="1366"/>
      <c r="AA769" s="1366"/>
      <c r="AB769" s="1367"/>
      <c r="AC769" s="1577"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69"/>
      <c r="P770" s="1769"/>
      <c r="Q770" s="1769"/>
      <c r="R770" s="1769"/>
      <c r="S770" s="1769"/>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69"/>
      <c r="P771" s="1769"/>
      <c r="Q771" s="1769"/>
      <c r="R771" s="1769"/>
      <c r="S771" s="1769"/>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69"/>
      <c r="P772" s="1769"/>
      <c r="Q772" s="1769"/>
      <c r="R772" s="1769"/>
      <c r="S772" s="1769"/>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442">
        <v>1</v>
      </c>
      <c r="P773" s="1442"/>
      <c r="Q773" s="1442"/>
      <c r="R773" s="1442"/>
      <c r="S773" s="1442"/>
      <c r="T773" s="1572">
        <v>520</v>
      </c>
      <c r="U773" s="1573"/>
      <c r="V773" s="1573"/>
      <c r="W773" s="1574"/>
      <c r="X773" s="1374">
        <v>4000</v>
      </c>
      <c r="Y773" s="1375"/>
      <c r="Z773" s="1375"/>
      <c r="AA773" s="1375"/>
      <c r="AB773" s="1376"/>
      <c r="AC773" s="1356">
        <f>X773*O773</f>
        <v>4000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2"/>
      <c r="P774" s="1442"/>
      <c r="Q774" s="1442"/>
      <c r="R774" s="1442"/>
      <c r="S774" s="144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2"/>
      <c r="P775" s="1442"/>
      <c r="Q775" s="1442"/>
      <c r="R775" s="1442"/>
      <c r="S775" s="144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2"/>
      <c r="P776" s="1442"/>
      <c r="Q776" s="1442"/>
      <c r="R776" s="1442"/>
      <c r="S776" s="144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6">
        <f>SUM(O773:S776)</f>
        <v>1</v>
      </c>
      <c r="P777" s="1511"/>
      <c r="Q777" s="1511"/>
      <c r="R777" s="1511"/>
      <c r="S777" s="1397"/>
      <c r="X777" s="1593" t="s">
        <v>124</v>
      </c>
      <c r="Y777" s="1594"/>
      <c r="Z777" s="1594"/>
      <c r="AA777" s="1594"/>
      <c r="AB777" s="1595"/>
      <c r="AC777" s="1356">
        <f>SUM(AC773:AG776)</f>
        <v>4000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390</v>
      </c>
      <c r="K783" s="1366"/>
      <c r="L783" s="1366"/>
      <c r="M783" s="1366"/>
      <c r="N783" s="1367"/>
      <c r="O783" s="1769" t="s">
        <v>286</v>
      </c>
      <c r="P783" s="1769"/>
      <c r="Q783" s="1769"/>
      <c r="R783" s="1769"/>
      <c r="S783" s="1769"/>
      <c r="T783" s="1380" t="s">
        <v>1867</v>
      </c>
      <c r="U783" s="1381"/>
      <c r="V783" s="1381"/>
      <c r="W783" s="1382"/>
      <c r="X783" s="1577" t="s">
        <v>456</v>
      </c>
      <c r="Y783" s="1366"/>
      <c r="Z783" s="1366"/>
      <c r="AA783" s="1366"/>
      <c r="AB783" s="1367"/>
      <c r="AC783" s="1577"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69"/>
      <c r="P784" s="1769"/>
      <c r="Q784" s="1769"/>
      <c r="R784" s="1769"/>
      <c r="S784" s="1769"/>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69"/>
      <c r="P785" s="1769"/>
      <c r="Q785" s="1769"/>
      <c r="R785" s="1769"/>
      <c r="S785" s="1769"/>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69"/>
      <c r="P786" s="1769"/>
      <c r="Q786" s="1769"/>
      <c r="R786" s="1769"/>
      <c r="S786" s="1769"/>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2"/>
      <c r="P787" s="1442"/>
      <c r="Q787" s="1442"/>
      <c r="R787" s="1442"/>
      <c r="S787" s="144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2"/>
      <c r="P788" s="1442"/>
      <c r="Q788" s="1442"/>
      <c r="R788" s="1442"/>
      <c r="S788" s="144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2"/>
      <c r="P789" s="1442"/>
      <c r="Q789" s="1442"/>
      <c r="R789" s="1442"/>
      <c r="S789" s="144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2"/>
      <c r="P790" s="1442"/>
      <c r="Q790" s="1442"/>
      <c r="R790" s="1442"/>
      <c r="S790" s="144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2"/>
      <c r="P791" s="1442"/>
      <c r="Q791" s="1442"/>
      <c r="R791" s="1442"/>
      <c r="S791" s="144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2"/>
      <c r="P792" s="1442"/>
      <c r="Q792" s="1442"/>
      <c r="R792" s="1442"/>
      <c r="S792" s="144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2"/>
      <c r="P793" s="1442"/>
      <c r="Q793" s="1442"/>
      <c r="R793" s="1442"/>
      <c r="S793" s="144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2"/>
      <c r="P794" s="1442"/>
      <c r="Q794" s="1442"/>
      <c r="R794" s="1442"/>
      <c r="S794" s="144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2"/>
      <c r="P795" s="1442"/>
      <c r="Q795" s="1442"/>
      <c r="R795" s="1442"/>
      <c r="S795" s="144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2"/>
      <c r="P796" s="1442"/>
      <c r="Q796" s="1442"/>
      <c r="R796" s="1442"/>
      <c r="S796" s="144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39" t="s">
        <v>478</v>
      </c>
      <c r="BO796" s="1740"/>
      <c r="BP796" s="3"/>
      <c r="BQ796" s="3"/>
      <c r="BR796" s="3"/>
      <c r="BS796" s="14" t="s">
        <v>643</v>
      </c>
      <c r="BT796" s="14"/>
      <c r="BU796" s="14"/>
      <c r="BV796" s="14"/>
      <c r="BW796" s="14"/>
      <c r="BX796" s="14"/>
      <c r="BY796" s="14"/>
      <c r="BZ796" s="14"/>
      <c r="CA796" s="14"/>
      <c r="CB796" s="1736" t="str">
        <f>T189</f>
        <v>Los Angeles</v>
      </c>
      <c r="CC796" s="1737"/>
      <c r="CD796" s="1737"/>
      <c r="CE796" s="1737"/>
      <c r="CF796" s="1737"/>
      <c r="CG796" s="1737"/>
      <c r="CH796" s="173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203609</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2443308</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7">
        <v>57</v>
      </c>
      <c r="AA806" s="1599"/>
      <c r="AB806" s="1599"/>
      <c r="AC806" s="1599"/>
      <c r="AD806" s="1599"/>
      <c r="AE806" s="160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8">
        <v>20</v>
      </c>
      <c r="AA807" s="1599"/>
      <c r="AB807" s="1599"/>
      <c r="AC807" s="1599"/>
      <c r="AD807" s="1599"/>
      <c r="AE807" s="160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t="s">
        <v>2754</v>
      </c>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8">
        <f>'Subsidy Contract Calculation'!J40</f>
        <v>3189948</v>
      </c>
      <c r="AA809" s="1589"/>
      <c r="AB809" s="1589"/>
      <c r="AC809" s="1589"/>
      <c r="AD809" s="1589"/>
      <c r="AE809" s="15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21960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14640</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335</v>
      </c>
      <c r="Q816" s="1617"/>
      <c r="R816" s="1617"/>
      <c r="S816" s="1617"/>
      <c r="T816" s="1617"/>
      <c r="U816" s="1617"/>
      <c r="V816" s="1617"/>
      <c r="W816" s="1617"/>
      <c r="X816" s="1617"/>
      <c r="Y816" s="1618"/>
      <c r="Z816" s="1579"/>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8">
        <f>SUM(Z813:AE816)</f>
        <v>36600</v>
      </c>
      <c r="AA817" s="1589"/>
      <c r="AB817" s="1589"/>
      <c r="AC817" s="1589"/>
      <c r="AD817" s="1589"/>
      <c r="AE817" s="159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8">
        <f>Z817+Y801+Z809</f>
        <v>5669856</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7" t="s">
        <v>126</v>
      </c>
      <c r="N823" s="1747"/>
      <c r="O823" s="1747"/>
      <c r="P823" s="1767"/>
      <c r="Q823" s="1597" t="s">
        <v>291</v>
      </c>
      <c r="R823" s="1597"/>
      <c r="S823" s="1597"/>
      <c r="T823" s="1597"/>
      <c r="U823" s="1597" t="s">
        <v>292</v>
      </c>
      <c r="V823" s="1597"/>
      <c r="W823" s="1597"/>
      <c r="X823" s="1597"/>
      <c r="Y823" s="1597" t="s">
        <v>293</v>
      </c>
      <c r="Z823" s="1597"/>
      <c r="AA823" s="1597"/>
      <c r="AB823" s="1597"/>
      <c r="AC823" s="1597" t="s">
        <v>362</v>
      </c>
      <c r="AD823" s="1597"/>
      <c r="AE823" s="1597"/>
      <c r="AF823" s="1597"/>
      <c r="AG823" s="1606" t="s">
        <v>336</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1"/>
      <c r="N824" s="1751"/>
      <c r="O824" s="1751"/>
      <c r="P824" s="1756"/>
      <c r="Q824" s="1597"/>
      <c r="R824" s="1597"/>
      <c r="S824" s="1597"/>
      <c r="T824" s="1597"/>
      <c r="U824" s="1597"/>
      <c r="V824" s="1597"/>
      <c r="W824" s="1597"/>
      <c r="X824" s="1597"/>
      <c r="Y824" s="1597"/>
      <c r="Z824" s="1597"/>
      <c r="AA824" s="1597"/>
      <c r="AB824" s="1597"/>
      <c r="AC824" s="1597"/>
      <c r="AD824" s="1597"/>
      <c r="AE824" s="1597"/>
      <c r="AF824" s="1597"/>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6" t="s">
        <v>40</v>
      </c>
      <c r="D825" s="1510"/>
      <c r="E825" s="1510"/>
      <c r="F825" s="1510"/>
      <c r="G825" s="1510"/>
      <c r="H825" s="1510"/>
      <c r="I825" s="48"/>
      <c r="J825" s="48"/>
      <c r="K825" s="48"/>
      <c r="L825" s="49"/>
      <c r="M825" s="1592">
        <v>6</v>
      </c>
      <c r="N825" s="1592"/>
      <c r="O825" s="1592"/>
      <c r="P825" s="1592"/>
      <c r="Q825" s="1592">
        <v>8</v>
      </c>
      <c r="R825" s="1592"/>
      <c r="S825" s="1592"/>
      <c r="T825" s="1592"/>
      <c r="U825" s="1592">
        <v>10</v>
      </c>
      <c r="V825" s="1592"/>
      <c r="W825" s="1592"/>
      <c r="X825" s="1592"/>
      <c r="Y825" s="1592">
        <v>13</v>
      </c>
      <c r="Z825" s="1592"/>
      <c r="AA825" s="1592"/>
      <c r="AB825" s="1592"/>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2"/>
      <c r="N826" s="1592"/>
      <c r="O826" s="1592"/>
      <c r="P826" s="1592"/>
      <c r="Q826" s="1592"/>
      <c r="R826" s="1592"/>
      <c r="S826" s="1592"/>
      <c r="T826" s="1592"/>
      <c r="U826" s="1592"/>
      <c r="V826" s="1592"/>
      <c r="W826" s="1592"/>
      <c r="X826" s="1592"/>
      <c r="Y826" s="1592"/>
      <c r="Z826" s="1592"/>
      <c r="AA826" s="1592"/>
      <c r="AB826" s="1592"/>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2">
        <v>2</v>
      </c>
      <c r="N827" s="1592"/>
      <c r="O827" s="1592"/>
      <c r="P827" s="1592"/>
      <c r="Q827" s="1592">
        <v>3</v>
      </c>
      <c r="R827" s="1592"/>
      <c r="S827" s="1592"/>
      <c r="T827" s="1592"/>
      <c r="U827" s="1592">
        <v>4</v>
      </c>
      <c r="V827" s="1592"/>
      <c r="W827" s="1592"/>
      <c r="X827" s="1592"/>
      <c r="Y827" s="1592">
        <v>5</v>
      </c>
      <c r="Z827" s="1592"/>
      <c r="AA827" s="1592"/>
      <c r="AB827" s="1592"/>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772</v>
      </c>
      <c r="D828" s="1406"/>
      <c r="E828" s="1406"/>
      <c r="F828" s="1406"/>
      <c r="G828" s="1406"/>
      <c r="H828" s="1406"/>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468</v>
      </c>
      <c r="D829" s="1406"/>
      <c r="E829" s="1406"/>
      <c r="F829" s="1406"/>
      <c r="G829" s="1406"/>
      <c r="H829" s="1406"/>
      <c r="I829" s="60"/>
      <c r="J829" s="60"/>
      <c r="K829" s="60"/>
      <c r="L829" s="61"/>
      <c r="M829" s="1592">
        <v>16</v>
      </c>
      <c r="N829" s="1592"/>
      <c r="O829" s="1592"/>
      <c r="P829" s="1592"/>
      <c r="Q829" s="1592">
        <v>23</v>
      </c>
      <c r="R829" s="1592"/>
      <c r="S829" s="1592"/>
      <c r="T829" s="1592"/>
      <c r="U829" s="1592">
        <v>29</v>
      </c>
      <c r="V829" s="1592"/>
      <c r="W829" s="1592"/>
      <c r="X829" s="1592"/>
      <c r="Y829" s="1592">
        <v>36</v>
      </c>
      <c r="Z829" s="1592"/>
      <c r="AA829" s="1592"/>
      <c r="AB829" s="1592"/>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0" t="s">
        <v>793</v>
      </c>
      <c r="D830" s="1406"/>
      <c r="E830" s="1406"/>
      <c r="F830" s="1406"/>
      <c r="G830" s="1406"/>
      <c r="H830" s="1406"/>
      <c r="I830" s="60"/>
      <c r="J830" s="60"/>
      <c r="K830" s="60"/>
      <c r="L830" s="61"/>
      <c r="M830" s="1592">
        <v>41</v>
      </c>
      <c r="N830" s="1592"/>
      <c r="O830" s="1592"/>
      <c r="P830" s="1592"/>
      <c r="Q830" s="1592">
        <v>58</v>
      </c>
      <c r="R830" s="1592"/>
      <c r="S830" s="1592"/>
      <c r="T830" s="1592"/>
      <c r="U830" s="1592">
        <v>74</v>
      </c>
      <c r="V830" s="1592"/>
      <c r="W830" s="1592"/>
      <c r="X830" s="1592"/>
      <c r="Y830" s="1592">
        <v>91</v>
      </c>
      <c r="Z830" s="1592"/>
      <c r="AA830" s="1592"/>
      <c r="AB830" s="1592"/>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6" t="s">
        <v>2756</v>
      </c>
      <c r="G831" s="1617"/>
      <c r="H831" s="1617"/>
      <c r="I831" s="1617"/>
      <c r="J831" s="1617"/>
      <c r="K831" s="1617"/>
      <c r="L831" s="1617"/>
      <c r="M831" s="1592">
        <v>7</v>
      </c>
      <c r="N831" s="1592"/>
      <c r="O831" s="1592"/>
      <c r="P831" s="1592"/>
      <c r="Q831" s="1592">
        <v>10</v>
      </c>
      <c r="R831" s="1592"/>
      <c r="S831" s="1592"/>
      <c r="T831" s="1592"/>
      <c r="U831" s="1592">
        <v>12</v>
      </c>
      <c r="V831" s="1592"/>
      <c r="W831" s="1592"/>
      <c r="X831" s="1592"/>
      <c r="Y831" s="1592">
        <v>15</v>
      </c>
      <c r="Z831" s="1592"/>
      <c r="AA831" s="1592"/>
      <c r="AB831" s="1592"/>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0">
        <f>SUM(M825:P831)</f>
        <v>72</v>
      </c>
      <c r="N832" s="1610"/>
      <c r="O832" s="1610"/>
      <c r="P832" s="1610"/>
      <c r="Q832" s="1610">
        <f>SUM(Q825:T831)</f>
        <v>102</v>
      </c>
      <c r="R832" s="1610"/>
      <c r="S832" s="1610"/>
      <c r="T832" s="1610"/>
      <c r="U832" s="1610">
        <f>SUM(U825:X831)</f>
        <v>129</v>
      </c>
      <c r="V832" s="1610"/>
      <c r="W832" s="1610"/>
      <c r="X832" s="1610"/>
      <c r="Y832" s="1610">
        <f>SUM(Y825:AB831)</f>
        <v>160</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3" t="s">
        <v>2755</v>
      </c>
      <c r="D837" s="1734"/>
      <c r="E837" s="1734"/>
      <c r="F837" s="1734"/>
      <c r="G837" s="1734"/>
      <c r="H837" s="1734"/>
      <c r="I837" s="1734"/>
      <c r="J837" s="1734"/>
      <c r="K837" s="1734"/>
      <c r="L837" s="1734"/>
      <c r="M837" s="1734"/>
      <c r="N837" s="1734"/>
      <c r="O837" s="1734"/>
      <c r="P837" s="1734"/>
      <c r="Q837" s="1734"/>
      <c r="R837" s="1734"/>
      <c r="S837" s="1734"/>
      <c r="T837" s="1734"/>
      <c r="U837" s="1734"/>
      <c r="V837" s="1734"/>
      <c r="W837" s="1734"/>
      <c r="X837" s="1734"/>
      <c r="Y837" s="1734"/>
      <c r="Z837" s="1734"/>
      <c r="AA837" s="1734"/>
      <c r="AB837" s="1734"/>
      <c r="AC837" s="1734"/>
      <c r="AD837" s="1734"/>
      <c r="AE837" s="1734"/>
      <c r="AF837" s="1734"/>
      <c r="AG837" s="1734"/>
      <c r="AH837" s="1734"/>
      <c r="AI837" s="1734"/>
      <c r="AJ837" s="173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1">
        <v>20000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1">
        <v>10000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1">
        <v>10000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1"/>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6" t="s">
        <v>2735</v>
      </c>
      <c r="N846" s="1617"/>
      <c r="O846" s="1617"/>
      <c r="P846" s="1617"/>
      <c r="Q846" s="1617"/>
      <c r="R846" s="1617"/>
      <c r="S846" s="1617"/>
      <c r="T846" s="1617"/>
      <c r="U846" s="1617"/>
      <c r="V846" s="1618"/>
      <c r="W846" s="1611">
        <v>10000</v>
      </c>
      <c r="X846" s="1611"/>
      <c r="Y846" s="1611"/>
      <c r="Z846" s="1611"/>
      <c r="AA846" s="1611"/>
      <c r="AB846" s="1611"/>
      <c r="AC846" s="1611"/>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8">
        <f>SUM(W842:AC846)</f>
        <v>50000</v>
      </c>
      <c r="X847" s="1589"/>
      <c r="Y847" s="1589"/>
      <c r="Z847" s="1589"/>
      <c r="AA847" s="1589"/>
      <c r="AB847" s="1589"/>
      <c r="AC847" s="1590"/>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3" t="s">
        <v>346</v>
      </c>
      <c r="K849" s="1594"/>
      <c r="L849" s="1594"/>
      <c r="M849" s="1594"/>
      <c r="N849" s="1594"/>
      <c r="O849" s="1594"/>
      <c r="P849" s="1594"/>
      <c r="Q849" s="1594"/>
      <c r="R849" s="1594"/>
      <c r="S849" s="1594"/>
      <c r="T849" s="1594"/>
      <c r="U849" s="1594"/>
      <c r="V849" s="1595"/>
      <c r="W849" s="1579">
        <v>100000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05"/>
      <c r="X851" s="1605"/>
      <c r="Y851" s="1605"/>
      <c r="Z851" s="1605"/>
      <c r="AA851" s="1605"/>
      <c r="AB851" s="1605"/>
      <c r="AC851" s="1605"/>
      <c r="AZ851" s="1619">
        <f>SUM(AZ818:AZ846)</f>
        <v>7.5000000000000011E-2</v>
      </c>
      <c r="BA851" s="161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5">
        <v>50000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05">
        <v>75000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05">
        <v>75000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5">
        <f>SUM(W851:AC854)</f>
        <v>200000</v>
      </c>
      <c r="X855" s="1685"/>
      <c r="Y855" s="1685"/>
      <c r="Z855" s="1685"/>
      <c r="AA855" s="1685"/>
      <c r="AB855" s="1685"/>
      <c r="AC855" s="168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2">
        <v>100000</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1">
        <v>1</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2">
        <v>80000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1"/>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6" t="s">
        <v>2736</v>
      </c>
      <c r="N861" s="1617"/>
      <c r="O861" s="1617"/>
      <c r="P861" s="1617"/>
      <c r="Q861" s="1617"/>
      <c r="R861" s="1617"/>
      <c r="S861" s="1617"/>
      <c r="T861" s="1617"/>
      <c r="U861" s="1617"/>
      <c r="V861" s="1618"/>
      <c r="W861" s="1612">
        <v>20000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3">
        <f>SUM(W857:AC861)</f>
        <v>200000</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2">
        <v>53900</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1">
        <v>40000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1">
        <v>30000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1">
        <v>25000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1">
        <v>25000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1">
        <v>10000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1">
        <v>10000</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6" t="s">
        <v>2737</v>
      </c>
      <c r="N871" s="1617"/>
      <c r="O871" s="1617"/>
      <c r="P871" s="1617"/>
      <c r="Q871" s="1617"/>
      <c r="R871" s="1617"/>
      <c r="S871" s="1617"/>
      <c r="T871" s="1617"/>
      <c r="U871" s="1617"/>
      <c r="V871" s="1618"/>
      <c r="W871" s="1611">
        <v>12500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7">
        <f>SUM(W865:AC871)</f>
        <v>152500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6" t="s">
        <v>335</v>
      </c>
      <c r="N874" s="1617"/>
      <c r="O874" s="1617"/>
      <c r="P874" s="1617"/>
      <c r="Q874" s="1617"/>
      <c r="R874" s="1617"/>
      <c r="S874" s="1617"/>
      <c r="T874" s="1617"/>
      <c r="U874" s="1617"/>
      <c r="V874" s="1618"/>
      <c r="W874" s="1579"/>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6" t="s">
        <v>335</v>
      </c>
      <c r="N875" s="1617"/>
      <c r="O875" s="1617"/>
      <c r="P875" s="1617"/>
      <c r="Q875" s="1617"/>
      <c r="R875" s="1617"/>
      <c r="S875" s="1617"/>
      <c r="T875" s="1617"/>
      <c r="U875" s="1617"/>
      <c r="V875" s="1618"/>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6" t="s">
        <v>335</v>
      </c>
      <c r="N876" s="1617"/>
      <c r="O876" s="1617"/>
      <c r="P876" s="1617"/>
      <c r="Q876" s="1617"/>
      <c r="R876" s="1617"/>
      <c r="S876" s="1617"/>
      <c r="T876" s="1617"/>
      <c r="U876" s="1617"/>
      <c r="V876" s="1618"/>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6" t="s">
        <v>335</v>
      </c>
      <c r="N877" s="1617"/>
      <c r="O877" s="1617"/>
      <c r="P877" s="1617"/>
      <c r="Q877" s="1617"/>
      <c r="R877" s="1617"/>
      <c r="S877" s="1617"/>
      <c r="T877" s="1617"/>
      <c r="U877" s="1617"/>
      <c r="V877" s="1618"/>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6" t="s">
        <v>335</v>
      </c>
      <c r="N878" s="1617"/>
      <c r="O878" s="1617"/>
      <c r="P878" s="1617"/>
      <c r="Q878" s="1617"/>
      <c r="R878" s="1617"/>
      <c r="S878" s="1617"/>
      <c r="T878" s="1617"/>
      <c r="U878" s="1617"/>
      <c r="V878" s="1618"/>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8">
        <f>SUM(W874:AC878)</f>
        <v>0</v>
      </c>
      <c r="X879" s="1589"/>
      <c r="Y879" s="1589"/>
      <c r="Z879" s="1589"/>
      <c r="AA879" s="1589"/>
      <c r="AB879" s="1589"/>
      <c r="AC879" s="159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9">
        <f>W847+W855+W862+W863+W872+W879+W849</f>
        <v>756400</v>
      </c>
      <c r="AD883" s="1589"/>
      <c r="AE883" s="1589"/>
      <c r="AF883" s="1589"/>
      <c r="AG883" s="1589"/>
      <c r="AH883" s="159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3">
        <f>O797+O777+G753</f>
        <v>122</v>
      </c>
      <c r="AD884" s="1683"/>
      <c r="AE884" s="1683"/>
      <c r="AF884" s="1683"/>
      <c r="AG884" s="1683"/>
      <c r="AH884" s="168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1" t="s">
        <v>32</v>
      </c>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2"/>
      <c r="AC885" s="1587">
        <f>IF(ISERROR((ROUNDDOWN(AC883/AC884,0))),0,(ROUNDDOWN(AC883/AC884,0)))</f>
        <v>6200</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89">
        <v>1234457</v>
      </c>
      <c r="AD886" s="1690"/>
      <c r="AE886" s="1690"/>
      <c r="AF886" s="1690"/>
      <c r="AG886" s="1690"/>
      <c r="AH886" s="169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1"/>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0">
        <v>25800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30500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0"/>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2757</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11">
        <v>1200000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976</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8">
        <f>Z898-(Z899+Z900)</f>
        <v>0</v>
      </c>
      <c r="AA901" s="1589"/>
      <c r="AB901" s="1589"/>
      <c r="AC901" s="1589"/>
      <c r="AD901" s="1589"/>
      <c r="AE901" s="1590"/>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1" t="s">
        <v>802</v>
      </c>
      <c r="G914" s="1822"/>
      <c r="H914" s="1822"/>
      <c r="I914" s="1822"/>
      <c r="J914" s="1822"/>
      <c r="K914" s="1822"/>
      <c r="L914" s="1822"/>
      <c r="M914" s="1822"/>
      <c r="N914" s="1822"/>
      <c r="O914" s="1822"/>
      <c r="P914" s="1822"/>
      <c r="Q914" s="1822"/>
      <c r="R914" s="1822"/>
      <c r="S914" s="1822"/>
      <c r="T914" s="1823"/>
      <c r="U914" s="1746" t="s">
        <v>31</v>
      </c>
      <c r="V914" s="1747"/>
      <c r="W914" s="1747"/>
      <c r="X914" s="1747"/>
      <c r="Y914" s="1747"/>
      <c r="Z914" s="174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8" t="s">
        <v>828</v>
      </c>
      <c r="G915" s="1749"/>
      <c r="H915" s="1749"/>
      <c r="I915" s="1749"/>
      <c r="J915" s="1749"/>
      <c r="K915" s="1749"/>
      <c r="L915" s="1749"/>
      <c r="M915" s="1749"/>
      <c r="N915" s="1749"/>
      <c r="O915" s="1749"/>
      <c r="P915" s="1749"/>
      <c r="Q915" s="1749"/>
      <c r="R915" s="1749"/>
      <c r="S915" s="1749"/>
      <c r="T915" s="1755"/>
      <c r="U915" s="1748"/>
      <c r="V915" s="1749"/>
      <c r="W915" s="1749"/>
      <c r="X915" s="1749"/>
      <c r="Y915" s="1749"/>
      <c r="Z915" s="174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0"/>
      <c r="G916" s="1751"/>
      <c r="H916" s="1751"/>
      <c r="I916" s="1751"/>
      <c r="J916" s="1751"/>
      <c r="K916" s="1751"/>
      <c r="L916" s="1751"/>
      <c r="M916" s="1751"/>
      <c r="N916" s="1751"/>
      <c r="O916" s="1751"/>
      <c r="P916" s="1751"/>
      <c r="Q916" s="1751"/>
      <c r="R916" s="1751"/>
      <c r="S916" s="1751"/>
      <c r="T916" s="1756"/>
      <c r="U916" s="1750"/>
      <c r="V916" s="1751"/>
      <c r="W916" s="1751"/>
      <c r="X916" s="1751"/>
      <c r="Y916" s="1751"/>
      <c r="Z916" s="1751"/>
      <c r="AA916" s="108"/>
      <c r="AB916" s="1477" t="s">
        <v>392</v>
      </c>
      <c r="AC916" s="1477"/>
      <c r="AD916" s="1477"/>
      <c r="AE916" s="14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6" t="s">
        <v>554</v>
      </c>
      <c r="V917" s="1421"/>
      <c r="W917" s="1421"/>
      <c r="X917" s="1421"/>
      <c r="Y917" s="1421"/>
      <c r="Z917" s="1422"/>
      <c r="AA917" s="1627">
        <v>47767550</v>
      </c>
      <c r="AB917" s="1531"/>
      <c r="AC917" s="1531"/>
      <c r="AD917" s="1531"/>
      <c r="AE917" s="1531"/>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6" t="s">
        <v>554</v>
      </c>
      <c r="V918" s="1421"/>
      <c r="W918" s="1421"/>
      <c r="X918" s="1421"/>
      <c r="Y918" s="1421"/>
      <c r="Z918" s="1422"/>
      <c r="AA918" s="1627">
        <v>14694386</v>
      </c>
      <c r="AB918" s="1531"/>
      <c r="AC918" s="1531"/>
      <c r="AD918" s="1531"/>
      <c r="AE918" s="1531"/>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6" t="s">
        <v>600</v>
      </c>
      <c r="V919" s="1421"/>
      <c r="W919" s="1421"/>
      <c r="X919" s="1421"/>
      <c r="Y919" s="1421"/>
      <c r="Z919" s="1422"/>
      <c r="AA919" s="1627"/>
      <c r="AB919" s="1531"/>
      <c r="AC919" s="1531"/>
      <c r="AD919" s="1531"/>
      <c r="AE919" s="1531"/>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6" t="s">
        <v>600</v>
      </c>
      <c r="V920" s="1421"/>
      <c r="W920" s="1421"/>
      <c r="X920" s="1421"/>
      <c r="Y920" s="1421"/>
      <c r="Z920" s="1422"/>
      <c r="AA920" s="1627"/>
      <c r="AB920" s="1531"/>
      <c r="AC920" s="1531"/>
      <c r="AD920" s="1531"/>
      <c r="AE920" s="1531"/>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6" t="s">
        <v>600</v>
      </c>
      <c r="V921" s="1421"/>
      <c r="W921" s="1421"/>
      <c r="X921" s="1421"/>
      <c r="Y921" s="1421"/>
      <c r="Z921" s="1422"/>
      <c r="AA921" s="1627"/>
      <c r="AB921" s="1531"/>
      <c r="AC921" s="1531"/>
      <c r="AD921" s="1531"/>
      <c r="AE921" s="1531"/>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6" t="s">
        <v>600</v>
      </c>
      <c r="V922" s="1421"/>
      <c r="W922" s="1421"/>
      <c r="X922" s="1421"/>
      <c r="Y922" s="1421"/>
      <c r="Z922" s="1422"/>
      <c r="AA922" s="1627"/>
      <c r="AB922" s="1531"/>
      <c r="AC922" s="1531"/>
      <c r="AD922" s="1531"/>
      <c r="AE922" s="1531"/>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6" t="s">
        <v>600</v>
      </c>
      <c r="V923" s="1421"/>
      <c r="W923" s="1421"/>
      <c r="X923" s="1421"/>
      <c r="Y923" s="1421"/>
      <c r="Z923" s="1422"/>
      <c r="AA923" s="1627"/>
      <c r="AB923" s="1531"/>
      <c r="AC923" s="1531"/>
      <c r="AD923" s="1531"/>
      <c r="AE923" s="1531"/>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6" t="s">
        <v>600</v>
      </c>
      <c r="V924" s="1421"/>
      <c r="W924" s="1421"/>
      <c r="X924" s="1421"/>
      <c r="Y924" s="1421"/>
      <c r="Z924" s="1422"/>
      <c r="AA924" s="1627"/>
      <c r="AB924" s="1531"/>
      <c r="AC924" s="1531"/>
      <c r="AD924" s="1531"/>
      <c r="AE924" s="1531"/>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2554</v>
      </c>
      <c r="G925" s="1630"/>
      <c r="H925" s="1630"/>
      <c r="I925" s="1630"/>
      <c r="J925" s="1630"/>
      <c r="K925" s="1630"/>
      <c r="L925" s="1630"/>
      <c r="M925" s="1630"/>
      <c r="N925" s="1630"/>
      <c r="O925" s="1630"/>
      <c r="P925" s="1630"/>
      <c r="Q925" s="1630"/>
      <c r="R925" s="1630"/>
      <c r="S925" s="1630"/>
      <c r="T925" s="1631"/>
      <c r="U925" s="1626" t="s">
        <v>600</v>
      </c>
      <c r="V925" s="1421"/>
      <c r="W925" s="1421"/>
      <c r="X925" s="1421"/>
      <c r="Y925" s="1421"/>
      <c r="Z925" s="1422"/>
      <c r="AA925" s="1627"/>
      <c r="AB925" s="1531"/>
      <c r="AC925" s="1531"/>
      <c r="AD925" s="1531"/>
      <c r="AE925" s="1531"/>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688</v>
      </c>
      <c r="G926" s="1630"/>
      <c r="H926" s="1630"/>
      <c r="I926" s="1630"/>
      <c r="J926" s="1630"/>
      <c r="K926" s="1630"/>
      <c r="L926" s="1630"/>
      <c r="M926" s="1630"/>
      <c r="N926" s="1630"/>
      <c r="O926" s="1630"/>
      <c r="P926" s="1630"/>
      <c r="Q926" s="1630"/>
      <c r="R926" s="1630"/>
      <c r="S926" s="1630"/>
      <c r="T926" s="1631"/>
      <c r="U926" s="1626" t="s">
        <v>600</v>
      </c>
      <c r="V926" s="1421"/>
      <c r="W926" s="1421"/>
      <c r="X926" s="1421"/>
      <c r="Y926" s="1421"/>
      <c r="Z926" s="1422"/>
      <c r="AA926" s="1627"/>
      <c r="AB926" s="1531"/>
      <c r="AC926" s="1531"/>
      <c r="AD926" s="1531"/>
      <c r="AE926" s="1531"/>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2555</v>
      </c>
      <c r="G927" s="1630"/>
      <c r="H927" s="1630"/>
      <c r="I927" s="1630"/>
      <c r="J927" s="1630"/>
      <c r="K927" s="1630"/>
      <c r="L927" s="1630"/>
      <c r="M927" s="1630"/>
      <c r="N927" s="1630"/>
      <c r="O927" s="1630"/>
      <c r="P927" s="1630"/>
      <c r="Q927" s="1630"/>
      <c r="R927" s="1630"/>
      <c r="S927" s="1630"/>
      <c r="T927" s="1631"/>
      <c r="U927" s="1626" t="s">
        <v>600</v>
      </c>
      <c r="V927" s="1421"/>
      <c r="W927" s="1421"/>
      <c r="X927" s="1421"/>
      <c r="Y927" s="1421"/>
      <c r="Z927" s="1422"/>
      <c r="AA927" s="1627"/>
      <c r="AB927" s="1531"/>
      <c r="AC927" s="1531"/>
      <c r="AD927" s="1531"/>
      <c r="AE927" s="1531"/>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2556</v>
      </c>
      <c r="G928" s="1630"/>
      <c r="H928" s="1630"/>
      <c r="I928" s="1630"/>
      <c r="J928" s="1630"/>
      <c r="K928" s="1630"/>
      <c r="L928" s="1630"/>
      <c r="M928" s="1630"/>
      <c r="N928" s="1630"/>
      <c r="O928" s="1630"/>
      <c r="P928" s="1630"/>
      <c r="Q928" s="1630"/>
      <c r="R928" s="1630"/>
      <c r="S928" s="1630"/>
      <c r="T928" s="1631"/>
      <c r="U928" s="1626" t="s">
        <v>600</v>
      </c>
      <c r="V928" s="1421"/>
      <c r="W928" s="1421"/>
      <c r="X928" s="1421"/>
      <c r="Y928" s="1421"/>
      <c r="Z928" s="1422"/>
      <c r="AA928" s="1627"/>
      <c r="AB928" s="1531"/>
      <c r="AC928" s="1531"/>
      <c r="AD928" s="1531"/>
      <c r="AE928" s="1531"/>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2557</v>
      </c>
      <c r="G929" s="1630"/>
      <c r="H929" s="1630"/>
      <c r="I929" s="1630"/>
      <c r="J929" s="1630"/>
      <c r="K929" s="1630"/>
      <c r="L929" s="1630"/>
      <c r="M929" s="1630"/>
      <c r="N929" s="1630"/>
      <c r="O929" s="1630"/>
      <c r="P929" s="1630"/>
      <c r="Q929" s="1630"/>
      <c r="R929" s="1630"/>
      <c r="S929" s="1630"/>
      <c r="T929" s="1631"/>
      <c r="U929" s="1626" t="s">
        <v>600</v>
      </c>
      <c r="V929" s="1421"/>
      <c r="W929" s="1421"/>
      <c r="X929" s="1421"/>
      <c r="Y929" s="1421"/>
      <c r="Z929" s="1422"/>
      <c r="AA929" s="1627"/>
      <c r="AB929" s="1531"/>
      <c r="AC929" s="1531"/>
      <c r="AD929" s="1531"/>
      <c r="AE929" s="1531"/>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2558</v>
      </c>
      <c r="G930" s="1630"/>
      <c r="H930" s="1630"/>
      <c r="I930" s="1630"/>
      <c r="J930" s="1630"/>
      <c r="K930" s="1630"/>
      <c r="L930" s="1630"/>
      <c r="M930" s="1630"/>
      <c r="N930" s="1630"/>
      <c r="O930" s="1630"/>
      <c r="P930" s="1630"/>
      <c r="Q930" s="1630"/>
      <c r="R930" s="1630"/>
      <c r="S930" s="1630"/>
      <c r="T930" s="1631"/>
      <c r="U930" s="1626" t="s">
        <v>600</v>
      </c>
      <c r="V930" s="1421"/>
      <c r="W930" s="1421"/>
      <c r="X930" s="1421"/>
      <c r="Y930" s="1421"/>
      <c r="Z930" s="1422"/>
      <c r="AA930" s="1627"/>
      <c r="AB930" s="1531"/>
      <c r="AC930" s="1531"/>
      <c r="AD930" s="1531"/>
      <c r="AE930" s="1531"/>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2559</v>
      </c>
      <c r="G931" s="1630"/>
      <c r="H931" s="1630"/>
      <c r="I931" s="1630"/>
      <c r="J931" s="1630"/>
      <c r="K931" s="1630"/>
      <c r="L931" s="1630"/>
      <c r="M931" s="1630"/>
      <c r="N931" s="1630"/>
      <c r="O931" s="1630"/>
      <c r="P931" s="1630"/>
      <c r="Q931" s="1630"/>
      <c r="R931" s="1630"/>
      <c r="S931" s="1630"/>
      <c r="T931" s="1631"/>
      <c r="U931" s="1626" t="s">
        <v>600</v>
      </c>
      <c r="V931" s="1421"/>
      <c r="W931" s="1421"/>
      <c r="X931" s="1421"/>
      <c r="Y931" s="1421"/>
      <c r="Z931" s="1422"/>
      <c r="AA931" s="1627"/>
      <c r="AB931" s="1531"/>
      <c r="AC931" s="1531"/>
      <c r="AD931" s="1531"/>
      <c r="AE931" s="1531"/>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6" t="s">
        <v>600</v>
      </c>
      <c r="V932" s="1421"/>
      <c r="W932" s="1421"/>
      <c r="X932" s="1421"/>
      <c r="Y932" s="1421"/>
      <c r="Z932" s="1422"/>
      <c r="AA932" s="1627"/>
      <c r="AB932" s="1531"/>
      <c r="AC932" s="1531"/>
      <c r="AD932" s="1531"/>
      <c r="AE932" s="1531"/>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6" t="s">
        <v>600</v>
      </c>
      <c r="V933" s="1421"/>
      <c r="W933" s="1421"/>
      <c r="X933" s="1421"/>
      <c r="Y933" s="1421"/>
      <c r="Z933" s="1422"/>
      <c r="AA933" s="1627"/>
      <c r="AB933" s="1531"/>
      <c r="AC933" s="1531"/>
      <c r="AD933" s="1531"/>
      <c r="AE933" s="1531"/>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6" t="s">
        <v>600</v>
      </c>
      <c r="V934" s="1421"/>
      <c r="W934" s="1421"/>
      <c r="X934" s="1421"/>
      <c r="Y934" s="1421"/>
      <c r="Z934" s="1422"/>
      <c r="AA934" s="1627"/>
      <c r="AB934" s="1531"/>
      <c r="AC934" s="1531"/>
      <c r="AD934" s="1531"/>
      <c r="AE934" s="1531"/>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2563</v>
      </c>
      <c r="G935" s="1633"/>
      <c r="H935" s="1633"/>
      <c r="I935" s="1633"/>
      <c r="J935" s="1633"/>
      <c r="K935" s="1633"/>
      <c r="L935" s="1633"/>
      <c r="M935" s="1633"/>
      <c r="N935" s="1633"/>
      <c r="O935" s="1633"/>
      <c r="P935" s="1633"/>
      <c r="Q935" s="1633"/>
      <c r="R935" s="1633"/>
      <c r="S935" s="1633"/>
      <c r="T935" s="1634"/>
      <c r="U935" s="1626" t="s">
        <v>600</v>
      </c>
      <c r="V935" s="1421"/>
      <c r="W935" s="1421"/>
      <c r="X935" s="1421"/>
      <c r="Y935" s="1421"/>
      <c r="Z935" s="1422"/>
      <c r="AA935" s="1627"/>
      <c r="AB935" s="1531"/>
      <c r="AC935" s="1531"/>
      <c r="AD935" s="1531"/>
      <c r="AE935" s="1531"/>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2564</v>
      </c>
      <c r="G936" s="1633"/>
      <c r="H936" s="1633"/>
      <c r="I936" s="1633"/>
      <c r="J936" s="1633"/>
      <c r="K936" s="1633"/>
      <c r="L936" s="1633"/>
      <c r="M936" s="1633"/>
      <c r="N936" s="1633"/>
      <c r="O936" s="1633"/>
      <c r="P936" s="1633"/>
      <c r="Q936" s="1633"/>
      <c r="R936" s="1633"/>
      <c r="S936" s="1633"/>
      <c r="T936" s="1634"/>
      <c r="U936" s="1626" t="s">
        <v>600</v>
      </c>
      <c r="V936" s="1421"/>
      <c r="W936" s="1421"/>
      <c r="X936" s="1421"/>
      <c r="Y936" s="1421"/>
      <c r="Z936" s="1422"/>
      <c r="AA936" s="1627"/>
      <c r="AB936" s="1531"/>
      <c r="AC936" s="1531"/>
      <c r="AD936" s="1531"/>
      <c r="AE936" s="1531"/>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2560</v>
      </c>
      <c r="G937" s="1630"/>
      <c r="H937" s="1630"/>
      <c r="I937" s="1630"/>
      <c r="J937" s="1630"/>
      <c r="K937" s="1630"/>
      <c r="L937" s="1630"/>
      <c r="M937" s="1630"/>
      <c r="N937" s="1630"/>
      <c r="O937" s="1630"/>
      <c r="P937" s="1630"/>
      <c r="Q937" s="1630"/>
      <c r="R937" s="1630"/>
      <c r="S937" s="1630"/>
      <c r="T937" s="1631"/>
      <c r="U937" s="1626" t="s">
        <v>600</v>
      </c>
      <c r="V937" s="1421"/>
      <c r="W937" s="1421"/>
      <c r="X937" s="1421"/>
      <c r="Y937" s="1421"/>
      <c r="Z937" s="1422"/>
      <c r="AA937" s="1627"/>
      <c r="AB937" s="1531"/>
      <c r="AC937" s="1531"/>
      <c r="AD937" s="1531"/>
      <c r="AE937" s="1531"/>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2561</v>
      </c>
      <c r="G938" s="1630"/>
      <c r="H938" s="1630"/>
      <c r="I938" s="1630"/>
      <c r="J938" s="1630"/>
      <c r="K938" s="1630"/>
      <c r="L938" s="1630"/>
      <c r="M938" s="1630"/>
      <c r="N938" s="1630"/>
      <c r="O938" s="1630"/>
      <c r="P938" s="1630"/>
      <c r="Q938" s="1630"/>
      <c r="R938" s="1630"/>
      <c r="S938" s="1630"/>
      <c r="T938" s="1631"/>
      <c r="U938" s="1626" t="s">
        <v>600</v>
      </c>
      <c r="V938" s="1421"/>
      <c r="W938" s="1421"/>
      <c r="X938" s="1421"/>
      <c r="Y938" s="1421"/>
      <c r="Z938" s="1422"/>
      <c r="AA938" s="1627"/>
      <c r="AB938" s="1531"/>
      <c r="AC938" s="1531"/>
      <c r="AD938" s="1531"/>
      <c r="AE938" s="1531"/>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2562</v>
      </c>
      <c r="G939" s="1630"/>
      <c r="H939" s="1630"/>
      <c r="I939" s="1630"/>
      <c r="J939" s="1630"/>
      <c r="K939" s="1630"/>
      <c r="L939" s="1630"/>
      <c r="M939" s="1630"/>
      <c r="N939" s="1630"/>
      <c r="O939" s="1630"/>
      <c r="P939" s="1630"/>
      <c r="Q939" s="1630"/>
      <c r="R939" s="1630"/>
      <c r="S939" s="1630"/>
      <c r="T939" s="1631"/>
      <c r="U939" s="1626" t="s">
        <v>600</v>
      </c>
      <c r="V939" s="1421"/>
      <c r="W939" s="1421"/>
      <c r="X939" s="1421"/>
      <c r="Y939" s="1421"/>
      <c r="Z939" s="1422"/>
      <c r="AA939" s="1627"/>
      <c r="AB939" s="1531"/>
      <c r="AC939" s="1531"/>
      <c r="AD939" s="1531"/>
      <c r="AE939" s="1531"/>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6" t="s">
        <v>600</v>
      </c>
      <c r="V940" s="1421"/>
      <c r="W940" s="1421"/>
      <c r="X940" s="1421"/>
      <c r="Y940" s="1421"/>
      <c r="Z940" s="1422"/>
      <c r="AA940" s="1627"/>
      <c r="AB940" s="1531"/>
      <c r="AC940" s="1531"/>
      <c r="AD940" s="1531"/>
      <c r="AE940" s="1531"/>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2565</v>
      </c>
      <c r="G941" s="1633"/>
      <c r="H941" s="1633"/>
      <c r="I941" s="1633"/>
      <c r="J941" s="1633"/>
      <c r="K941" s="1633"/>
      <c r="L941" s="1633"/>
      <c r="M941" s="1633"/>
      <c r="N941" s="1633"/>
      <c r="O941" s="1633"/>
      <c r="P941" s="1633"/>
      <c r="Q941" s="1633"/>
      <c r="R941" s="1633"/>
      <c r="S941" s="1633"/>
      <c r="T941" s="1634"/>
      <c r="U941" s="1626" t="s">
        <v>600</v>
      </c>
      <c r="V941" s="1421"/>
      <c r="W941" s="1421"/>
      <c r="X941" s="1421"/>
      <c r="Y941" s="1421"/>
      <c r="Z941" s="1422"/>
      <c r="AA941" s="1627"/>
      <c r="AB941" s="1531"/>
      <c r="AC941" s="1531"/>
      <c r="AD941" s="1531"/>
      <c r="AE941" s="1531"/>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6" t="s">
        <v>600</v>
      </c>
      <c r="V942" s="1421"/>
      <c r="W942" s="1421"/>
      <c r="X942" s="1421"/>
      <c r="Y942" s="1421"/>
      <c r="Z942" s="1422"/>
      <c r="AA942" s="1627"/>
      <c r="AB942" s="1531"/>
      <c r="AC942" s="1531"/>
      <c r="AD942" s="1531"/>
      <c r="AE942" s="1531"/>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2566</v>
      </c>
      <c r="G943" s="1633"/>
      <c r="H943" s="1633"/>
      <c r="I943" s="1633"/>
      <c r="J943" s="1633"/>
      <c r="K943" s="1633"/>
      <c r="L943" s="1633"/>
      <c r="M943" s="1633"/>
      <c r="N943" s="1633"/>
      <c r="O943" s="1633"/>
      <c r="P943" s="1633"/>
      <c r="Q943" s="1633"/>
      <c r="R943" s="1633"/>
      <c r="S943" s="1633"/>
      <c r="T943" s="1634"/>
      <c r="U943" s="1626" t="s">
        <v>600</v>
      </c>
      <c r="V943" s="1421"/>
      <c r="W943" s="1421"/>
      <c r="X943" s="1421"/>
      <c r="Y943" s="1421"/>
      <c r="Z943" s="1422"/>
      <c r="AA943" s="1627"/>
      <c r="AB943" s="1531"/>
      <c r="AC943" s="1531"/>
      <c r="AD943" s="1531"/>
      <c r="AE943" s="1531"/>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6" t="s">
        <v>678</v>
      </c>
      <c r="Q944" s="1421"/>
      <c r="R944" s="1421"/>
      <c r="S944" s="1421"/>
      <c r="T944" s="1422"/>
      <c r="U944" s="1626" t="s">
        <v>600</v>
      </c>
      <c r="V944" s="1421"/>
      <c r="W944" s="1421"/>
      <c r="X944" s="1421"/>
      <c r="Y944" s="1421"/>
      <c r="Z944" s="1422"/>
      <c r="AA944" s="1627"/>
      <c r="AB944" s="1531"/>
      <c r="AC944" s="1531"/>
      <c r="AD944" s="1531"/>
      <c r="AE944" s="1531"/>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2553</v>
      </c>
      <c r="G945" s="1630"/>
      <c r="H945" s="1631"/>
      <c r="I945" s="1616" t="s">
        <v>335</v>
      </c>
      <c r="J945" s="1617"/>
      <c r="K945" s="1617"/>
      <c r="L945" s="1617"/>
      <c r="M945" s="1617"/>
      <c r="N945" s="1617"/>
      <c r="O945" s="1617"/>
      <c r="P945" s="1617"/>
      <c r="Q945" s="1617"/>
      <c r="R945" s="1617"/>
      <c r="S945" s="1617"/>
      <c r="T945" s="1618"/>
      <c r="U945" s="1626" t="s">
        <v>600</v>
      </c>
      <c r="V945" s="1421"/>
      <c r="W945" s="1421"/>
      <c r="X945" s="1421"/>
      <c r="Y945" s="1421"/>
      <c r="Z945" s="1422"/>
      <c r="AA945" s="1627"/>
      <c r="AB945" s="1531"/>
      <c r="AC945" s="1531"/>
      <c r="AD945" s="1531"/>
      <c r="AE945" s="1531"/>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335</v>
      </c>
      <c r="J946" s="1617"/>
      <c r="K946" s="1617"/>
      <c r="L946" s="1617"/>
      <c r="M946" s="1617"/>
      <c r="N946" s="1617"/>
      <c r="O946" s="1617"/>
      <c r="P946" s="1617"/>
      <c r="Q946" s="1617"/>
      <c r="R946" s="1617"/>
      <c r="S946" s="1617"/>
      <c r="T946" s="1618"/>
      <c r="U946" s="1626" t="s">
        <v>600</v>
      </c>
      <c r="V946" s="1421"/>
      <c r="W946" s="1421"/>
      <c r="X946" s="1421"/>
      <c r="Y946" s="1421"/>
      <c r="Z946" s="1422"/>
      <c r="AA946" s="1627"/>
      <c r="AB946" s="1531"/>
      <c r="AC946" s="1531"/>
      <c r="AD946" s="1531"/>
      <c r="AE946" s="1531"/>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98" t="s">
        <v>335</v>
      </c>
      <c r="J947" s="1640"/>
      <c r="K947" s="1640"/>
      <c r="L947" s="1640"/>
      <c r="M947" s="1640"/>
      <c r="N947" s="1640"/>
      <c r="O947" s="1640"/>
      <c r="P947" s="1640"/>
      <c r="Q947" s="1640"/>
      <c r="R947" s="1640"/>
      <c r="S947" s="1640"/>
      <c r="T947" s="1641"/>
      <c r="U947" s="1626" t="s">
        <v>600</v>
      </c>
      <c r="V947" s="1421"/>
      <c r="W947" s="1421"/>
      <c r="X947" s="1421"/>
      <c r="Y947" s="1421"/>
      <c r="Z947" s="1422"/>
      <c r="AA947" s="1627"/>
      <c r="AB947" s="1531"/>
      <c r="AC947" s="1531"/>
      <c r="AD947" s="1531"/>
      <c r="AE947" s="1531"/>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6" t="s">
        <v>2758</v>
      </c>
      <c r="J948" s="1640"/>
      <c r="K948" s="1640"/>
      <c r="L948" s="1640"/>
      <c r="M948" s="1640"/>
      <c r="N948" s="1640"/>
      <c r="O948" s="1640"/>
      <c r="P948" s="1640"/>
      <c r="Q948" s="1640"/>
      <c r="R948" s="1640"/>
      <c r="S948" s="1640"/>
      <c r="T948" s="1641"/>
      <c r="U948" s="1626" t="s">
        <v>554</v>
      </c>
      <c r="V948" s="1421"/>
      <c r="W948" s="1421"/>
      <c r="X948" s="1421"/>
      <c r="Y948" s="1421"/>
      <c r="Z948" s="1422"/>
      <c r="AA948" s="1627">
        <v>7843392</v>
      </c>
      <c r="AB948" s="1531"/>
      <c r="AC948" s="1531"/>
      <c r="AD948" s="1531"/>
      <c r="AE948" s="1531"/>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98" t="s">
        <v>335</v>
      </c>
      <c r="J949" s="1640"/>
      <c r="K949" s="1640"/>
      <c r="L949" s="1640"/>
      <c r="M949" s="1640"/>
      <c r="N949" s="1640"/>
      <c r="O949" s="1640"/>
      <c r="P949" s="1640"/>
      <c r="Q949" s="1640"/>
      <c r="R949" s="1640"/>
      <c r="S949" s="1640"/>
      <c r="T949" s="1641"/>
      <c r="U949" s="1626" t="s">
        <v>600</v>
      </c>
      <c r="V949" s="1421"/>
      <c r="W949" s="1421"/>
      <c r="X949" s="1421"/>
      <c r="Y949" s="1421"/>
      <c r="Z949" s="1422"/>
      <c r="AA949" s="1627"/>
      <c r="AB949" s="1531"/>
      <c r="AC949" s="1531"/>
      <c r="AD949" s="1531"/>
      <c r="AE949" s="1531"/>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2"/>
      <c r="N954" s="1608"/>
      <c r="O954" s="1608"/>
      <c r="P954" s="1608"/>
      <c r="Q954" s="1608"/>
      <c r="R954" s="1608"/>
      <c r="S954" s="1609"/>
      <c r="U954" s="66" t="s">
        <v>11</v>
      </c>
      <c r="V954" s="5"/>
      <c r="W954" s="5"/>
      <c r="X954" s="5"/>
      <c r="Y954" s="5"/>
      <c r="Z954" s="5"/>
      <c r="AA954" s="5"/>
      <c r="AB954" s="5"/>
      <c r="AC954" s="5"/>
      <c r="AD954" s="46"/>
      <c r="AE954" s="1642"/>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4"/>
      <c r="N955" s="1523"/>
      <c r="O955" s="1523"/>
      <c r="P955" s="1523"/>
      <c r="Q955" s="1523"/>
      <c r="R955" s="1523"/>
      <c r="S955" s="1745"/>
      <c r="U955" s="66" t="s">
        <v>12</v>
      </c>
      <c r="V955" s="5"/>
      <c r="W955" s="5"/>
      <c r="X955" s="5"/>
      <c r="Y955" s="5"/>
      <c r="Z955" s="5"/>
      <c r="AA955" s="5"/>
      <c r="AB955" s="5"/>
      <c r="AC955" s="5"/>
      <c r="AD955" s="46"/>
      <c r="AE955" s="1744"/>
      <c r="AF955" s="1523"/>
      <c r="AG955" s="1523"/>
      <c r="AH955" s="1523"/>
      <c r="AI955" s="1523"/>
      <c r="AJ955" s="1523"/>
      <c r="AK955" s="17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86" t="s">
        <v>308</v>
      </c>
      <c r="K956" s="1687"/>
      <c r="L956" s="1687"/>
      <c r="M956" s="1687"/>
      <c r="N956" s="1687"/>
      <c r="O956" s="1687"/>
      <c r="P956" s="1687"/>
      <c r="Q956" s="1687"/>
      <c r="R956" s="1687"/>
      <c r="S956" s="1688"/>
      <c r="U956" s="66" t="s">
        <v>893</v>
      </c>
      <c r="V956" s="5"/>
      <c r="W956" s="5"/>
      <c r="AB956" s="1686" t="s">
        <v>308</v>
      </c>
      <c r="AC956" s="1687"/>
      <c r="AD956" s="1687"/>
      <c r="AE956" s="1687"/>
      <c r="AF956" s="1687"/>
      <c r="AG956" s="1687"/>
      <c r="AH956" s="1687"/>
      <c r="AI956" s="1687"/>
      <c r="AJ956" s="1687"/>
      <c r="AK956" s="168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8"/>
      <c r="N957" s="1764"/>
      <c r="O957" s="1764"/>
      <c r="P957" s="1764"/>
      <c r="Q957" s="1764"/>
      <c r="R957" s="1764"/>
      <c r="S957" s="1765"/>
      <c r="U957" s="66" t="s">
        <v>13</v>
      </c>
      <c r="V957" s="5"/>
      <c r="W957" s="5"/>
      <c r="X957" s="5"/>
      <c r="Y957" s="5"/>
      <c r="Z957" s="5"/>
      <c r="AA957" s="5"/>
      <c r="AB957" s="5"/>
      <c r="AC957" s="5"/>
      <c r="AD957" s="46"/>
      <c r="AE957" s="1763"/>
      <c r="AF957" s="1764"/>
      <c r="AG957" s="1764"/>
      <c r="AH957" s="1764"/>
      <c r="AI957" s="1764"/>
      <c r="AJ957" s="1764"/>
      <c r="AK957" s="176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7"/>
      <c r="N958" s="1599"/>
      <c r="O958" s="1599"/>
      <c r="P958" s="1599"/>
      <c r="Q958" s="1599"/>
      <c r="R958" s="1599"/>
      <c r="S958" s="1600"/>
      <c r="U958" s="66" t="s">
        <v>14</v>
      </c>
      <c r="V958" s="5"/>
      <c r="W958" s="5"/>
      <c r="X958" s="5"/>
      <c r="Y958" s="5"/>
      <c r="Z958" s="5"/>
      <c r="AA958" s="5"/>
      <c r="AB958" s="5"/>
      <c r="AC958" s="5"/>
      <c r="AD958" s="46"/>
      <c r="AE958" s="1757"/>
      <c r="AF958" s="1599"/>
      <c r="AG958" s="1599"/>
      <c r="AH958" s="1599"/>
      <c r="AI958" s="1599"/>
      <c r="AJ958" s="1599"/>
      <c r="AK958" s="160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c r="N959" s="1531"/>
      <c r="O959" s="1531"/>
      <c r="P959" s="1531"/>
      <c r="Q959" s="1531"/>
      <c r="R959" s="1531"/>
      <c r="S959" s="1628"/>
      <c r="U959" s="66" t="s">
        <v>15</v>
      </c>
      <c r="V959" s="5"/>
      <c r="W959" s="5"/>
      <c r="X959" s="5"/>
      <c r="Y959" s="5"/>
      <c r="Z959" s="5"/>
      <c r="AA959" s="5"/>
      <c r="AB959" s="5"/>
      <c r="AC959" s="5"/>
      <c r="AD959" s="46"/>
      <c r="AE959" s="1627"/>
      <c r="AF959" s="1531"/>
      <c r="AG959" s="1531"/>
      <c r="AH959" s="1531"/>
      <c r="AI959" s="1531"/>
      <c r="AJ959" s="1531"/>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c r="N960" s="1531"/>
      <c r="O960" s="1531"/>
      <c r="P960" s="1531"/>
      <c r="Q960" s="1531"/>
      <c r="R960" s="1531"/>
      <c r="S960" s="1628"/>
      <c r="U960" s="66" t="s">
        <v>16</v>
      </c>
      <c r="V960" s="5"/>
      <c r="W960" s="5"/>
      <c r="X960" s="5"/>
      <c r="Y960" s="5"/>
      <c r="Z960" s="5"/>
      <c r="AA960" s="5"/>
      <c r="AB960" s="5"/>
      <c r="AC960" s="5"/>
      <c r="AD960" s="46"/>
      <c r="AE960" s="1627"/>
      <c r="AF960" s="1531"/>
      <c r="AG960" s="1531"/>
      <c r="AH960" s="1531"/>
      <c r="AI960" s="1531"/>
      <c r="AJ960" s="1531"/>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92"/>
      <c r="N961" s="1693"/>
      <c r="O961" s="1693"/>
      <c r="P961" s="1693"/>
      <c r="Q961" s="1693"/>
      <c r="R961" s="1693"/>
      <c r="S961" s="1694"/>
      <c r="U961" s="121" t="s">
        <v>1774</v>
      </c>
      <c r="V961" s="5"/>
      <c r="W961" s="5"/>
      <c r="X961" s="5"/>
      <c r="Y961" s="5"/>
      <c r="Z961" s="5"/>
      <c r="AA961" s="5"/>
      <c r="AB961" s="5"/>
      <c r="AC961" s="5"/>
      <c r="AD961" s="46"/>
      <c r="AE961" s="1692"/>
      <c r="AF961" s="1693"/>
      <c r="AG961" s="1693"/>
      <c r="AH961" s="1693"/>
      <c r="AI961" s="1693"/>
      <c r="AJ961" s="1693"/>
      <c r="AK961" s="169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3"/>
      <c r="N966" s="1644"/>
      <c r="O966" s="1644"/>
      <c r="P966" s="1644"/>
      <c r="Q966" s="1644"/>
      <c r="R966" s="1644"/>
      <c r="S966" s="1645"/>
      <c r="T966" s="66" t="s">
        <v>800</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3"/>
      <c r="N967" s="1644"/>
      <c r="O967" s="1644"/>
      <c r="P967" s="1644"/>
      <c r="Q967" s="1644"/>
      <c r="R967" s="1644"/>
      <c r="S967" s="1645"/>
      <c r="T967" s="66" t="s">
        <v>799</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98" t="s">
        <v>600</v>
      </c>
      <c r="N968" s="1799"/>
      <c r="O968" s="1799"/>
      <c r="P968" s="1799"/>
      <c r="Q968" s="1799"/>
      <c r="R968" s="1799"/>
      <c r="S968" s="1800"/>
      <c r="T968" s="45" t="s">
        <v>338</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3"/>
      <c r="N969" s="1644"/>
      <c r="O969" s="1644"/>
      <c r="P969" s="1644"/>
      <c r="Q969" s="1644"/>
      <c r="R969" s="1644"/>
      <c r="S969" s="1645"/>
      <c r="T969" s="45" t="s">
        <v>339</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3"/>
      <c r="N970" s="1644"/>
      <c r="O970" s="1644"/>
      <c r="P970" s="1644"/>
      <c r="Q970" s="1644"/>
      <c r="R970" s="1644"/>
      <c r="S970" s="1645"/>
      <c r="T970" s="45" t="s">
        <v>377</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86" t="s">
        <v>2759</v>
      </c>
      <c r="N971" s="1687"/>
      <c r="O971" s="1687"/>
      <c r="P971" s="1687"/>
      <c r="Q971" s="1687"/>
      <c r="R971" s="1687"/>
      <c r="S971" s="1688"/>
      <c r="T971" s="1741"/>
      <c r="U971" s="1742"/>
      <c r="V971" s="1742"/>
      <c r="W971" s="1742"/>
      <c r="X971" s="1742"/>
      <c r="Y971" s="1742"/>
      <c r="Z971" s="1743"/>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3"/>
      <c r="N972" s="1644"/>
      <c r="O972" s="1644"/>
      <c r="P972" s="1644"/>
      <c r="Q972" s="1644"/>
      <c r="R972" s="1644"/>
      <c r="S972" s="1645"/>
      <c r="T972" s="1741"/>
      <c r="U972" s="1742"/>
      <c r="V972" s="1742"/>
      <c r="W972" s="1742"/>
      <c r="X972" s="1742"/>
      <c r="Y972" s="1742"/>
      <c r="Z972" s="1743"/>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8" t="s">
        <v>554</v>
      </c>
      <c r="P973" s="1449"/>
      <c r="Q973" s="92"/>
      <c r="R973" s="92"/>
      <c r="S973" s="93"/>
      <c r="T973" s="41" t="s">
        <v>170</v>
      </c>
      <c r="U973" s="42"/>
      <c r="V973" s="42"/>
      <c r="W973" s="1758" t="s">
        <v>335</v>
      </c>
      <c r="X973" s="1759"/>
      <c r="Y973" s="1759"/>
      <c r="Z973" s="1759"/>
      <c r="AA973" s="1759"/>
      <c r="AB973" s="1759"/>
      <c r="AC973" s="1759"/>
      <c r="AD973" s="1759"/>
      <c r="AE973" s="1759"/>
      <c r="AF973" s="1759"/>
      <c r="AG973" s="17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6" t="s">
        <v>33</v>
      </c>
      <c r="G974" s="1510"/>
      <c r="H974" s="1510"/>
      <c r="I974" s="1510"/>
      <c r="J974" s="1510"/>
      <c r="K974" s="1510"/>
      <c r="L974" s="1510"/>
      <c r="M974" s="1643">
        <v>2987988</v>
      </c>
      <c r="N974" s="1644"/>
      <c r="O974" s="1644"/>
      <c r="P974" s="1644"/>
      <c r="Q974" s="1644"/>
      <c r="R974" s="1644"/>
      <c r="S974" s="1645"/>
      <c r="T974" s="47"/>
      <c r="U974" s="48"/>
      <c r="V974" s="48"/>
      <c r="W974" s="48"/>
      <c r="X974" s="48"/>
      <c r="Y974" s="48"/>
      <c r="Z974" s="124" t="s">
        <v>134</v>
      </c>
      <c r="AA974" s="1752"/>
      <c r="AB974" s="1753"/>
      <c r="AC974" s="1753"/>
      <c r="AD974" s="1753"/>
      <c r="AE974" s="1753"/>
      <c r="AF974" s="1753"/>
      <c r="AG974" s="175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557</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9" t="s">
        <v>647</v>
      </c>
      <c r="E984" s="1660"/>
      <c r="F984" s="1660"/>
      <c r="G984" s="1660"/>
      <c r="H984" s="1660"/>
      <c r="I984" s="1660"/>
      <c r="J984" s="1660"/>
      <c r="K984" s="1660"/>
      <c r="L984" s="1660"/>
      <c r="M984" s="1660"/>
      <c r="N984" s="1660"/>
      <c r="O984" s="1660"/>
      <c r="P984" s="1660"/>
      <c r="Q984" s="1661"/>
      <c r="R984" s="1659" t="s">
        <v>648</v>
      </c>
      <c r="S984" s="1660"/>
      <c r="T984" s="1660"/>
      <c r="U984" s="1660"/>
      <c r="V984" s="1660"/>
      <c r="W984" s="1660"/>
      <c r="X984" s="1660"/>
      <c r="Y984" s="1660"/>
      <c r="Z984" s="1660"/>
      <c r="AA984" s="1661"/>
      <c r="AB984" s="1659" t="s">
        <v>649</v>
      </c>
      <c r="AC984" s="1660"/>
      <c r="AD984" s="1660"/>
      <c r="AE984" s="1660"/>
      <c r="AF984" s="1660"/>
      <c r="AG984" s="1660"/>
      <c r="AH984" s="1660"/>
      <c r="AI984" s="1661"/>
      <c r="AJ984" s="1659" t="s">
        <v>650</v>
      </c>
      <c r="AK984" s="1660"/>
      <c r="AL984" s="1660"/>
      <c r="AM984" s="1660"/>
      <c r="AN984" s="1660"/>
      <c r="AO984" s="1660"/>
      <c r="AP984" s="1660"/>
      <c r="AQ984" s="16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642</v>
      </c>
      <c r="E985" s="1519"/>
      <c r="F985" s="1519"/>
      <c r="G985" s="1519"/>
      <c r="H985" s="1519"/>
      <c r="I985" s="1519"/>
      <c r="J985" s="1519"/>
      <c r="K985" s="1519"/>
      <c r="L985" s="1519"/>
      <c r="M985" s="1519"/>
      <c r="N985" s="1519"/>
      <c r="O985" s="1519"/>
      <c r="P985" s="1519"/>
      <c r="Q985" s="1520"/>
      <c r="R985" s="1691">
        <f>IF(ISNA(IF($BN$796="4%",(INDEX($BP$806:$BT$863,MATCH($CB$796,$BO$806:$BO$863,0),MATCH(D985,$BP$805:$BT$805,0))),(INDEX($BW$806:$CA$863,MATCH($CB$796,$BV$806:$BV$863,0),MATCH(D985,$BW$805:$CA$805,0))))),0,IF($BN$796="4%",(INDEX($BP$806:$BT$863,MATCH($CB$796,$BO$806:$BO$863,0),MATCH(D985,$BP$805:$BT$805,0))),(INDEX($BW$806:$CA$863,MATCH($CB$796,$BV$806:$BV$863,0),MATCH(D985,$BW$805:$CA$805,0)))))</f>
        <v>437727</v>
      </c>
      <c r="S985" s="1691"/>
      <c r="T985" s="1691"/>
      <c r="U985" s="1691"/>
      <c r="V985" s="1691"/>
      <c r="W985" s="1691"/>
      <c r="X985" s="1691"/>
      <c r="Y985" s="1691"/>
      <c r="Z985" s="1691"/>
      <c r="AA985" s="1691"/>
      <c r="AB985" s="1662">
        <f>BN660</f>
        <v>15</v>
      </c>
      <c r="AC985" s="1663"/>
      <c r="AD985" s="1663"/>
      <c r="AE985" s="1663"/>
      <c r="AF985" s="1663"/>
      <c r="AG985" s="1663"/>
      <c r="AH985" s="1663"/>
      <c r="AI985" s="1664"/>
      <c r="AJ985" s="1695">
        <f>IF(ISERROR((R985*AB985)),0,(R985*AB985))</f>
        <v>6565905</v>
      </c>
      <c r="AK985" s="1696"/>
      <c r="AL985" s="1696"/>
      <c r="AM985" s="1696"/>
      <c r="AN985" s="1696"/>
      <c r="AO985" s="1696"/>
      <c r="AP985" s="1696"/>
      <c r="AQ985" s="169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326</v>
      </c>
      <c r="E986" s="1519"/>
      <c r="F986" s="1519"/>
      <c r="G986" s="1519"/>
      <c r="H986" s="1519"/>
      <c r="I986" s="1519"/>
      <c r="J986" s="1519"/>
      <c r="K986" s="1519"/>
      <c r="L986" s="1519"/>
      <c r="M986" s="1519"/>
      <c r="N986" s="1519"/>
      <c r="O986" s="1519"/>
      <c r="P986" s="1519"/>
      <c r="Q986" s="1520"/>
      <c r="R986" s="1691">
        <f>IF(ISNA(IF($BN$796="4%",(INDEX($BP$806:$BT$863,MATCH($CB$796,$BO$806:$BO$863,0),MATCH(D986,$BP$805:$BT$805,0))),(INDEX($BW$806:$CA$863,MATCH($CB$796,$BV$806:$BV$863,0),MATCH(D986,$BW$805:$CA$805,0))))),0,IF($BN$796="4%",(INDEX($BP$806:$BT$863,MATCH($CB$796,$BO$806:$BO$863,0),MATCH(D986,$BP$805:$BT$805,0))),(INDEX($BW$806:$CA$863,MATCH($CB$796,$BV$806:$BV$863,0),MATCH(D986,$BW$805:$CA$805,0)))))</f>
        <v>504695</v>
      </c>
      <c r="S986" s="1691"/>
      <c r="T986" s="1691"/>
      <c r="U986" s="1691"/>
      <c r="V986" s="1691"/>
      <c r="W986" s="1691"/>
      <c r="X986" s="1691"/>
      <c r="Y986" s="1691"/>
      <c r="Z986" s="1691"/>
      <c r="AA986" s="1691"/>
      <c r="AB986" s="1662">
        <f>BS660</f>
        <v>29</v>
      </c>
      <c r="AC986" s="1663"/>
      <c r="AD986" s="1663"/>
      <c r="AE986" s="1663"/>
      <c r="AF986" s="1663"/>
      <c r="AG986" s="1663"/>
      <c r="AH986" s="1663"/>
      <c r="AI986" s="1664"/>
      <c r="AJ986" s="1695">
        <f>IF(ISERROR((R986*AB986)),0,(R986*AB986))</f>
        <v>14636155</v>
      </c>
      <c r="AK986" s="1696"/>
      <c r="AL986" s="1696"/>
      <c r="AM986" s="1696"/>
      <c r="AN986" s="1696"/>
      <c r="AO986" s="1696"/>
      <c r="AP986" s="1696"/>
      <c r="AQ986" s="169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691">
        <f>IF(ISNA(IF($BN$796="4%",(INDEX($BP$806:$BT$863,MATCH($CB$796,$BO$806:$BO$863,0),MATCH(D987,$BP$805:$BT$805,0))),(INDEX($BW$806:$CA$863,MATCH($CB$796,$BV$806:$BV$863,0),MATCH(D987,$BW$805:$CA$805,0))))),0,IF($BN$796="4%",(INDEX($BP$806:$BT$863,MATCH($CB$796,$BO$806:$BO$863,0),MATCH(D987,$BP$805:$BT$805,0))),(INDEX($BW$806:$CA$863,MATCH($CB$796,$BV$806:$BV$863,0),MATCH(D987,$BW$805:$CA$805,0)))))</f>
        <v>608800</v>
      </c>
      <c r="S987" s="1691"/>
      <c r="T987" s="1691"/>
      <c r="U987" s="1691"/>
      <c r="V987" s="1691"/>
      <c r="W987" s="1691"/>
      <c r="X987" s="1691"/>
      <c r="Y987" s="1691"/>
      <c r="Z987" s="1691"/>
      <c r="AA987" s="1691"/>
      <c r="AB987" s="1662">
        <f>BX660</f>
        <v>42</v>
      </c>
      <c r="AC987" s="1663"/>
      <c r="AD987" s="1663"/>
      <c r="AE987" s="1663"/>
      <c r="AF987" s="1663"/>
      <c r="AG987" s="1663"/>
      <c r="AH987" s="1663"/>
      <c r="AI987" s="1664"/>
      <c r="AJ987" s="1695">
        <f>IF(ISERROR((R987*AB987)),0,(R987*AB987))</f>
        <v>25569600</v>
      </c>
      <c r="AK987" s="1696"/>
      <c r="AL987" s="1696"/>
      <c r="AM987" s="1696"/>
      <c r="AN987" s="1696"/>
      <c r="AO987" s="1696"/>
      <c r="AP987" s="1696"/>
      <c r="AQ987" s="169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691">
        <f>IF(ISNA(IF($BN$796="4%",(INDEX($BP$806:$BT$863,MATCH($CB$796,$BO$806:$BO$863,0),MATCH(D988,$BP$805:$BT$805,0))),(INDEX($BW$806:$CA$863,MATCH($CB$796,$BV$806:$BV$863,0),MATCH(D988,$BW$805:$CA$805,0))))),0,IF($BN$796="4%",(INDEX($BP$806:$BT$863,MATCH($CB$796,$BO$806:$BO$863,0),MATCH(D988,$BP$805:$BT$805,0))),(INDEX($BW$806:$CA$863,MATCH($CB$796,$BV$806:$BV$863,0),MATCH(D988,$BW$805:$CA$805,0)))))</f>
        <v>779264</v>
      </c>
      <c r="S988" s="1691"/>
      <c r="T988" s="1691"/>
      <c r="U988" s="1691"/>
      <c r="V988" s="1691"/>
      <c r="W988" s="1691"/>
      <c r="X988" s="1691"/>
      <c r="Y988" s="1691"/>
      <c r="Z988" s="1691"/>
      <c r="AA988" s="1691"/>
      <c r="AB988" s="1662">
        <f>CC660</f>
        <v>36</v>
      </c>
      <c r="AC988" s="1663"/>
      <c r="AD988" s="1663"/>
      <c r="AE988" s="1663"/>
      <c r="AF988" s="1663"/>
      <c r="AG988" s="1663"/>
      <c r="AH988" s="1663"/>
      <c r="AI988" s="1664"/>
      <c r="AJ988" s="1695">
        <f>IF(ISERROR((R988*AB988)),0,(R988*AB988))</f>
        <v>28053504</v>
      </c>
      <c r="AK988" s="1696"/>
      <c r="AL988" s="1696"/>
      <c r="AM988" s="1696"/>
      <c r="AN988" s="1696"/>
      <c r="AO988" s="1696"/>
      <c r="AP988" s="1696"/>
      <c r="AQ988" s="169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469</v>
      </c>
      <c r="E989" s="1519"/>
      <c r="F989" s="1519"/>
      <c r="G989" s="1519"/>
      <c r="H989" s="1519"/>
      <c r="I989" s="1519"/>
      <c r="J989" s="1519"/>
      <c r="K989" s="1519"/>
      <c r="L989" s="1519"/>
      <c r="M989" s="1519"/>
      <c r="N989" s="1519"/>
      <c r="O989" s="1519"/>
      <c r="P989" s="1519"/>
      <c r="Q989" s="1520"/>
      <c r="R989" s="1691">
        <f>IF(ISNA(IF($BN$796="4%",(INDEX($BP$806:$BT$863,MATCH($CB$796,$BO$806:$BO$863,0),MATCH(D989,$BP$805:$BT$805,0))),(INDEX($BW$806:$CA$863,MATCH($CB$796,$BV$806:$BV$863,0),MATCH(D989,$BW$805:$CA$805,0))))),0,IF($BN$796="4%",(INDEX($BP$806:$BT$863,MATCH($CB$796,$BO$806:$BO$863,0),MATCH(D989,$BP$805:$BT$805,0))),(INDEX($BW$806:$CA$863,MATCH($CB$796,$BV$806:$BV$863,0),MATCH(D989,$BW$805:$CA$805,0)))))</f>
        <v>868149</v>
      </c>
      <c r="S989" s="1691"/>
      <c r="T989" s="1691"/>
      <c r="U989" s="1691"/>
      <c r="V989" s="1691"/>
      <c r="W989" s="1691"/>
      <c r="X989" s="1691"/>
      <c r="Y989" s="1691"/>
      <c r="Z989" s="1691"/>
      <c r="AA989" s="1691"/>
      <c r="AB989" s="1662">
        <f>CM660+CH660</f>
        <v>0</v>
      </c>
      <c r="AC989" s="1663"/>
      <c r="AD989" s="1663"/>
      <c r="AE989" s="1663"/>
      <c r="AF989" s="1663"/>
      <c r="AG989" s="1663"/>
      <c r="AH989" s="1663"/>
      <c r="AI989" s="1664"/>
      <c r="AJ989" s="1695">
        <f>IF(ISERROR((R989*AB989)),0,(R989*AB989))</f>
        <v>0</v>
      </c>
      <c r="AK989" s="1696"/>
      <c r="AL989" s="1696"/>
      <c r="AM989" s="1696"/>
      <c r="AN989" s="1696"/>
      <c r="AO989" s="1696"/>
      <c r="AP989" s="1696"/>
      <c r="AQ989" s="169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7" t="s">
        <v>801</v>
      </c>
      <c r="C990" s="1828"/>
      <c r="D990" s="1828"/>
      <c r="E990" s="1828"/>
      <c r="F990" s="1828"/>
      <c r="G990" s="1828"/>
      <c r="H990" s="1828"/>
      <c r="I990" s="1828"/>
      <c r="J990" s="1828"/>
      <c r="K990" s="1828"/>
      <c r="L990" s="1828"/>
      <c r="M990" s="1828"/>
      <c r="N990" s="1828"/>
      <c r="O990" s="1828"/>
      <c r="P990" s="1828"/>
      <c r="Q990" s="1828"/>
      <c r="R990" s="1828"/>
      <c r="S990" s="1828"/>
      <c r="T990" s="1828"/>
      <c r="U990" s="1828"/>
      <c r="V990" s="1828"/>
      <c r="W990" s="1828"/>
      <c r="X990" s="1828"/>
      <c r="Y990" s="1828"/>
      <c r="Z990" s="1828"/>
      <c r="AA990" s="1829"/>
      <c r="AB990" s="1662">
        <f>SUM(AB985:AI989)</f>
        <v>122</v>
      </c>
      <c r="AC990" s="1663"/>
      <c r="AD990" s="1663"/>
      <c r="AE990" s="1663"/>
      <c r="AF990" s="1663"/>
      <c r="AG990" s="1663"/>
      <c r="AH990" s="1663"/>
      <c r="AI990" s="1664"/>
      <c r="AJ990" s="1695"/>
      <c r="AK990" s="1696"/>
      <c r="AL990" s="1696"/>
      <c r="AM990" s="1696"/>
      <c r="AN990" s="1696"/>
      <c r="AO990" s="1696"/>
      <c r="AP990" s="1696"/>
      <c r="AQ990" s="169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0" t="s">
        <v>521</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695">
        <f>SUM(AJ985:AQ989)</f>
        <v>74825164</v>
      </c>
      <c r="AK991" s="1696"/>
      <c r="AL991" s="1696"/>
      <c r="AM991" s="1696"/>
      <c r="AN991" s="1696"/>
      <c r="AO991" s="1696"/>
      <c r="AP991" s="1696"/>
      <c r="AQ991" s="169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2"/>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4"/>
      <c r="AF992" s="1813" t="s">
        <v>675</v>
      </c>
      <c r="AG992" s="1814"/>
      <c r="AH992" s="1814"/>
      <c r="AI992" s="1815"/>
      <c r="AJ992" s="1792"/>
      <c r="AK992" s="1793"/>
      <c r="AL992" s="1793"/>
      <c r="AM992" s="1793"/>
      <c r="AN992" s="1793"/>
      <c r="AO992" s="1793"/>
      <c r="AP992" s="1793"/>
      <c r="AQ992" s="179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95" t="s">
        <v>1327</v>
      </c>
      <c r="E993" s="1796"/>
      <c r="F993" s="1796"/>
      <c r="G993" s="1796"/>
      <c r="H993" s="1796"/>
      <c r="I993" s="1796"/>
      <c r="J993" s="1796"/>
      <c r="K993" s="1796"/>
      <c r="L993" s="1796"/>
      <c r="M993" s="1796"/>
      <c r="N993" s="1796"/>
      <c r="O993" s="1796"/>
      <c r="P993" s="1796"/>
      <c r="Q993" s="1796"/>
      <c r="R993" s="1796"/>
      <c r="S993" s="1796"/>
      <c r="T993" s="1796"/>
      <c r="U993" s="1796"/>
      <c r="V993" s="1796"/>
      <c r="W993" s="1796"/>
      <c r="X993" s="1796"/>
      <c r="Y993" s="1796"/>
      <c r="Z993" s="1796"/>
      <c r="AA993" s="1796"/>
      <c r="AB993" s="1796"/>
      <c r="AC993" s="1796"/>
      <c r="AD993" s="1796"/>
      <c r="AE993" s="1797"/>
      <c r="AF993" s="79"/>
      <c r="AG993" s="1816" t="s">
        <v>554</v>
      </c>
      <c r="AH993" s="1817"/>
      <c r="AI993" s="87"/>
      <c r="AJ993" s="1775">
        <f>ROUND(IF(AND(AG993="yes",D999&gt;0),AJ991*0.2,0),0)</f>
        <v>14965033</v>
      </c>
      <c r="AK993" s="1776"/>
      <c r="AL993" s="1776"/>
      <c r="AM993" s="1776"/>
      <c r="AN993" s="1776"/>
      <c r="AO993" s="1776"/>
      <c r="AP993" s="1776"/>
      <c r="AQ993" s="177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9" t="s">
        <v>2567</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73"/>
      <c r="AG994" s="14"/>
      <c r="AH994" s="14"/>
      <c r="AI994" s="83"/>
      <c r="AJ994" s="1778"/>
      <c r="AK994" s="1779"/>
      <c r="AL994" s="1779"/>
      <c r="AM994" s="1779"/>
      <c r="AN994" s="1779"/>
      <c r="AO994" s="1779"/>
      <c r="AP994" s="1779"/>
      <c r="AQ994" s="178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9"/>
      <c r="E995" s="1650"/>
      <c r="F995" s="1650"/>
      <c r="G995" s="1650"/>
      <c r="H995" s="1650"/>
      <c r="I995" s="1650"/>
      <c r="J995" s="1650"/>
      <c r="K995" s="1650"/>
      <c r="L995" s="1650"/>
      <c r="M995" s="1650"/>
      <c r="N995" s="1650"/>
      <c r="O995" s="1650"/>
      <c r="P995" s="1650"/>
      <c r="Q995" s="1650"/>
      <c r="R995" s="1650"/>
      <c r="S995" s="1650"/>
      <c r="T995" s="1650"/>
      <c r="U995" s="1650"/>
      <c r="V995" s="1650"/>
      <c r="W995" s="1650"/>
      <c r="X995" s="1650"/>
      <c r="Y995" s="1650"/>
      <c r="Z995" s="1650"/>
      <c r="AA995" s="1650"/>
      <c r="AB995" s="1650"/>
      <c r="AC995" s="1650"/>
      <c r="AD995" s="1650"/>
      <c r="AE995" s="1651"/>
      <c r="AF995" s="73"/>
      <c r="AG995" s="14"/>
      <c r="AH995" s="14"/>
      <c r="AI995" s="83"/>
      <c r="AJ995" s="1778"/>
      <c r="AK995" s="1779"/>
      <c r="AL995" s="1779"/>
      <c r="AM995" s="1779"/>
      <c r="AN995" s="1779"/>
      <c r="AO995" s="1779"/>
      <c r="AP995" s="1779"/>
      <c r="AQ995" s="178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9"/>
      <c r="E996" s="1650"/>
      <c r="F996" s="1650"/>
      <c r="G996" s="1650"/>
      <c r="H996" s="1650"/>
      <c r="I996" s="1650"/>
      <c r="J996" s="1650"/>
      <c r="K996" s="1650"/>
      <c r="L996" s="1650"/>
      <c r="M996" s="1650"/>
      <c r="N996" s="1650"/>
      <c r="O996" s="1650"/>
      <c r="P996" s="1650"/>
      <c r="Q996" s="1650"/>
      <c r="R996" s="1650"/>
      <c r="S996" s="1650"/>
      <c r="T996" s="1650"/>
      <c r="U996" s="1650"/>
      <c r="V996" s="1650"/>
      <c r="W996" s="1650"/>
      <c r="X996" s="1650"/>
      <c r="Y996" s="1650"/>
      <c r="Z996" s="1650"/>
      <c r="AA996" s="1650"/>
      <c r="AB996" s="1650"/>
      <c r="AC996" s="1650"/>
      <c r="AD996" s="1650"/>
      <c r="AE996" s="1651"/>
      <c r="AF996" s="73"/>
      <c r="AG996" s="14"/>
      <c r="AH996" s="14"/>
      <c r="AI996" s="83"/>
      <c r="AJ996" s="1778"/>
      <c r="AK996" s="1779"/>
      <c r="AL996" s="1779"/>
      <c r="AM996" s="1779"/>
      <c r="AN996" s="1779"/>
      <c r="AO996" s="1779"/>
      <c r="AP996" s="1779"/>
      <c r="AQ996" s="178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9"/>
      <c r="E997" s="1650"/>
      <c r="F997" s="1650"/>
      <c r="G997" s="1650"/>
      <c r="H997" s="1650"/>
      <c r="I997" s="1650"/>
      <c r="J997" s="1650"/>
      <c r="K997" s="1650"/>
      <c r="L997" s="1650"/>
      <c r="M997" s="1650"/>
      <c r="N997" s="1650"/>
      <c r="O997" s="1650"/>
      <c r="P997" s="1650"/>
      <c r="Q997" s="1650"/>
      <c r="R997" s="1650"/>
      <c r="S997" s="1650"/>
      <c r="T997" s="1650"/>
      <c r="U997" s="1650"/>
      <c r="V997" s="1650"/>
      <c r="W997" s="1650"/>
      <c r="X997" s="1650"/>
      <c r="Y997" s="1650"/>
      <c r="Z997" s="1650"/>
      <c r="AA997" s="1650"/>
      <c r="AB997" s="1650"/>
      <c r="AC997" s="1650"/>
      <c r="AD997" s="1650"/>
      <c r="AE997" s="1651"/>
      <c r="AF997" s="73"/>
      <c r="AG997" s="14"/>
      <c r="AH997" s="14"/>
      <c r="AI997" s="83"/>
      <c r="AJ997" s="1778"/>
      <c r="AK997" s="1779"/>
      <c r="AL997" s="1779"/>
      <c r="AM997" s="1779"/>
      <c r="AN997" s="1779"/>
      <c r="AO997" s="1779"/>
      <c r="AP997" s="1779"/>
      <c r="AQ997" s="178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2" t="s">
        <v>2568</v>
      </c>
      <c r="E998" s="1653"/>
      <c r="F998" s="1653"/>
      <c r="G998" s="1653"/>
      <c r="H998" s="1653"/>
      <c r="I998" s="1653"/>
      <c r="J998" s="1653"/>
      <c r="K998" s="1653"/>
      <c r="L998" s="1653"/>
      <c r="M998" s="1653"/>
      <c r="N998" s="1653"/>
      <c r="O998" s="1653"/>
      <c r="P998" s="1653"/>
      <c r="Q998" s="1653"/>
      <c r="R998" s="1653"/>
      <c r="S998" s="1653"/>
      <c r="T998" s="1653"/>
      <c r="U998" s="1653"/>
      <c r="V998" s="1653"/>
      <c r="W998" s="1653"/>
      <c r="X998" s="1653"/>
      <c r="Y998" s="1653"/>
      <c r="Z998" s="1653"/>
      <c r="AA998" s="1653"/>
      <c r="AB998" s="1653"/>
      <c r="AC998" s="1653"/>
      <c r="AD998" s="1653"/>
      <c r="AE998" s="1654"/>
      <c r="AF998" s="73"/>
      <c r="AG998" s="14"/>
      <c r="AH998" s="14"/>
      <c r="AI998" s="83"/>
      <c r="AJ998" s="1778"/>
      <c r="AK998" s="1779"/>
      <c r="AL998" s="1779"/>
      <c r="AM998" s="1779"/>
      <c r="AN998" s="1779"/>
      <c r="AO998" s="1779"/>
      <c r="AP998" s="1779"/>
      <c r="AQ998" s="178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5" t="s">
        <v>2760</v>
      </c>
      <c r="E999" s="1666"/>
      <c r="F999" s="1666"/>
      <c r="G999" s="1666"/>
      <c r="H999" s="1666"/>
      <c r="I999" s="1666"/>
      <c r="J999" s="1666"/>
      <c r="K999" s="1666"/>
      <c r="L999" s="1666"/>
      <c r="M999" s="1666"/>
      <c r="N999" s="1666"/>
      <c r="O999" s="1666"/>
      <c r="P999" s="1666"/>
      <c r="Q999" s="1666"/>
      <c r="R999" s="1666"/>
      <c r="S999" s="1666"/>
      <c r="T999" s="1666"/>
      <c r="U999" s="1666"/>
      <c r="V999" s="1666"/>
      <c r="W999" s="1666"/>
      <c r="X999" s="1666"/>
      <c r="Y999" s="1666"/>
      <c r="Z999" s="1666"/>
      <c r="AA999" s="1666"/>
      <c r="AB999" s="1666"/>
      <c r="AC999" s="1666"/>
      <c r="AD999" s="1666"/>
      <c r="AE999" s="1667"/>
      <c r="AF999" s="77"/>
      <c r="AG999" s="7"/>
      <c r="AH999" s="7"/>
      <c r="AI999" s="78"/>
      <c r="AJ999" s="1781"/>
      <c r="AK999" s="1782"/>
      <c r="AL999" s="1782"/>
      <c r="AM999" s="1782"/>
      <c r="AN999" s="1782"/>
      <c r="AO999" s="1782"/>
      <c r="AP999" s="1782"/>
      <c r="AQ999" s="178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6" t="s">
        <v>1395</v>
      </c>
      <c r="E1000" s="1647"/>
      <c r="F1000" s="1647"/>
      <c r="G1000" s="1647"/>
      <c r="H1000" s="1647"/>
      <c r="I1000" s="1647"/>
      <c r="J1000" s="1647"/>
      <c r="K1000" s="1647"/>
      <c r="L1000" s="1647"/>
      <c r="M1000" s="1647"/>
      <c r="N1000" s="1647"/>
      <c r="O1000" s="1647"/>
      <c r="P1000" s="1647"/>
      <c r="Q1000" s="1647"/>
      <c r="R1000" s="1647"/>
      <c r="S1000" s="1647"/>
      <c r="T1000" s="1647"/>
      <c r="U1000" s="1647"/>
      <c r="V1000" s="1647"/>
      <c r="W1000" s="1647"/>
      <c r="X1000" s="1647"/>
      <c r="Y1000" s="1647"/>
      <c r="Z1000" s="1647"/>
      <c r="AA1000" s="1647"/>
      <c r="AB1000" s="1647"/>
      <c r="AC1000" s="1647"/>
      <c r="AD1000" s="1647"/>
      <c r="AE1000" s="1648"/>
      <c r="AF1000" s="79"/>
      <c r="AG1000" s="1679" t="s">
        <v>678</v>
      </c>
      <c r="AH1000" s="1680"/>
      <c r="AI1000" s="87"/>
      <c r="AJ1000" s="1775">
        <f>ROUND(IF(AG1000="yes",AJ991*0.05,0),0)</f>
        <v>0</v>
      </c>
      <c r="AK1000" s="1776"/>
      <c r="AL1000" s="1776"/>
      <c r="AM1000" s="1776"/>
      <c r="AN1000" s="1776"/>
      <c r="AO1000" s="1776"/>
      <c r="AP1000" s="1776"/>
      <c r="AQ1000" s="177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9" t="s">
        <v>1393</v>
      </c>
      <c r="E1001" s="1650"/>
      <c r="F1001" s="1650"/>
      <c r="G1001" s="1650"/>
      <c r="H1001" s="1650"/>
      <c r="I1001" s="1650"/>
      <c r="J1001" s="1650"/>
      <c r="K1001" s="1650"/>
      <c r="L1001" s="1650"/>
      <c r="M1001" s="1650"/>
      <c r="N1001" s="1650"/>
      <c r="O1001" s="1650"/>
      <c r="P1001" s="1650"/>
      <c r="Q1001" s="1650"/>
      <c r="R1001" s="1650"/>
      <c r="S1001" s="1650"/>
      <c r="T1001" s="1650"/>
      <c r="U1001" s="1650"/>
      <c r="V1001" s="1650"/>
      <c r="W1001" s="1650"/>
      <c r="X1001" s="1650"/>
      <c r="Y1001" s="1650"/>
      <c r="Z1001" s="1650"/>
      <c r="AA1001" s="1650"/>
      <c r="AB1001" s="1650"/>
      <c r="AC1001" s="1650"/>
      <c r="AD1001" s="1650"/>
      <c r="AE1001" s="1651"/>
      <c r="AF1001" s="73"/>
      <c r="AG1001" s="14"/>
      <c r="AH1001" s="14"/>
      <c r="AI1001" s="83"/>
      <c r="AJ1001" s="1778"/>
      <c r="AK1001" s="1779"/>
      <c r="AL1001" s="1779"/>
      <c r="AM1001" s="1779"/>
      <c r="AN1001" s="1779"/>
      <c r="AO1001" s="1779"/>
      <c r="AP1001" s="1779"/>
      <c r="AQ1001" s="178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9"/>
      <c r="E1002" s="1650"/>
      <c r="F1002" s="1650"/>
      <c r="G1002" s="1650"/>
      <c r="H1002" s="1650"/>
      <c r="I1002" s="1650"/>
      <c r="J1002" s="1650"/>
      <c r="K1002" s="1650"/>
      <c r="L1002" s="1650"/>
      <c r="M1002" s="1650"/>
      <c r="N1002" s="1650"/>
      <c r="O1002" s="1650"/>
      <c r="P1002" s="1650"/>
      <c r="Q1002" s="1650"/>
      <c r="R1002" s="1650"/>
      <c r="S1002" s="1650"/>
      <c r="T1002" s="1650"/>
      <c r="U1002" s="1650"/>
      <c r="V1002" s="1650"/>
      <c r="W1002" s="1650"/>
      <c r="X1002" s="1650"/>
      <c r="Y1002" s="1650"/>
      <c r="Z1002" s="1650"/>
      <c r="AA1002" s="1650"/>
      <c r="AB1002" s="1650"/>
      <c r="AC1002" s="1650"/>
      <c r="AD1002" s="1650"/>
      <c r="AE1002" s="1651"/>
      <c r="AF1002" s="73"/>
      <c r="AG1002" s="14"/>
      <c r="AH1002" s="14"/>
      <c r="AI1002" s="83"/>
      <c r="AJ1002" s="1778"/>
      <c r="AK1002" s="1779"/>
      <c r="AL1002" s="1779"/>
      <c r="AM1002" s="1779"/>
      <c r="AN1002" s="1779"/>
      <c r="AO1002" s="1779"/>
      <c r="AP1002" s="1779"/>
      <c r="AQ1002" s="1780"/>
      <c r="AR1002" s="68"/>
      <c r="AS1002" s="68"/>
      <c r="AT1002" s="68"/>
      <c r="AU1002" s="68"/>
      <c r="AV1002" s="68"/>
      <c r="AW1002" s="68"/>
      <c r="AX1002" s="68"/>
      <c r="AY1002" s="949">
        <f>G753+O797</f>
        <v>121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9"/>
      <c r="E1003" s="1650"/>
      <c r="F1003" s="1650"/>
      <c r="G1003" s="1650"/>
      <c r="H1003" s="1650"/>
      <c r="I1003" s="1650"/>
      <c r="J1003" s="1650"/>
      <c r="K1003" s="1650"/>
      <c r="L1003" s="1650"/>
      <c r="M1003" s="1650"/>
      <c r="N1003" s="1650"/>
      <c r="O1003" s="1650"/>
      <c r="P1003" s="1650"/>
      <c r="Q1003" s="1650"/>
      <c r="R1003" s="1650"/>
      <c r="S1003" s="1650"/>
      <c r="T1003" s="1650"/>
      <c r="U1003" s="1650"/>
      <c r="V1003" s="1650"/>
      <c r="W1003" s="1650"/>
      <c r="X1003" s="1650"/>
      <c r="Y1003" s="1650"/>
      <c r="Z1003" s="1650"/>
      <c r="AA1003" s="1650"/>
      <c r="AB1003" s="1650"/>
      <c r="AC1003" s="1650"/>
      <c r="AD1003" s="1650"/>
      <c r="AE1003" s="1651"/>
      <c r="AF1003" s="73"/>
      <c r="AG1003" s="14"/>
      <c r="AH1003" s="14"/>
      <c r="AI1003" s="83"/>
      <c r="AJ1003" s="1778"/>
      <c r="AK1003" s="1779"/>
      <c r="AL1003" s="1779"/>
      <c r="AM1003" s="1779"/>
      <c r="AN1003" s="1779"/>
      <c r="AO1003" s="1779"/>
      <c r="AP1003" s="1779"/>
      <c r="AQ1003" s="178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9"/>
      <c r="E1004" s="1650"/>
      <c r="F1004" s="1650"/>
      <c r="G1004" s="1650"/>
      <c r="H1004" s="1650"/>
      <c r="I1004" s="1650"/>
      <c r="J1004" s="1650"/>
      <c r="K1004" s="1650"/>
      <c r="L1004" s="1650"/>
      <c r="M1004" s="1650"/>
      <c r="N1004" s="1650"/>
      <c r="O1004" s="1650"/>
      <c r="P1004" s="1650"/>
      <c r="Q1004" s="1650"/>
      <c r="R1004" s="1650"/>
      <c r="S1004" s="1650"/>
      <c r="T1004" s="1650"/>
      <c r="U1004" s="1650"/>
      <c r="V1004" s="1650"/>
      <c r="W1004" s="1650"/>
      <c r="X1004" s="1650"/>
      <c r="Y1004" s="1650"/>
      <c r="Z1004" s="1650"/>
      <c r="AA1004" s="1650"/>
      <c r="AB1004" s="1650"/>
      <c r="AC1004" s="1650"/>
      <c r="AD1004" s="1650"/>
      <c r="AE1004" s="1651"/>
      <c r="AF1004" s="73"/>
      <c r="AG1004" s="14"/>
      <c r="AH1004" s="14"/>
      <c r="AI1004" s="83"/>
      <c r="AJ1004" s="1778"/>
      <c r="AK1004" s="1779"/>
      <c r="AL1004" s="1779"/>
      <c r="AM1004" s="1779"/>
      <c r="AN1004" s="1779"/>
      <c r="AO1004" s="1779"/>
      <c r="AP1004" s="1779"/>
      <c r="AQ1004" s="1780"/>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2"/>
      <c r="E1005" s="1653"/>
      <c r="F1005" s="1653"/>
      <c r="G1005" s="1653"/>
      <c r="H1005" s="1653"/>
      <c r="I1005" s="1653"/>
      <c r="J1005" s="1653"/>
      <c r="K1005" s="1653"/>
      <c r="L1005" s="1653"/>
      <c r="M1005" s="1653"/>
      <c r="N1005" s="1653"/>
      <c r="O1005" s="1653"/>
      <c r="P1005" s="1653"/>
      <c r="Q1005" s="1653"/>
      <c r="R1005" s="1653"/>
      <c r="S1005" s="1653"/>
      <c r="T1005" s="1653"/>
      <c r="U1005" s="1653"/>
      <c r="V1005" s="1653"/>
      <c r="W1005" s="1653"/>
      <c r="X1005" s="1653"/>
      <c r="Y1005" s="1653"/>
      <c r="Z1005" s="1653"/>
      <c r="AA1005" s="1653"/>
      <c r="AB1005" s="1653"/>
      <c r="AC1005" s="1653"/>
      <c r="AD1005" s="1653"/>
      <c r="AE1005" s="1654"/>
      <c r="AF1005" s="77"/>
      <c r="AG1005" s="7"/>
      <c r="AH1005" s="7"/>
      <c r="AI1005" s="78"/>
      <c r="AJ1005" s="1781"/>
      <c r="AK1005" s="1782"/>
      <c r="AL1005" s="1782"/>
      <c r="AM1005" s="1782"/>
      <c r="AN1005" s="1782"/>
      <c r="AO1005" s="1782"/>
      <c r="AP1005" s="1782"/>
      <c r="AQ1005" s="178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46" t="s">
        <v>1872</v>
      </c>
      <c r="E1006" s="1647"/>
      <c r="F1006" s="1647"/>
      <c r="G1006" s="1647"/>
      <c r="H1006" s="1647"/>
      <c r="I1006" s="1647"/>
      <c r="J1006" s="1647"/>
      <c r="K1006" s="1647"/>
      <c r="L1006" s="1647"/>
      <c r="M1006" s="1647"/>
      <c r="N1006" s="1647"/>
      <c r="O1006" s="1647"/>
      <c r="P1006" s="1647"/>
      <c r="Q1006" s="1647"/>
      <c r="R1006" s="1647"/>
      <c r="S1006" s="1647"/>
      <c r="T1006" s="1647"/>
      <c r="U1006" s="1647"/>
      <c r="V1006" s="1647"/>
      <c r="W1006" s="1647"/>
      <c r="X1006" s="1647"/>
      <c r="Y1006" s="1647"/>
      <c r="Z1006" s="1647"/>
      <c r="AA1006" s="1647"/>
      <c r="AB1006" s="1647"/>
      <c r="AC1006" s="1647"/>
      <c r="AD1006" s="1647"/>
      <c r="AE1006" s="1648"/>
      <c r="AF1006" s="86"/>
      <c r="AG1006" s="1679" t="s">
        <v>678</v>
      </c>
      <c r="AH1006" s="1680"/>
      <c r="AI1006" s="87"/>
      <c r="AJ1006" s="1775">
        <f>ROUND(IF(AG1006="yes",AJ991*0.1,0),0)</f>
        <v>0</v>
      </c>
      <c r="AK1006" s="1776"/>
      <c r="AL1006" s="1776"/>
      <c r="AM1006" s="1776"/>
      <c r="AN1006" s="1776"/>
      <c r="AO1006" s="1776"/>
      <c r="AP1006" s="1776"/>
      <c r="AQ1006" s="1777"/>
      <c r="AR1006" s="68"/>
      <c r="AS1006" s="68"/>
      <c r="AT1006" s="68"/>
      <c r="AU1006" s="68"/>
      <c r="AV1006" s="68"/>
      <c r="AW1006" s="68"/>
      <c r="AX1006" s="68"/>
      <c r="BB1006" s="34"/>
      <c r="BD1006" s="34"/>
      <c r="BE1006" s="34"/>
      <c r="BF1006" s="34"/>
    </row>
    <row r="1007" spans="1:157" ht="12.95" customHeight="1">
      <c r="A1007" s="14"/>
      <c r="B1007" s="73"/>
      <c r="C1007" s="74"/>
      <c r="D1007" s="1670" t="s">
        <v>1394</v>
      </c>
      <c r="E1007" s="1671"/>
      <c r="F1007" s="1671"/>
      <c r="G1007" s="1671"/>
      <c r="H1007" s="1671"/>
      <c r="I1007" s="1671"/>
      <c r="J1007" s="1671"/>
      <c r="K1007" s="1671"/>
      <c r="L1007" s="1671"/>
      <c r="M1007" s="1671"/>
      <c r="N1007" s="1671"/>
      <c r="O1007" s="1671"/>
      <c r="P1007" s="1671"/>
      <c r="Q1007" s="1671"/>
      <c r="R1007" s="1671"/>
      <c r="S1007" s="1671"/>
      <c r="T1007" s="1671"/>
      <c r="U1007" s="1671"/>
      <c r="V1007" s="1671"/>
      <c r="W1007" s="1671"/>
      <c r="X1007" s="1671"/>
      <c r="Y1007" s="1671"/>
      <c r="Z1007" s="1671"/>
      <c r="AA1007" s="1671"/>
      <c r="AB1007" s="1671"/>
      <c r="AC1007" s="1671"/>
      <c r="AD1007" s="1671"/>
      <c r="AE1007" s="1672"/>
      <c r="AF1007" s="73"/>
      <c r="AI1007" s="83"/>
      <c r="AJ1007" s="1778"/>
      <c r="AK1007" s="1779"/>
      <c r="AL1007" s="1779"/>
      <c r="AM1007" s="1779"/>
      <c r="AN1007" s="1779"/>
      <c r="AO1007" s="1779"/>
      <c r="AP1007" s="1779"/>
      <c r="AQ1007" s="1780"/>
      <c r="AR1007" s="68"/>
      <c r="AS1007" s="68"/>
      <c r="AT1007" s="68"/>
      <c r="AU1007" s="68"/>
      <c r="AV1007" s="68"/>
      <c r="AW1007" s="68"/>
      <c r="AX1007" s="68"/>
    </row>
    <row r="1008" spans="1:157" ht="12.95" customHeight="1">
      <c r="A1008" s="14"/>
      <c r="B1008" s="73"/>
      <c r="C1008" s="74"/>
      <c r="D1008" s="1670"/>
      <c r="E1008" s="1671"/>
      <c r="F1008" s="1671"/>
      <c r="G1008" s="1671"/>
      <c r="H1008" s="1671"/>
      <c r="I1008" s="1671"/>
      <c r="J1008" s="1671"/>
      <c r="K1008" s="1671"/>
      <c r="L1008" s="1671"/>
      <c r="M1008" s="1671"/>
      <c r="N1008" s="1671"/>
      <c r="O1008" s="1671"/>
      <c r="P1008" s="1671"/>
      <c r="Q1008" s="1671"/>
      <c r="R1008" s="1671"/>
      <c r="S1008" s="1671"/>
      <c r="T1008" s="1671"/>
      <c r="U1008" s="1671"/>
      <c r="V1008" s="1671"/>
      <c r="W1008" s="1671"/>
      <c r="X1008" s="1671"/>
      <c r="Y1008" s="1671"/>
      <c r="Z1008" s="1671"/>
      <c r="AA1008" s="1671"/>
      <c r="AB1008" s="1671"/>
      <c r="AC1008" s="1671"/>
      <c r="AD1008" s="1671"/>
      <c r="AE1008" s="1672"/>
      <c r="AF1008" s="73"/>
      <c r="AG1008" s="14"/>
      <c r="AH1008" s="14"/>
      <c r="AI1008" s="83"/>
      <c r="AJ1008" s="1778"/>
      <c r="AK1008" s="1779"/>
      <c r="AL1008" s="1779"/>
      <c r="AM1008" s="1779"/>
      <c r="AN1008" s="1779"/>
      <c r="AO1008" s="1779"/>
      <c r="AP1008" s="1779"/>
      <c r="AQ1008" s="1780"/>
      <c r="AR1008" s="68"/>
      <c r="AS1008" s="68"/>
      <c r="AT1008" s="68"/>
      <c r="AU1008" s="68"/>
      <c r="AV1008" s="68"/>
      <c r="AW1008" s="68"/>
      <c r="AX1008" s="68"/>
    </row>
    <row r="1009" spans="1:51" ht="12.95" customHeight="1">
      <c r="A1009" s="14"/>
      <c r="B1009" s="85"/>
      <c r="C1009" s="76"/>
      <c r="D1009" s="1655"/>
      <c r="E1009" s="1656"/>
      <c r="F1009" s="1656"/>
      <c r="G1009" s="1656"/>
      <c r="H1009" s="1656"/>
      <c r="I1009" s="1656"/>
      <c r="J1009" s="1656"/>
      <c r="K1009" s="1656"/>
      <c r="L1009" s="1656"/>
      <c r="M1009" s="1656"/>
      <c r="N1009" s="1656"/>
      <c r="O1009" s="1656"/>
      <c r="P1009" s="1656"/>
      <c r="Q1009" s="1656"/>
      <c r="R1009" s="1656"/>
      <c r="S1009" s="1656"/>
      <c r="T1009" s="1656"/>
      <c r="U1009" s="1656"/>
      <c r="V1009" s="1656"/>
      <c r="W1009" s="1656"/>
      <c r="X1009" s="1656"/>
      <c r="Y1009" s="1656"/>
      <c r="Z1009" s="1656"/>
      <c r="AA1009" s="1656"/>
      <c r="AB1009" s="1656"/>
      <c r="AC1009" s="1656"/>
      <c r="AD1009" s="1656"/>
      <c r="AE1009" s="1657"/>
      <c r="AF1009" s="77"/>
      <c r="AG1009" s="7"/>
      <c r="AH1009" s="7"/>
      <c r="AI1009" s="78"/>
      <c r="AJ1009" s="1781"/>
      <c r="AK1009" s="1782"/>
      <c r="AL1009" s="1782"/>
      <c r="AM1009" s="1782"/>
      <c r="AN1009" s="1782"/>
      <c r="AO1009" s="1782"/>
      <c r="AP1009" s="1782"/>
      <c r="AQ1009" s="1783"/>
      <c r="AR1009" s="68"/>
      <c r="AS1009" s="68"/>
      <c r="AT1009" s="68"/>
      <c r="AU1009" s="68"/>
      <c r="AV1009" s="68"/>
      <c r="AW1009" s="68"/>
      <c r="AX1009" s="68"/>
    </row>
    <row r="1010" spans="1:51" ht="12.95" customHeight="1">
      <c r="A1010" s="14"/>
      <c r="B1010" s="79"/>
      <c r="C1010" s="80" t="s">
        <v>213</v>
      </c>
      <c r="D1010" s="1646" t="s">
        <v>1396</v>
      </c>
      <c r="E1010" s="1647"/>
      <c r="F1010" s="1647"/>
      <c r="G1010" s="1647"/>
      <c r="H1010" s="1647"/>
      <c r="I1010" s="1647"/>
      <c r="J1010" s="1647"/>
      <c r="K1010" s="1647"/>
      <c r="L1010" s="1647"/>
      <c r="M1010" s="1647"/>
      <c r="N1010" s="1647"/>
      <c r="O1010" s="1647"/>
      <c r="P1010" s="1647"/>
      <c r="Q1010" s="1647"/>
      <c r="R1010" s="1647"/>
      <c r="S1010" s="1647"/>
      <c r="T1010" s="1647"/>
      <c r="U1010" s="1647"/>
      <c r="V1010" s="1647"/>
      <c r="W1010" s="1647"/>
      <c r="X1010" s="1647"/>
      <c r="Y1010" s="1647"/>
      <c r="Z1010" s="1647"/>
      <c r="AA1010" s="1647"/>
      <c r="AB1010" s="1647"/>
      <c r="AC1010" s="1647"/>
      <c r="AD1010" s="1647"/>
      <c r="AE1010" s="1648"/>
      <c r="AF1010" s="79"/>
      <c r="AG1010" s="1679" t="s">
        <v>678</v>
      </c>
      <c r="AH1010" s="1680"/>
      <c r="AI1010" s="87"/>
      <c r="AJ1010" s="1775">
        <f>ROUND(IF(AG1010="yes",AJ991*0.02,0),0)</f>
        <v>0</v>
      </c>
      <c r="AK1010" s="1776"/>
      <c r="AL1010" s="1776"/>
      <c r="AM1010" s="1776"/>
      <c r="AN1010" s="1776"/>
      <c r="AO1010" s="1776"/>
      <c r="AP1010" s="1776"/>
      <c r="AQ1010" s="1777"/>
      <c r="AR1010" s="68"/>
      <c r="AS1010" s="68"/>
      <c r="AT1010" s="68"/>
      <c r="AU1010" s="68"/>
      <c r="AV1010" s="68"/>
      <c r="AW1010" s="68"/>
      <c r="AX1010" s="68"/>
      <c r="AY1010" s="215">
        <f>IF(SUM(AY1012:AY1020)&lt;=0.1,SUM(AY1012:AY1020),0.1)</f>
        <v>0.02</v>
      </c>
    </row>
    <row r="1011" spans="1:51" ht="14.25" customHeight="1">
      <c r="A1011" s="14"/>
      <c r="B1011" s="73"/>
      <c r="C1011" s="74"/>
      <c r="D1011" s="1655" t="s">
        <v>1397</v>
      </c>
      <c r="E1011" s="1656"/>
      <c r="F1011" s="1656"/>
      <c r="G1011" s="1656"/>
      <c r="H1011" s="1656"/>
      <c r="I1011" s="1656"/>
      <c r="J1011" s="1656"/>
      <c r="K1011" s="1656"/>
      <c r="L1011" s="1656"/>
      <c r="M1011" s="1656"/>
      <c r="N1011" s="1656"/>
      <c r="O1011" s="1656"/>
      <c r="P1011" s="1656"/>
      <c r="Q1011" s="1656"/>
      <c r="R1011" s="1656"/>
      <c r="S1011" s="1656"/>
      <c r="T1011" s="1656"/>
      <c r="U1011" s="1656"/>
      <c r="V1011" s="1656"/>
      <c r="W1011" s="1656"/>
      <c r="X1011" s="1656"/>
      <c r="Y1011" s="1656"/>
      <c r="Z1011" s="1656"/>
      <c r="AA1011" s="1656"/>
      <c r="AB1011" s="1656"/>
      <c r="AC1011" s="1656"/>
      <c r="AD1011" s="1656"/>
      <c r="AE1011" s="1657"/>
      <c r="AF1011" s="77"/>
      <c r="AG1011" s="7"/>
      <c r="AH1011" s="7"/>
      <c r="AI1011" s="78"/>
      <c r="AJ1011" s="1781"/>
      <c r="AK1011" s="1782"/>
      <c r="AL1011" s="1782"/>
      <c r="AM1011" s="1782"/>
      <c r="AN1011" s="1782"/>
      <c r="AO1011" s="1782"/>
      <c r="AP1011" s="1782"/>
      <c r="AQ1011" s="1783"/>
      <c r="AR1011" s="68"/>
      <c r="AS1011" s="68"/>
      <c r="AT1011" s="68"/>
      <c r="AU1011" s="68"/>
      <c r="AV1011" s="68"/>
      <c r="AW1011" s="68"/>
      <c r="AX1011" s="68"/>
    </row>
    <row r="1012" spans="1:51" ht="12.95" customHeight="1">
      <c r="A1012" s="14"/>
      <c r="B1012" s="79"/>
      <c r="C1012" s="80" t="s">
        <v>216</v>
      </c>
      <c r="D1012" s="1646" t="s">
        <v>1398</v>
      </c>
      <c r="E1012" s="1647"/>
      <c r="F1012" s="1647"/>
      <c r="G1012" s="1647"/>
      <c r="H1012" s="1647"/>
      <c r="I1012" s="1647"/>
      <c r="J1012" s="1647"/>
      <c r="K1012" s="1647"/>
      <c r="L1012" s="1647"/>
      <c r="M1012" s="1647"/>
      <c r="N1012" s="1647"/>
      <c r="O1012" s="1647"/>
      <c r="P1012" s="1647"/>
      <c r="Q1012" s="1647"/>
      <c r="R1012" s="1647"/>
      <c r="S1012" s="1647"/>
      <c r="T1012" s="1647"/>
      <c r="U1012" s="1647"/>
      <c r="V1012" s="1647"/>
      <c r="W1012" s="1647"/>
      <c r="X1012" s="1647"/>
      <c r="Y1012" s="1647"/>
      <c r="Z1012" s="1647"/>
      <c r="AA1012" s="1647"/>
      <c r="AB1012" s="1647"/>
      <c r="AC1012" s="1647"/>
      <c r="AD1012" s="1647"/>
      <c r="AE1012" s="1648"/>
      <c r="AF1012" s="79"/>
      <c r="AG1012" s="1679" t="s">
        <v>678</v>
      </c>
      <c r="AH1012" s="1680"/>
      <c r="AI1012" s="79"/>
      <c r="AJ1012" s="1775">
        <f>ROUND(IF(AG1012="yes",AJ991*0.02,0),0)</f>
        <v>0</v>
      </c>
      <c r="AK1012" s="1776"/>
      <c r="AL1012" s="1776"/>
      <c r="AM1012" s="1776"/>
      <c r="AN1012" s="1776"/>
      <c r="AO1012" s="1776"/>
      <c r="AP1012" s="1776"/>
      <c r="AQ1012" s="1777"/>
      <c r="AR1012" s="68"/>
      <c r="AS1012" s="68"/>
      <c r="AT1012" s="68"/>
      <c r="AU1012" s="68"/>
      <c r="AV1012" s="68"/>
      <c r="AW1012" s="68"/>
      <c r="AX1012" s="68"/>
      <c r="AY1012" s="213">
        <f>IF(A1064="Yes",0.05,0)</f>
        <v>0</v>
      </c>
    </row>
    <row r="1013" spans="1:51" ht="12.95" customHeight="1">
      <c r="A1013" s="14"/>
      <c r="B1013" s="73"/>
      <c r="C1013" s="74"/>
      <c r="D1013" s="1670" t="s">
        <v>1399</v>
      </c>
      <c r="E1013" s="1671"/>
      <c r="F1013" s="1671"/>
      <c r="G1013" s="1671"/>
      <c r="H1013" s="1671"/>
      <c r="I1013" s="1671"/>
      <c r="J1013" s="1671"/>
      <c r="K1013" s="1671"/>
      <c r="L1013" s="1671"/>
      <c r="M1013" s="1671"/>
      <c r="N1013" s="1671"/>
      <c r="O1013" s="1671"/>
      <c r="P1013" s="1671"/>
      <c r="Q1013" s="1671"/>
      <c r="R1013" s="1671"/>
      <c r="S1013" s="1671"/>
      <c r="T1013" s="1671"/>
      <c r="U1013" s="1671"/>
      <c r="V1013" s="1671"/>
      <c r="W1013" s="1671"/>
      <c r="X1013" s="1671"/>
      <c r="Y1013" s="1671"/>
      <c r="Z1013" s="1671"/>
      <c r="AA1013" s="1671"/>
      <c r="AB1013" s="1671"/>
      <c r="AC1013" s="1671"/>
      <c r="AD1013" s="1671"/>
      <c r="AE1013" s="1672"/>
      <c r="AF1013" s="1856" t="str">
        <f>IF(AND(AG1012="yes",AB212&lt;&gt;1),"The project may not be eligible for this boost","")</f>
        <v/>
      </c>
      <c r="AG1013" s="1857"/>
      <c r="AH1013" s="1857"/>
      <c r="AI1013" s="1858"/>
      <c r="AJ1013" s="1778"/>
      <c r="AK1013" s="1779"/>
      <c r="AL1013" s="1779"/>
      <c r="AM1013" s="1779"/>
      <c r="AN1013" s="1779"/>
      <c r="AO1013" s="1779"/>
      <c r="AP1013" s="1779"/>
      <c r="AQ1013" s="1780"/>
      <c r="AR1013" s="68"/>
      <c r="AS1013" s="68"/>
      <c r="AT1013" s="68"/>
      <c r="AU1013" s="68"/>
      <c r="AV1013" s="68"/>
      <c r="AW1013" s="68"/>
      <c r="AX1013" s="68"/>
      <c r="AY1013" s="213">
        <f>IF(A1070="Yes",0.02,0)</f>
        <v>0.02</v>
      </c>
    </row>
    <row r="1014" spans="1:51" ht="12.95" customHeight="1">
      <c r="A1014" s="14"/>
      <c r="B1014" s="75"/>
      <c r="C1014" s="76"/>
      <c r="D1014" s="1655"/>
      <c r="E1014" s="1656"/>
      <c r="F1014" s="1656"/>
      <c r="G1014" s="1656"/>
      <c r="H1014" s="1656"/>
      <c r="I1014" s="1656"/>
      <c r="J1014" s="1656"/>
      <c r="K1014" s="1656"/>
      <c r="L1014" s="1656"/>
      <c r="M1014" s="1656"/>
      <c r="N1014" s="1656"/>
      <c r="O1014" s="1656"/>
      <c r="P1014" s="1656"/>
      <c r="Q1014" s="1656"/>
      <c r="R1014" s="1656"/>
      <c r="S1014" s="1656"/>
      <c r="T1014" s="1656"/>
      <c r="U1014" s="1656"/>
      <c r="V1014" s="1656"/>
      <c r="W1014" s="1656"/>
      <c r="X1014" s="1656"/>
      <c r="Y1014" s="1656"/>
      <c r="Z1014" s="1656"/>
      <c r="AA1014" s="1656"/>
      <c r="AB1014" s="1656"/>
      <c r="AC1014" s="1656"/>
      <c r="AD1014" s="1656"/>
      <c r="AE1014" s="1657"/>
      <c r="AF1014" s="1859"/>
      <c r="AG1014" s="1860"/>
      <c r="AH1014" s="1860"/>
      <c r="AI1014" s="1861"/>
      <c r="AJ1014" s="1781"/>
      <c r="AK1014" s="1782"/>
      <c r="AL1014" s="1782"/>
      <c r="AM1014" s="1782"/>
      <c r="AN1014" s="1782"/>
      <c r="AO1014" s="1782"/>
      <c r="AP1014" s="1782"/>
      <c r="AQ1014" s="1783"/>
      <c r="AR1014" s="68"/>
      <c r="AS1014" s="68"/>
      <c r="AT1014" s="68"/>
      <c r="AU1014" s="68"/>
      <c r="AV1014" s="68"/>
      <c r="AW1014" s="68"/>
      <c r="AX1014" s="68"/>
      <c r="AY1014" s="213">
        <f>IF(A1076="Yes",0.04,0)</f>
        <v>0</v>
      </c>
    </row>
    <row r="1015" spans="1:51" ht="12.95" customHeight="1">
      <c r="A1015" s="14"/>
      <c r="B1015" s="79"/>
      <c r="C1015" s="80" t="s">
        <v>219</v>
      </c>
      <c r="D1015" s="1795" t="s">
        <v>1400</v>
      </c>
      <c r="E1015" s="1796"/>
      <c r="F1015" s="1796"/>
      <c r="G1015" s="1796"/>
      <c r="H1015" s="1796"/>
      <c r="I1015" s="1796"/>
      <c r="J1015" s="1796"/>
      <c r="K1015" s="1796"/>
      <c r="L1015" s="1796"/>
      <c r="M1015" s="1796"/>
      <c r="N1015" s="1796"/>
      <c r="O1015" s="1796"/>
      <c r="P1015" s="1796"/>
      <c r="Q1015" s="1796"/>
      <c r="R1015" s="1796"/>
      <c r="S1015" s="1796"/>
      <c r="T1015" s="1796"/>
      <c r="U1015" s="1796"/>
      <c r="V1015" s="1796"/>
      <c r="W1015" s="1796"/>
      <c r="X1015" s="1796"/>
      <c r="Y1015" s="1796"/>
      <c r="Z1015" s="1796"/>
      <c r="AA1015" s="1796"/>
      <c r="AB1015" s="1796"/>
      <c r="AC1015" s="1796"/>
      <c r="AD1015" s="1796"/>
      <c r="AE1015" s="1797"/>
      <c r="AF1015" s="79"/>
      <c r="AG1015" s="1679" t="s">
        <v>554</v>
      </c>
      <c r="AH1015" s="1680"/>
      <c r="AI1015" s="87"/>
      <c r="AJ1015" s="1775">
        <f>IF(AG1015="yes",AJ991*AY1010,0)</f>
        <v>1496503.28</v>
      </c>
      <c r="AK1015" s="1776"/>
      <c r="AL1015" s="1776"/>
      <c r="AM1015" s="1776"/>
      <c r="AN1015" s="1776"/>
      <c r="AO1015" s="1776"/>
      <c r="AP1015" s="1776"/>
      <c r="AQ1015" s="1777"/>
      <c r="AR1015" s="68"/>
      <c r="AS1015" s="68"/>
      <c r="AT1015" s="68"/>
      <c r="AU1015" s="68"/>
      <c r="AV1015" s="68"/>
      <c r="AW1015" s="68"/>
      <c r="AX1015" s="68"/>
      <c r="AY1015" s="213">
        <f>IF(A1083="Yes",0.04,0)</f>
        <v>0</v>
      </c>
    </row>
    <row r="1016" spans="1:51" ht="12.95" customHeight="1">
      <c r="A1016" s="14"/>
      <c r="B1016" s="73"/>
      <c r="C1016" s="74"/>
      <c r="D1016" s="1670" t="s">
        <v>1401</v>
      </c>
      <c r="E1016" s="1671"/>
      <c r="F1016" s="1671"/>
      <c r="G1016" s="1671"/>
      <c r="H1016" s="1671"/>
      <c r="I1016" s="1671"/>
      <c r="J1016" s="1671"/>
      <c r="K1016" s="1671"/>
      <c r="L1016" s="1671"/>
      <c r="M1016" s="1671"/>
      <c r="N1016" s="1671"/>
      <c r="O1016" s="1671"/>
      <c r="P1016" s="1671"/>
      <c r="Q1016" s="1671"/>
      <c r="R1016" s="1671"/>
      <c r="S1016" s="1671"/>
      <c r="T1016" s="1671"/>
      <c r="U1016" s="1671"/>
      <c r="V1016" s="1671"/>
      <c r="W1016" s="1671"/>
      <c r="X1016" s="1671"/>
      <c r="Y1016" s="1671"/>
      <c r="Z1016" s="1671"/>
      <c r="AA1016" s="1671"/>
      <c r="AB1016" s="1671"/>
      <c r="AC1016" s="1671"/>
      <c r="AD1016" s="1671"/>
      <c r="AE1016" s="1672"/>
      <c r="AF1016" s="1850" t="str">
        <f>IF(AND(AG1015="Yes",AY1010=0),AY1022,"")</f>
        <v/>
      </c>
      <c r="AG1016" s="1851"/>
      <c r="AH1016" s="1851"/>
      <c r="AI1016" s="1852"/>
      <c r="AJ1016" s="1778"/>
      <c r="AK1016" s="1779"/>
      <c r="AL1016" s="1779"/>
      <c r="AM1016" s="1779"/>
      <c r="AN1016" s="1779"/>
      <c r="AO1016" s="1779"/>
      <c r="AP1016" s="1779"/>
      <c r="AQ1016" s="1780"/>
      <c r="AR1016" s="68"/>
      <c r="AS1016" s="68"/>
      <c r="AT1016" s="68"/>
      <c r="AU1016" s="68"/>
      <c r="AV1016" s="68"/>
      <c r="AW1016" s="68"/>
      <c r="AX1016" s="68"/>
      <c r="AY1016" s="213">
        <f>IF(A1086="Yes",0.01,0)</f>
        <v>0</v>
      </c>
    </row>
    <row r="1017" spans="1:51" ht="12.95" customHeight="1">
      <c r="A1017" s="14"/>
      <c r="B1017" s="73"/>
      <c r="C1017" s="74"/>
      <c r="D1017" s="1670"/>
      <c r="E1017" s="1671"/>
      <c r="F1017" s="1671"/>
      <c r="G1017" s="1671"/>
      <c r="H1017" s="1671"/>
      <c r="I1017" s="1671"/>
      <c r="J1017" s="1671"/>
      <c r="K1017" s="1671"/>
      <c r="L1017" s="1671"/>
      <c r="M1017" s="1671"/>
      <c r="N1017" s="1671"/>
      <c r="O1017" s="1671"/>
      <c r="P1017" s="1671"/>
      <c r="Q1017" s="1671"/>
      <c r="R1017" s="1671"/>
      <c r="S1017" s="1671"/>
      <c r="T1017" s="1671"/>
      <c r="U1017" s="1671"/>
      <c r="V1017" s="1671"/>
      <c r="W1017" s="1671"/>
      <c r="X1017" s="1671"/>
      <c r="Y1017" s="1671"/>
      <c r="Z1017" s="1671"/>
      <c r="AA1017" s="1671"/>
      <c r="AB1017" s="1671"/>
      <c r="AC1017" s="1671"/>
      <c r="AD1017" s="1671"/>
      <c r="AE1017" s="1672"/>
      <c r="AF1017" s="1850"/>
      <c r="AG1017" s="1851"/>
      <c r="AH1017" s="1851"/>
      <c r="AI1017" s="1852"/>
      <c r="AJ1017" s="1778"/>
      <c r="AK1017" s="1779"/>
      <c r="AL1017" s="1779"/>
      <c r="AM1017" s="1779"/>
      <c r="AN1017" s="1779"/>
      <c r="AO1017" s="1779"/>
      <c r="AP1017" s="1779"/>
      <c r="AQ1017" s="1780"/>
      <c r="AR1017" s="68"/>
      <c r="AS1017" s="68"/>
      <c r="AT1017" s="68"/>
      <c r="AU1017" s="68"/>
      <c r="AV1017" s="68"/>
      <c r="AW1017" s="68"/>
      <c r="AX1017" s="68"/>
      <c r="AY1017" s="213">
        <f>IF(A1091="Yes",0.01,0)</f>
        <v>0</v>
      </c>
    </row>
    <row r="1018" spans="1:51" ht="12.95" customHeight="1">
      <c r="A1018" s="14"/>
      <c r="B1018" s="81"/>
      <c r="C1018" s="82"/>
      <c r="D1018" s="1655"/>
      <c r="E1018" s="1656"/>
      <c r="F1018" s="1656"/>
      <c r="G1018" s="1656"/>
      <c r="H1018" s="1656"/>
      <c r="I1018" s="1656"/>
      <c r="J1018" s="1656"/>
      <c r="K1018" s="1656"/>
      <c r="L1018" s="1656"/>
      <c r="M1018" s="1656"/>
      <c r="N1018" s="1656"/>
      <c r="O1018" s="1656"/>
      <c r="P1018" s="1656"/>
      <c r="Q1018" s="1656"/>
      <c r="R1018" s="1656"/>
      <c r="S1018" s="1656"/>
      <c r="T1018" s="1656"/>
      <c r="U1018" s="1656"/>
      <c r="V1018" s="1656"/>
      <c r="W1018" s="1656"/>
      <c r="X1018" s="1656"/>
      <c r="Y1018" s="1656"/>
      <c r="Z1018" s="1656"/>
      <c r="AA1018" s="1656"/>
      <c r="AB1018" s="1656"/>
      <c r="AC1018" s="1656"/>
      <c r="AD1018" s="1656"/>
      <c r="AE1018" s="1657"/>
      <c r="AF1018" s="1853"/>
      <c r="AG1018" s="1854"/>
      <c r="AH1018" s="1854"/>
      <c r="AI1018" s="1855"/>
      <c r="AJ1018" s="1781"/>
      <c r="AK1018" s="1782"/>
      <c r="AL1018" s="1782"/>
      <c r="AM1018" s="1782"/>
      <c r="AN1018" s="1782"/>
      <c r="AO1018" s="1782"/>
      <c r="AP1018" s="1782"/>
      <c r="AQ1018" s="1783"/>
      <c r="AR1018" s="68"/>
      <c r="AS1018" s="68"/>
      <c r="AT1018" s="68"/>
      <c r="AU1018" s="68"/>
      <c r="AV1018" s="68"/>
      <c r="AW1018" s="68"/>
      <c r="AX1018" s="68"/>
      <c r="AY1018" s="213">
        <f>IF(A1094="Yes",0.01,0)</f>
        <v>0</v>
      </c>
    </row>
    <row r="1019" spans="1:51" ht="12.95" customHeight="1">
      <c r="A1019" s="14"/>
      <c r="B1019" s="79"/>
      <c r="C1019" s="80" t="s">
        <v>224</v>
      </c>
      <c r="D1019" s="1801" t="s">
        <v>1402</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679" t="s">
        <v>678</v>
      </c>
      <c r="AH1019" s="1680"/>
      <c r="AI1019" s="87"/>
      <c r="AJ1019" s="1775">
        <f>ROUND(IF(AND(AG1019="Yes",J1023&lt;&gt;"N/A",AF1022&lt;&gt;""),MIN(AF1022,(0.15*AJ991)),0),0)</f>
        <v>0</v>
      </c>
      <c r="AK1019" s="1776"/>
      <c r="AL1019" s="1776"/>
      <c r="AM1019" s="1776"/>
      <c r="AN1019" s="1776"/>
      <c r="AO1019" s="1776"/>
      <c r="AP1019" s="1776"/>
      <c r="AQ1019" s="1777"/>
      <c r="AR1019" s="68"/>
      <c r="AS1019" s="68"/>
      <c r="AT1019" s="68"/>
      <c r="AU1019" s="68"/>
      <c r="AV1019" s="68"/>
      <c r="AW1019" s="68"/>
      <c r="AX1019" s="68"/>
      <c r="AY1019" s="213">
        <f>IF(A1098="Yes",0.02,0)</f>
        <v>0</v>
      </c>
    </row>
    <row r="1020" spans="1:51" ht="12.95"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18" t="str">
        <f>IF(AG1019="yes","Please Select Type and Enter Amount:","")</f>
        <v/>
      </c>
      <c r="AG1020" s="1819"/>
      <c r="AH1020" s="1819"/>
      <c r="AI1020" s="1820"/>
      <c r="AJ1020" s="1778"/>
      <c r="AK1020" s="1779"/>
      <c r="AL1020" s="1779"/>
      <c r="AM1020" s="1779"/>
      <c r="AN1020" s="1779"/>
      <c r="AO1020" s="1779"/>
      <c r="AP1020" s="1779"/>
      <c r="AQ1020" s="1780"/>
      <c r="AR1020" s="68"/>
      <c r="AS1020" s="68"/>
      <c r="AT1020" s="68"/>
      <c r="AU1020" s="68"/>
      <c r="AV1020" s="68"/>
      <c r="AW1020" s="68"/>
      <c r="AX1020" s="68"/>
      <c r="AY1020" s="214">
        <f>IF(A1103="Yes",0.02,0)</f>
        <v>0</v>
      </c>
    </row>
    <row r="1021" spans="1:51" ht="12.95" customHeight="1">
      <c r="A1021" s="14"/>
      <c r="B1021" s="81"/>
      <c r="C1021" s="84"/>
      <c r="D1021" s="1670" t="s">
        <v>1403</v>
      </c>
      <c r="E1021" s="1671"/>
      <c r="F1021" s="1671"/>
      <c r="G1021" s="1671"/>
      <c r="H1021" s="1671"/>
      <c r="I1021" s="1671"/>
      <c r="J1021" s="1671"/>
      <c r="K1021" s="1671"/>
      <c r="L1021" s="1671"/>
      <c r="M1021" s="1671"/>
      <c r="N1021" s="1671"/>
      <c r="O1021" s="1671"/>
      <c r="P1021" s="1671"/>
      <c r="Q1021" s="1671"/>
      <c r="R1021" s="1671"/>
      <c r="S1021" s="1671"/>
      <c r="T1021" s="1671"/>
      <c r="U1021" s="1671"/>
      <c r="V1021" s="1671"/>
      <c r="W1021" s="1671"/>
      <c r="X1021" s="1671"/>
      <c r="Y1021" s="1671"/>
      <c r="Z1021" s="1671"/>
      <c r="AA1021" s="1671"/>
      <c r="AB1021" s="1671"/>
      <c r="AC1021" s="1671"/>
      <c r="AD1021" s="1671"/>
      <c r="AE1021" s="1672"/>
      <c r="AF1021" s="1818"/>
      <c r="AG1021" s="1819"/>
      <c r="AH1021" s="1819"/>
      <c r="AI1021" s="1820"/>
      <c r="AJ1021" s="1778"/>
      <c r="AK1021" s="1779"/>
      <c r="AL1021" s="1779"/>
      <c r="AM1021" s="1779"/>
      <c r="AN1021" s="1779"/>
      <c r="AO1021" s="1779"/>
      <c r="AP1021" s="1779"/>
      <c r="AQ1021" s="1780"/>
      <c r="AR1021" s="68"/>
      <c r="AS1021" s="68"/>
      <c r="AT1021" s="68"/>
      <c r="AU1021" s="68"/>
      <c r="AV1021" s="68"/>
      <c r="AW1021" s="68"/>
      <c r="AX1021" s="68"/>
      <c r="AY1021" s="68"/>
    </row>
    <row r="1022" spans="1:51" ht="12.95" customHeight="1">
      <c r="A1022" s="14"/>
      <c r="B1022" s="81"/>
      <c r="C1022" s="84"/>
      <c r="D1022" s="1670"/>
      <c r="E1022" s="1671"/>
      <c r="F1022" s="1671"/>
      <c r="G1022" s="1671"/>
      <c r="H1022" s="1671"/>
      <c r="I1022" s="1671"/>
      <c r="J1022" s="1671"/>
      <c r="K1022" s="1671"/>
      <c r="L1022" s="1671"/>
      <c r="M1022" s="1671"/>
      <c r="N1022" s="1671"/>
      <c r="O1022" s="1671"/>
      <c r="P1022" s="1671"/>
      <c r="Q1022" s="1671"/>
      <c r="R1022" s="1671"/>
      <c r="S1022" s="1671"/>
      <c r="T1022" s="1671"/>
      <c r="U1022" s="1671"/>
      <c r="V1022" s="1671"/>
      <c r="W1022" s="1671"/>
      <c r="X1022" s="1671"/>
      <c r="Y1022" s="1671"/>
      <c r="Z1022" s="1671"/>
      <c r="AA1022" s="1671"/>
      <c r="AB1022" s="1671"/>
      <c r="AC1022" s="1671"/>
      <c r="AD1022" s="1671"/>
      <c r="AE1022" s="1672"/>
      <c r="AF1022" s="1658"/>
      <c r="AG1022" s="1658"/>
      <c r="AH1022" s="1658"/>
      <c r="AI1022" s="1658"/>
      <c r="AJ1022" s="1778"/>
      <c r="AK1022" s="1779"/>
      <c r="AL1022" s="1779"/>
      <c r="AM1022" s="1779"/>
      <c r="AN1022" s="1779"/>
      <c r="AO1022" s="1779"/>
      <c r="AP1022" s="1779"/>
      <c r="AQ1022" s="178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4" t="s">
        <v>600</v>
      </c>
      <c r="K1023" s="1825"/>
      <c r="L1023" s="1825"/>
      <c r="M1023" s="1825"/>
      <c r="N1023" s="1825"/>
      <c r="O1023" s="1825"/>
      <c r="P1023" s="1825"/>
      <c r="Q1023" s="1825"/>
      <c r="R1023" s="1825"/>
      <c r="S1023" s="1825"/>
      <c r="T1023" s="1825"/>
      <c r="U1023" s="1825"/>
      <c r="V1023" s="1825"/>
      <c r="W1023" s="1825"/>
      <c r="X1023" s="1825"/>
      <c r="Y1023" s="1825"/>
      <c r="Z1023" s="1825"/>
      <c r="AA1023" s="1825"/>
      <c r="AB1023" s="1825"/>
      <c r="AC1023" s="1825"/>
      <c r="AD1023" s="1825"/>
      <c r="AE1023" s="1826"/>
      <c r="AF1023" s="1658"/>
      <c r="AG1023" s="1658"/>
      <c r="AH1023" s="1658"/>
      <c r="AI1023" s="1658"/>
      <c r="AJ1023" s="1781"/>
      <c r="AK1023" s="1782"/>
      <c r="AL1023" s="1782"/>
      <c r="AM1023" s="1782"/>
      <c r="AN1023" s="1782"/>
      <c r="AO1023" s="1782"/>
      <c r="AP1023" s="1782"/>
      <c r="AQ1023" s="1783"/>
      <c r="AR1023" s="68"/>
      <c r="AS1023" s="68"/>
      <c r="AT1023" s="68"/>
      <c r="AU1023" s="68"/>
      <c r="AV1023" s="68"/>
      <c r="AW1023" s="68"/>
      <c r="AX1023" s="68"/>
      <c r="AY1023" s="68"/>
    </row>
    <row r="1024" spans="1:51" ht="12.95" customHeight="1">
      <c r="A1024" s="14"/>
      <c r="B1024" s="79"/>
      <c r="C1024" s="80" t="s">
        <v>230</v>
      </c>
      <c r="D1024" s="1646" t="s">
        <v>1404</v>
      </c>
      <c r="E1024" s="1647"/>
      <c r="F1024" s="1647"/>
      <c r="G1024" s="1647"/>
      <c r="H1024" s="1647"/>
      <c r="I1024" s="1647"/>
      <c r="J1024" s="1647"/>
      <c r="K1024" s="1647"/>
      <c r="L1024" s="1647"/>
      <c r="M1024" s="1647"/>
      <c r="N1024" s="1647"/>
      <c r="O1024" s="1647"/>
      <c r="P1024" s="1647"/>
      <c r="Q1024" s="1647"/>
      <c r="R1024" s="1647"/>
      <c r="S1024" s="1647"/>
      <c r="T1024" s="1647"/>
      <c r="U1024" s="1647"/>
      <c r="V1024" s="1647"/>
      <c r="W1024" s="1647"/>
      <c r="X1024" s="1647"/>
      <c r="Y1024" s="1647"/>
      <c r="Z1024" s="1647"/>
      <c r="AA1024" s="1647"/>
      <c r="AB1024" s="1647"/>
      <c r="AC1024" s="1647"/>
      <c r="AD1024" s="1647"/>
      <c r="AE1024" s="1648"/>
      <c r="AF1024" s="79"/>
      <c r="AG1024" s="1679" t="s">
        <v>554</v>
      </c>
      <c r="AH1024" s="1680"/>
      <c r="AI1024" s="87"/>
      <c r="AJ1024" s="1775">
        <f>ROUND(IF(AG1024="Yes",AF1026,0),0)</f>
        <v>522727</v>
      </c>
      <c r="AK1024" s="1776"/>
      <c r="AL1024" s="1776"/>
      <c r="AM1024" s="1776"/>
      <c r="AN1024" s="1776"/>
      <c r="AO1024" s="1776"/>
      <c r="AP1024" s="1776"/>
      <c r="AQ1024" s="1777"/>
      <c r="AR1024" s="68"/>
      <c r="AS1024" s="68"/>
      <c r="AT1024" s="68"/>
      <c r="AU1024" s="68"/>
      <c r="AV1024" s="68"/>
      <c r="AW1024" s="68"/>
      <c r="AX1024" s="68"/>
      <c r="AY1024" s="68"/>
    </row>
    <row r="1025" spans="1:51" ht="12.95" customHeight="1">
      <c r="A1025" s="14"/>
      <c r="B1025" s="73"/>
      <c r="C1025" s="74"/>
      <c r="D1025" s="1670" t="s">
        <v>1879</v>
      </c>
      <c r="E1025" s="1671"/>
      <c r="F1025" s="1671"/>
      <c r="G1025" s="1671"/>
      <c r="H1025" s="1671"/>
      <c r="I1025" s="1671"/>
      <c r="J1025" s="1671"/>
      <c r="K1025" s="1671"/>
      <c r="L1025" s="1671"/>
      <c r="M1025" s="1671"/>
      <c r="N1025" s="1671"/>
      <c r="O1025" s="1671"/>
      <c r="P1025" s="1671"/>
      <c r="Q1025" s="1671"/>
      <c r="R1025" s="1671"/>
      <c r="S1025" s="1671"/>
      <c r="T1025" s="1671"/>
      <c r="U1025" s="1671"/>
      <c r="V1025" s="1671"/>
      <c r="W1025" s="1671"/>
      <c r="X1025" s="1671"/>
      <c r="Y1025" s="1671"/>
      <c r="Z1025" s="1671"/>
      <c r="AA1025" s="1671"/>
      <c r="AB1025" s="1671"/>
      <c r="AC1025" s="1671"/>
      <c r="AD1025" s="1671"/>
      <c r="AE1025" s="1672"/>
      <c r="AF1025" s="1807" t="str">
        <f>IF(AG1024="yes","Enter Amount:","")</f>
        <v>Enter Amount:</v>
      </c>
      <c r="AG1025" s="1808"/>
      <c r="AH1025" s="1808"/>
      <c r="AI1025" s="1809"/>
      <c r="AJ1025" s="1778"/>
      <c r="AK1025" s="1779"/>
      <c r="AL1025" s="1779"/>
      <c r="AM1025" s="1779"/>
      <c r="AN1025" s="1779"/>
      <c r="AO1025" s="1779"/>
      <c r="AP1025" s="1779"/>
      <c r="AQ1025" s="1780"/>
      <c r="AR1025" s="68"/>
      <c r="AS1025" s="68"/>
      <c r="AT1025" s="68"/>
      <c r="AU1025" s="68"/>
      <c r="AV1025" s="68"/>
      <c r="AW1025" s="68"/>
      <c r="AX1025" s="68"/>
      <c r="AY1025" s="68"/>
    </row>
    <row r="1026" spans="1:51" ht="12.95" customHeight="1">
      <c r="A1026" s="14"/>
      <c r="B1026" s="73"/>
      <c r="C1026" s="74"/>
      <c r="D1026" s="1670"/>
      <c r="E1026" s="1671"/>
      <c r="F1026" s="1671"/>
      <c r="G1026" s="1671"/>
      <c r="H1026" s="1671"/>
      <c r="I1026" s="1671"/>
      <c r="J1026" s="1671"/>
      <c r="K1026" s="1671"/>
      <c r="L1026" s="1671"/>
      <c r="M1026" s="1671"/>
      <c r="N1026" s="1671"/>
      <c r="O1026" s="1671"/>
      <c r="P1026" s="1671"/>
      <c r="Q1026" s="1671"/>
      <c r="R1026" s="1671"/>
      <c r="S1026" s="1671"/>
      <c r="T1026" s="1671"/>
      <c r="U1026" s="1671"/>
      <c r="V1026" s="1671"/>
      <c r="W1026" s="1671"/>
      <c r="X1026" s="1671"/>
      <c r="Y1026" s="1671"/>
      <c r="Z1026" s="1671"/>
      <c r="AA1026" s="1671"/>
      <c r="AB1026" s="1671"/>
      <c r="AC1026" s="1671"/>
      <c r="AD1026" s="1671"/>
      <c r="AE1026" s="1672"/>
      <c r="AF1026" s="1658">
        <v>522727</v>
      </c>
      <c r="AG1026" s="1658"/>
      <c r="AH1026" s="1658"/>
      <c r="AI1026" s="1658"/>
      <c r="AJ1026" s="1778"/>
      <c r="AK1026" s="1779"/>
      <c r="AL1026" s="1779"/>
      <c r="AM1026" s="1779"/>
      <c r="AN1026" s="1779"/>
      <c r="AO1026" s="1779"/>
      <c r="AP1026" s="1779"/>
      <c r="AQ1026" s="1780"/>
      <c r="AR1026" s="68"/>
      <c r="AS1026" s="68"/>
      <c r="AT1026" s="68"/>
      <c r="AU1026" s="68"/>
      <c r="AV1026" s="68"/>
      <c r="AW1026" s="68"/>
      <c r="AX1026" s="68"/>
      <c r="AY1026" s="68"/>
    </row>
    <row r="1027" spans="1:51" ht="12.95" customHeight="1">
      <c r="A1027" s="14"/>
      <c r="B1027" s="85"/>
      <c r="C1027" s="84"/>
      <c r="D1027" s="1655"/>
      <c r="E1027" s="1656"/>
      <c r="F1027" s="1656"/>
      <c r="G1027" s="1656"/>
      <c r="H1027" s="1656"/>
      <c r="I1027" s="1656"/>
      <c r="J1027" s="1656"/>
      <c r="K1027" s="1656"/>
      <c r="L1027" s="1656"/>
      <c r="M1027" s="1656"/>
      <c r="N1027" s="1656"/>
      <c r="O1027" s="1656"/>
      <c r="P1027" s="1656"/>
      <c r="Q1027" s="1656"/>
      <c r="R1027" s="1656"/>
      <c r="S1027" s="1656"/>
      <c r="T1027" s="1656"/>
      <c r="U1027" s="1656"/>
      <c r="V1027" s="1656"/>
      <c r="W1027" s="1656"/>
      <c r="X1027" s="1656"/>
      <c r="Y1027" s="1656"/>
      <c r="Z1027" s="1656"/>
      <c r="AA1027" s="1656"/>
      <c r="AB1027" s="1656"/>
      <c r="AC1027" s="1656"/>
      <c r="AD1027" s="1656"/>
      <c r="AE1027" s="1657"/>
      <c r="AF1027" s="1658"/>
      <c r="AG1027" s="1658"/>
      <c r="AH1027" s="1658"/>
      <c r="AI1027" s="1658"/>
      <c r="AJ1027" s="1781"/>
      <c r="AK1027" s="1782"/>
      <c r="AL1027" s="1782"/>
      <c r="AM1027" s="1782"/>
      <c r="AN1027" s="1782"/>
      <c r="AO1027" s="1782"/>
      <c r="AP1027" s="1782"/>
      <c r="AQ1027" s="1783"/>
      <c r="AR1027" s="68"/>
      <c r="AS1027" s="68"/>
      <c r="AT1027" s="68"/>
      <c r="AU1027" s="68"/>
      <c r="AV1027" s="68"/>
      <c r="AW1027" s="68"/>
      <c r="AX1027" s="68"/>
      <c r="AY1027" s="68"/>
    </row>
    <row r="1028" spans="1:51" ht="12.95" customHeight="1">
      <c r="A1028" s="14"/>
      <c r="B1028" s="79"/>
      <c r="C1028" s="80" t="s">
        <v>235</v>
      </c>
      <c r="D1028" s="1795" t="s">
        <v>1405</v>
      </c>
      <c r="E1028" s="1796"/>
      <c r="F1028" s="1796"/>
      <c r="G1028" s="1796"/>
      <c r="H1028" s="1796"/>
      <c r="I1028" s="1796"/>
      <c r="J1028" s="1796"/>
      <c r="K1028" s="1796"/>
      <c r="L1028" s="1796"/>
      <c r="M1028" s="1796"/>
      <c r="N1028" s="1796"/>
      <c r="O1028" s="1796"/>
      <c r="P1028" s="1796"/>
      <c r="Q1028" s="1796"/>
      <c r="R1028" s="1796"/>
      <c r="S1028" s="1796"/>
      <c r="T1028" s="1796"/>
      <c r="U1028" s="1796"/>
      <c r="V1028" s="1796"/>
      <c r="W1028" s="1796"/>
      <c r="X1028" s="1796"/>
      <c r="Y1028" s="1796"/>
      <c r="Z1028" s="1796"/>
      <c r="AA1028" s="1796"/>
      <c r="AB1028" s="1796"/>
      <c r="AC1028" s="1796"/>
      <c r="AD1028" s="1796"/>
      <c r="AE1028" s="1797"/>
      <c r="AF1028" s="79"/>
      <c r="AG1028" s="1679" t="s">
        <v>554</v>
      </c>
      <c r="AH1028" s="1680"/>
      <c r="AI1028" s="87"/>
      <c r="AJ1028" s="1775">
        <f>ROUND(IF(AG1028="yes",(AJ991*0.1),0),0)</f>
        <v>7482516</v>
      </c>
      <c r="AK1028" s="1776"/>
      <c r="AL1028" s="1776"/>
      <c r="AM1028" s="1776"/>
      <c r="AN1028" s="1776"/>
      <c r="AO1028" s="1776"/>
      <c r="AP1028" s="1776"/>
      <c r="AQ1028" s="1777"/>
      <c r="AR1028" s="68"/>
      <c r="AS1028" s="68"/>
      <c r="AT1028" s="68"/>
      <c r="AU1028" s="68"/>
      <c r="AV1028" s="68"/>
      <c r="AW1028" s="68"/>
      <c r="AX1028" s="68"/>
      <c r="AY1028" s="68"/>
    </row>
    <row r="1029" spans="1:51" ht="12.95" customHeight="1">
      <c r="A1029" s="14"/>
      <c r="B1029" s="73"/>
      <c r="C1029" s="74"/>
      <c r="D1029" s="1670" t="s">
        <v>1406</v>
      </c>
      <c r="E1029" s="1671"/>
      <c r="F1029" s="1671"/>
      <c r="G1029" s="1671"/>
      <c r="H1029" s="1671"/>
      <c r="I1029" s="1671"/>
      <c r="J1029" s="1671"/>
      <c r="K1029" s="1671"/>
      <c r="L1029" s="1671"/>
      <c r="M1029" s="1671"/>
      <c r="N1029" s="1671"/>
      <c r="O1029" s="1671"/>
      <c r="P1029" s="1671"/>
      <c r="Q1029" s="1671"/>
      <c r="R1029" s="1671"/>
      <c r="S1029" s="1671"/>
      <c r="T1029" s="1671"/>
      <c r="U1029" s="1671"/>
      <c r="V1029" s="1671"/>
      <c r="W1029" s="1671"/>
      <c r="X1029" s="1671"/>
      <c r="Y1029" s="1671"/>
      <c r="Z1029" s="1671"/>
      <c r="AA1029" s="1671"/>
      <c r="AB1029" s="1671"/>
      <c r="AC1029" s="1671"/>
      <c r="AD1029" s="1671"/>
      <c r="AE1029" s="1672"/>
      <c r="AF1029" s="73"/>
      <c r="AG1029" s="14"/>
      <c r="AH1029" s="14"/>
      <c r="AI1029" s="83"/>
      <c r="AJ1029" s="1778"/>
      <c r="AK1029" s="1779"/>
      <c r="AL1029" s="1779"/>
      <c r="AM1029" s="1779"/>
      <c r="AN1029" s="1779"/>
      <c r="AO1029" s="1779"/>
      <c r="AP1029" s="1779"/>
      <c r="AQ1029" s="1780"/>
      <c r="AR1029" s="68"/>
      <c r="AS1029" s="68"/>
      <c r="AT1029" s="68"/>
      <c r="AU1029" s="68"/>
      <c r="AV1029" s="68"/>
      <c r="AW1029" s="68"/>
      <c r="AX1029" s="68"/>
      <c r="AY1029" s="68"/>
    </row>
    <row r="1030" spans="1:51" ht="12.95" customHeight="1">
      <c r="A1030" s="14"/>
      <c r="B1030" s="77"/>
      <c r="C1030" s="74"/>
      <c r="D1030" s="1655"/>
      <c r="E1030" s="1656"/>
      <c r="F1030" s="1656"/>
      <c r="G1030" s="1656"/>
      <c r="H1030" s="1656"/>
      <c r="I1030" s="1656"/>
      <c r="J1030" s="1656"/>
      <c r="K1030" s="1656"/>
      <c r="L1030" s="1656"/>
      <c r="M1030" s="1656"/>
      <c r="N1030" s="1656"/>
      <c r="O1030" s="1656"/>
      <c r="P1030" s="1656"/>
      <c r="Q1030" s="1656"/>
      <c r="R1030" s="1656"/>
      <c r="S1030" s="1656"/>
      <c r="T1030" s="1656"/>
      <c r="U1030" s="1656"/>
      <c r="V1030" s="1656"/>
      <c r="W1030" s="1656"/>
      <c r="X1030" s="1656"/>
      <c r="Y1030" s="1656"/>
      <c r="Z1030" s="1656"/>
      <c r="AA1030" s="1656"/>
      <c r="AB1030" s="1656"/>
      <c r="AC1030" s="1656"/>
      <c r="AD1030" s="1656"/>
      <c r="AE1030" s="1657"/>
      <c r="AF1030" s="73"/>
      <c r="AG1030" s="14"/>
      <c r="AH1030" s="14"/>
      <c r="AI1030" s="83"/>
      <c r="AJ1030" s="1781"/>
      <c r="AK1030" s="1782"/>
      <c r="AL1030" s="1782"/>
      <c r="AM1030" s="1782"/>
      <c r="AN1030" s="1782"/>
      <c r="AO1030" s="1782"/>
      <c r="AP1030" s="1782"/>
      <c r="AQ1030" s="1783"/>
      <c r="AR1030" s="68"/>
      <c r="AS1030" s="68"/>
      <c r="AT1030" s="68"/>
      <c r="AU1030" s="68"/>
      <c r="AV1030" s="68"/>
      <c r="AW1030" s="68"/>
      <c r="AX1030" s="68"/>
      <c r="AY1030" s="68"/>
    </row>
    <row r="1031" spans="1:51" ht="12.95" customHeight="1">
      <c r="A1031" s="14"/>
      <c r="B1031" s="73"/>
      <c r="C1031" s="367" t="s">
        <v>697</v>
      </c>
      <c r="D1031" s="1646" t="s">
        <v>1875</v>
      </c>
      <c r="E1031" s="1647"/>
      <c r="F1031" s="1647"/>
      <c r="G1031" s="1647"/>
      <c r="H1031" s="1647"/>
      <c r="I1031" s="1647"/>
      <c r="J1031" s="1647"/>
      <c r="K1031" s="1647"/>
      <c r="L1031" s="1647"/>
      <c r="M1031" s="1647"/>
      <c r="N1031" s="1647"/>
      <c r="O1031" s="1647"/>
      <c r="P1031" s="1647"/>
      <c r="Q1031" s="1647"/>
      <c r="R1031" s="1647"/>
      <c r="S1031" s="1647"/>
      <c r="T1031" s="1647"/>
      <c r="U1031" s="1647"/>
      <c r="V1031" s="1647"/>
      <c r="W1031" s="1647"/>
      <c r="X1031" s="1647"/>
      <c r="Y1031" s="1647"/>
      <c r="Z1031" s="1647"/>
      <c r="AA1031" s="1647"/>
      <c r="AB1031" s="1647"/>
      <c r="AC1031" s="1647"/>
      <c r="AD1031" s="1647"/>
      <c r="AE1031" s="1648"/>
      <c r="AF1031" s="79"/>
      <c r="AG1031" s="1679" t="s">
        <v>678</v>
      </c>
      <c r="AH1031" s="1680"/>
      <c r="AI1031" s="87"/>
      <c r="AJ1031" s="1775">
        <f>ROUND(IF(AG1031="yes",(AJ991*0.15),0),0)</f>
        <v>0</v>
      </c>
      <c r="AK1031" s="1776"/>
      <c r="AL1031" s="1776"/>
      <c r="AM1031" s="1776"/>
      <c r="AN1031" s="1776"/>
      <c r="AO1031" s="1776"/>
      <c r="AP1031" s="1776"/>
      <c r="AQ1031" s="1777"/>
      <c r="AR1031" s="68"/>
      <c r="AS1031" s="68"/>
      <c r="AT1031" s="68"/>
      <c r="AU1031" s="68"/>
      <c r="AV1031" s="68"/>
      <c r="AW1031" s="68"/>
      <c r="AX1031" s="68"/>
      <c r="AY1031" s="68"/>
    </row>
    <row r="1032" spans="1:51" ht="12.95" customHeight="1">
      <c r="A1032" s="14"/>
      <c r="B1032" s="73"/>
      <c r="C1032" s="74"/>
      <c r="D1032" s="1787"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88"/>
      <c r="AF1032" s="950"/>
      <c r="AG1032" s="951"/>
      <c r="AH1032" s="951"/>
      <c r="AI1032" s="952"/>
      <c r="AJ1032" s="1778"/>
      <c r="AK1032" s="1779"/>
      <c r="AL1032" s="1779"/>
      <c r="AM1032" s="1779"/>
      <c r="AN1032" s="1779"/>
      <c r="AO1032" s="1779"/>
      <c r="AP1032" s="1779"/>
      <c r="AQ1032" s="1780"/>
      <c r="AR1032" s="68"/>
      <c r="AS1032" s="68"/>
      <c r="AT1032" s="68"/>
      <c r="AU1032" s="68"/>
      <c r="AV1032" s="68"/>
      <c r="AW1032" s="68"/>
      <c r="AX1032" s="68"/>
      <c r="AY1032" s="68"/>
    </row>
    <row r="1033" spans="1:51" ht="12.95" customHeight="1">
      <c r="A1033" s="14"/>
      <c r="B1033" s="73"/>
      <c r="C1033" s="74"/>
      <c r="D1033" s="178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88"/>
      <c r="AF1033" s="950"/>
      <c r="AG1033" s="951"/>
      <c r="AH1033" s="951"/>
      <c r="AI1033" s="952"/>
      <c r="AJ1033" s="1778"/>
      <c r="AK1033" s="1779"/>
      <c r="AL1033" s="1779"/>
      <c r="AM1033" s="1779"/>
      <c r="AN1033" s="1779"/>
      <c r="AO1033" s="1779"/>
      <c r="AP1033" s="1779"/>
      <c r="AQ1033" s="1780"/>
      <c r="AR1033" s="68"/>
      <c r="AS1033" s="68"/>
      <c r="AT1033" s="68"/>
      <c r="AU1033" s="68"/>
      <c r="AV1033" s="68"/>
      <c r="AW1033" s="68"/>
      <c r="AX1033" s="68"/>
      <c r="AY1033" s="68"/>
    </row>
    <row r="1034" spans="1:51" ht="12.95" customHeight="1">
      <c r="A1034" s="14"/>
      <c r="B1034" s="73"/>
      <c r="C1034" s="74"/>
      <c r="D1034" s="1789"/>
      <c r="E1034" s="1790"/>
      <c r="F1034" s="1790"/>
      <c r="G1034" s="1790"/>
      <c r="H1034" s="1790"/>
      <c r="I1034" s="1790"/>
      <c r="J1034" s="1790"/>
      <c r="K1034" s="1790"/>
      <c r="L1034" s="1790"/>
      <c r="M1034" s="1790"/>
      <c r="N1034" s="1790"/>
      <c r="O1034" s="1790"/>
      <c r="P1034" s="1790"/>
      <c r="Q1034" s="1790"/>
      <c r="R1034" s="1790"/>
      <c r="S1034" s="1790"/>
      <c r="T1034" s="1790"/>
      <c r="U1034" s="1790"/>
      <c r="V1034" s="1790"/>
      <c r="W1034" s="1790"/>
      <c r="X1034" s="1790"/>
      <c r="Y1034" s="1790"/>
      <c r="Z1034" s="1790"/>
      <c r="AA1034" s="1790"/>
      <c r="AB1034" s="1790"/>
      <c r="AC1034" s="1790"/>
      <c r="AD1034" s="1790"/>
      <c r="AE1034" s="1791"/>
      <c r="AF1034" s="953"/>
      <c r="AG1034" s="954"/>
      <c r="AH1034" s="954"/>
      <c r="AI1034" s="955"/>
      <c r="AJ1034" s="1781"/>
      <c r="AK1034" s="1782"/>
      <c r="AL1034" s="1782"/>
      <c r="AM1034" s="1782"/>
      <c r="AN1034" s="1782"/>
      <c r="AO1034" s="1782"/>
      <c r="AP1034" s="1782"/>
      <c r="AQ1034" s="1783"/>
      <c r="AR1034" s="68"/>
      <c r="AS1034" s="68"/>
      <c r="AT1034" s="68"/>
      <c r="AU1034" s="68"/>
      <c r="AV1034" s="68"/>
      <c r="AW1034" s="68"/>
      <c r="AX1034" s="68"/>
      <c r="AY1034" s="68"/>
    </row>
    <row r="1035" spans="1:51" ht="12.95" customHeight="1">
      <c r="A1035" s="14"/>
      <c r="B1035" s="73"/>
      <c r="C1035" s="367" t="s">
        <v>697</v>
      </c>
      <c r="D1035" s="1795" t="s">
        <v>1877</v>
      </c>
      <c r="E1035" s="1796"/>
      <c r="F1035" s="1796"/>
      <c r="G1035" s="1796"/>
      <c r="H1035" s="1796"/>
      <c r="I1035" s="1796"/>
      <c r="J1035" s="1796"/>
      <c r="K1035" s="1796"/>
      <c r="L1035" s="1796"/>
      <c r="M1035" s="1796"/>
      <c r="N1035" s="1796"/>
      <c r="O1035" s="1796"/>
      <c r="P1035" s="1796"/>
      <c r="Q1035" s="1796"/>
      <c r="R1035" s="1796"/>
      <c r="S1035" s="1796"/>
      <c r="T1035" s="1796"/>
      <c r="U1035" s="1796"/>
      <c r="V1035" s="1796"/>
      <c r="W1035" s="1796"/>
      <c r="X1035" s="1796"/>
      <c r="Y1035" s="1796"/>
      <c r="Z1035" s="1796"/>
      <c r="AA1035" s="1796"/>
      <c r="AB1035" s="1796"/>
      <c r="AC1035" s="1796"/>
      <c r="AD1035" s="1796"/>
      <c r="AE1035" s="1797"/>
      <c r="AF1035" s="73"/>
      <c r="AG1035" s="1681" t="s">
        <v>554</v>
      </c>
      <c r="AH1035" s="1682"/>
      <c r="AI1035" s="83"/>
      <c r="AJ1035" s="1775">
        <f>ROUND(IF(AND(AG1035="yes",AJ1031=0),(AJ991*0.1),0),0)</f>
        <v>7482516</v>
      </c>
      <c r="AK1035" s="1776"/>
      <c r="AL1035" s="1776"/>
      <c r="AM1035" s="1776"/>
      <c r="AN1035" s="1776"/>
      <c r="AO1035" s="1776"/>
      <c r="AP1035" s="1776"/>
      <c r="AQ1035" s="1777"/>
      <c r="AR1035" s="68"/>
      <c r="AS1035" s="68"/>
      <c r="AT1035" s="68"/>
      <c r="AU1035" s="68"/>
      <c r="AV1035" s="68"/>
      <c r="AW1035" s="68"/>
      <c r="AX1035" s="68"/>
      <c r="AY1035" s="68"/>
    </row>
    <row r="1036" spans="1:51" ht="12.95" customHeight="1">
      <c r="A1036" s="14"/>
      <c r="B1036" s="73"/>
      <c r="C1036" s="74"/>
      <c r="D1036" s="1787"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88"/>
      <c r="AF1036" s="73"/>
      <c r="AG1036" s="14"/>
      <c r="AH1036" s="14"/>
      <c r="AI1036" s="83"/>
      <c r="AJ1036" s="1778"/>
      <c r="AK1036" s="1779"/>
      <c r="AL1036" s="1779"/>
      <c r="AM1036" s="1779"/>
      <c r="AN1036" s="1779"/>
      <c r="AO1036" s="1779"/>
      <c r="AP1036" s="1779"/>
      <c r="AQ1036" s="1780"/>
      <c r="AR1036" s="68"/>
      <c r="AS1036" s="68"/>
      <c r="AT1036" s="68"/>
      <c r="AU1036" s="68"/>
      <c r="AV1036" s="68"/>
      <c r="AW1036" s="68"/>
      <c r="AX1036" s="68"/>
      <c r="AY1036" s="68"/>
    </row>
    <row r="1037" spans="1:51" ht="12.95" customHeight="1">
      <c r="A1037" s="14"/>
      <c r="B1037" s="73"/>
      <c r="C1037" s="74"/>
      <c r="D1037" s="178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88"/>
      <c r="AF1037" s="73"/>
      <c r="AG1037" s="14"/>
      <c r="AH1037" s="14"/>
      <c r="AI1037" s="83"/>
      <c r="AJ1037" s="1778"/>
      <c r="AK1037" s="1779"/>
      <c r="AL1037" s="1779"/>
      <c r="AM1037" s="1779"/>
      <c r="AN1037" s="1779"/>
      <c r="AO1037" s="1779"/>
      <c r="AP1037" s="1779"/>
      <c r="AQ1037" s="1780"/>
      <c r="AR1037" s="68"/>
      <c r="AS1037" s="68"/>
      <c r="AT1037" s="68"/>
      <c r="AU1037" s="68"/>
      <c r="AV1037" s="68"/>
      <c r="AW1037" s="68"/>
      <c r="AX1037" s="68"/>
      <c r="AY1037" s="68"/>
    </row>
    <row r="1038" spans="1:51" ht="12.95" customHeight="1">
      <c r="A1038" s="14"/>
      <c r="B1038" s="73"/>
      <c r="C1038" s="74"/>
      <c r="D1038" s="178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88"/>
      <c r="AF1038" s="73"/>
      <c r="AG1038" s="14"/>
      <c r="AH1038" s="14"/>
      <c r="AI1038" s="83"/>
      <c r="AJ1038" s="1778"/>
      <c r="AK1038" s="1779"/>
      <c r="AL1038" s="1779"/>
      <c r="AM1038" s="1779"/>
      <c r="AN1038" s="1779"/>
      <c r="AO1038" s="1779"/>
      <c r="AP1038" s="1779"/>
      <c r="AQ1038" s="1780"/>
      <c r="AR1038" s="68"/>
      <c r="AS1038" s="68"/>
      <c r="AT1038" s="68"/>
      <c r="AU1038" s="68"/>
      <c r="AV1038" s="68"/>
      <c r="AW1038" s="68"/>
      <c r="AX1038" s="68"/>
      <c r="AY1038" s="68"/>
    </row>
    <row r="1039" spans="1:51" ht="12.95" customHeight="1">
      <c r="A1039" s="14"/>
      <c r="B1039" s="73"/>
      <c r="C1039" s="74"/>
      <c r="D1039" s="1789"/>
      <c r="E1039" s="1790"/>
      <c r="F1039" s="1790"/>
      <c r="G1039" s="1790"/>
      <c r="H1039" s="1790"/>
      <c r="I1039" s="1790"/>
      <c r="J1039" s="1790"/>
      <c r="K1039" s="1790"/>
      <c r="L1039" s="1790"/>
      <c r="M1039" s="1790"/>
      <c r="N1039" s="1790"/>
      <c r="O1039" s="1790"/>
      <c r="P1039" s="1790"/>
      <c r="Q1039" s="1790"/>
      <c r="R1039" s="1790"/>
      <c r="S1039" s="1790"/>
      <c r="T1039" s="1790"/>
      <c r="U1039" s="1790"/>
      <c r="V1039" s="1790"/>
      <c r="W1039" s="1790"/>
      <c r="X1039" s="1790"/>
      <c r="Y1039" s="1790"/>
      <c r="Z1039" s="1790"/>
      <c r="AA1039" s="1790"/>
      <c r="AB1039" s="1790"/>
      <c r="AC1039" s="1790"/>
      <c r="AD1039" s="1790"/>
      <c r="AE1039" s="1791"/>
      <c r="AF1039" s="73"/>
      <c r="AG1039" s="14"/>
      <c r="AH1039" s="14"/>
      <c r="AI1039" s="83"/>
      <c r="AJ1039" s="1778"/>
      <c r="AK1039" s="1779"/>
      <c r="AL1039" s="1779"/>
      <c r="AM1039" s="1779"/>
      <c r="AN1039" s="1779"/>
      <c r="AO1039" s="1779"/>
      <c r="AP1039" s="1779"/>
      <c r="AQ1039" s="1780"/>
      <c r="AR1039" s="68"/>
      <c r="AS1039" s="68"/>
      <c r="AT1039" s="68"/>
      <c r="AU1039" s="68"/>
      <c r="AV1039" s="68"/>
      <c r="AW1039" s="68"/>
      <c r="AX1039" s="68"/>
      <c r="AY1039" s="68"/>
    </row>
    <row r="1040" spans="1:51" ht="12.95" customHeight="1">
      <c r="A1040" s="14"/>
      <c r="B1040" s="79"/>
      <c r="C1040" s="131" t="s">
        <v>1035</v>
      </c>
      <c r="D1040" s="1646" t="s">
        <v>1407</v>
      </c>
      <c r="E1040" s="1647"/>
      <c r="F1040" s="1647"/>
      <c r="G1040" s="1647"/>
      <c r="H1040" s="1647"/>
      <c r="I1040" s="1647"/>
      <c r="J1040" s="1647"/>
      <c r="K1040" s="1647"/>
      <c r="L1040" s="1647"/>
      <c r="M1040" s="1647"/>
      <c r="N1040" s="1647"/>
      <c r="O1040" s="1647"/>
      <c r="P1040" s="1647"/>
      <c r="Q1040" s="1647"/>
      <c r="R1040" s="1647"/>
      <c r="S1040" s="1647"/>
      <c r="T1040" s="1647"/>
      <c r="U1040" s="1647"/>
      <c r="V1040" s="1647"/>
      <c r="W1040" s="1647"/>
      <c r="X1040" s="1647"/>
      <c r="Y1040" s="1647"/>
      <c r="Z1040" s="1647"/>
      <c r="AA1040" s="1647"/>
      <c r="AB1040" s="1647"/>
      <c r="AC1040" s="1647"/>
      <c r="AD1040" s="1647"/>
      <c r="AE1040" s="1648"/>
      <c r="AF1040" s="79"/>
      <c r="AG1040" s="1679" t="s">
        <v>678</v>
      </c>
      <c r="AH1040" s="1680"/>
      <c r="AI1040" s="87"/>
      <c r="AJ1040" s="1775">
        <f>ROUND(IF(AG1040="yes",(AJ991*0.1),0),0)</f>
        <v>0</v>
      </c>
      <c r="AK1040" s="1776"/>
      <c r="AL1040" s="1776"/>
      <c r="AM1040" s="1776"/>
      <c r="AN1040" s="1776"/>
      <c r="AO1040" s="1776"/>
      <c r="AP1040" s="1776"/>
      <c r="AQ1040" s="1777"/>
      <c r="AR1040" s="68"/>
      <c r="AS1040" s="68"/>
      <c r="AT1040" s="68"/>
      <c r="AU1040" s="68"/>
      <c r="AV1040" s="68"/>
      <c r="AW1040" s="68"/>
      <c r="AX1040" s="68"/>
      <c r="AY1040" s="68"/>
    </row>
    <row r="1041" spans="1:51" ht="12.95" customHeight="1">
      <c r="A1041" s="14"/>
      <c r="B1041" s="73"/>
      <c r="C1041" s="74"/>
      <c r="D1041" s="1670" t="s">
        <v>2503</v>
      </c>
      <c r="E1041" s="1671"/>
      <c r="F1041" s="1671"/>
      <c r="G1041" s="1671"/>
      <c r="H1041" s="1671"/>
      <c r="I1041" s="1671"/>
      <c r="J1041" s="1671"/>
      <c r="K1041" s="1671"/>
      <c r="L1041" s="1671"/>
      <c r="M1041" s="1671"/>
      <c r="N1041" s="1671"/>
      <c r="O1041" s="1671"/>
      <c r="P1041" s="1671"/>
      <c r="Q1041" s="1671"/>
      <c r="R1041" s="1671"/>
      <c r="S1041" s="1671"/>
      <c r="T1041" s="1671"/>
      <c r="U1041" s="1671"/>
      <c r="V1041" s="1671"/>
      <c r="W1041" s="1671"/>
      <c r="X1041" s="1671"/>
      <c r="Y1041" s="1671"/>
      <c r="Z1041" s="1671"/>
      <c r="AA1041" s="1671"/>
      <c r="AB1041" s="1671"/>
      <c r="AC1041" s="1671"/>
      <c r="AD1041" s="1671"/>
      <c r="AE1041" s="1672"/>
      <c r="AF1041" s="73"/>
      <c r="AG1041" s="14"/>
      <c r="AH1041" s="14"/>
      <c r="AI1041" s="83"/>
      <c r="AJ1041" s="1778"/>
      <c r="AK1041" s="1779"/>
      <c r="AL1041" s="1779"/>
      <c r="AM1041" s="1779"/>
      <c r="AN1041" s="1779"/>
      <c r="AO1041" s="1779"/>
      <c r="AP1041" s="1779"/>
      <c r="AQ1041" s="1780"/>
      <c r="AR1041" s="68"/>
      <c r="AS1041" s="68"/>
      <c r="AT1041" s="68"/>
      <c r="AU1041" s="68"/>
      <c r="AV1041" s="68"/>
      <c r="AW1041" s="68"/>
      <c r="AX1041" s="68"/>
      <c r="AY1041" s="68"/>
    </row>
    <row r="1042" spans="1:51" ht="12.95" customHeight="1">
      <c r="A1042" s="14"/>
      <c r="B1042" s="73"/>
      <c r="C1042" s="74"/>
      <c r="D1042" s="1670"/>
      <c r="E1042" s="1671"/>
      <c r="F1042" s="1671"/>
      <c r="G1042" s="1671"/>
      <c r="H1042" s="1671"/>
      <c r="I1042" s="1671"/>
      <c r="J1042" s="1671"/>
      <c r="K1042" s="1671"/>
      <c r="L1042" s="1671"/>
      <c r="M1042" s="1671"/>
      <c r="N1042" s="1671"/>
      <c r="O1042" s="1671"/>
      <c r="P1042" s="1671"/>
      <c r="Q1042" s="1671"/>
      <c r="R1042" s="1671"/>
      <c r="S1042" s="1671"/>
      <c r="T1042" s="1671"/>
      <c r="U1042" s="1671"/>
      <c r="V1042" s="1671"/>
      <c r="W1042" s="1671"/>
      <c r="X1042" s="1671"/>
      <c r="Y1042" s="1671"/>
      <c r="Z1042" s="1671"/>
      <c r="AA1042" s="1671"/>
      <c r="AB1042" s="1671"/>
      <c r="AC1042" s="1671"/>
      <c r="AD1042" s="1671"/>
      <c r="AE1042" s="1672"/>
      <c r="AF1042" s="73"/>
      <c r="AG1042" s="14"/>
      <c r="AH1042" s="14"/>
      <c r="AI1042" s="83"/>
      <c r="AJ1042" s="1778"/>
      <c r="AK1042" s="1779"/>
      <c r="AL1042" s="1779"/>
      <c r="AM1042" s="1779"/>
      <c r="AN1042" s="1779"/>
      <c r="AO1042" s="1779"/>
      <c r="AP1042" s="1779"/>
      <c r="AQ1042" s="1780"/>
      <c r="AR1042" s="68"/>
      <c r="AS1042" s="68"/>
      <c r="AT1042" s="68"/>
      <c r="AU1042" s="68"/>
      <c r="AV1042" s="68"/>
      <c r="AW1042" s="68"/>
      <c r="AX1042" s="68"/>
      <c r="AY1042" s="68"/>
    </row>
    <row r="1043" spans="1:51" ht="12.95" customHeight="1">
      <c r="A1043" s="14"/>
      <c r="B1043" s="73"/>
      <c r="C1043" s="74"/>
      <c r="D1043" s="1655"/>
      <c r="E1043" s="1656"/>
      <c r="F1043" s="1656"/>
      <c r="G1043" s="1656"/>
      <c r="H1043" s="1656"/>
      <c r="I1043" s="1656"/>
      <c r="J1043" s="1656"/>
      <c r="K1043" s="1656"/>
      <c r="L1043" s="1656"/>
      <c r="M1043" s="1656"/>
      <c r="N1043" s="1656"/>
      <c r="O1043" s="1656"/>
      <c r="P1043" s="1656"/>
      <c r="Q1043" s="1656"/>
      <c r="R1043" s="1656"/>
      <c r="S1043" s="1656"/>
      <c r="T1043" s="1656"/>
      <c r="U1043" s="1656"/>
      <c r="V1043" s="1656"/>
      <c r="W1043" s="1656"/>
      <c r="X1043" s="1656"/>
      <c r="Y1043" s="1656"/>
      <c r="Z1043" s="1656"/>
      <c r="AA1043" s="1656"/>
      <c r="AB1043" s="1656"/>
      <c r="AC1043" s="1656"/>
      <c r="AD1043" s="1656"/>
      <c r="AE1043" s="1657"/>
      <c r="AF1043" s="73"/>
      <c r="AG1043" s="14"/>
      <c r="AH1043" s="14"/>
      <c r="AI1043" s="83"/>
      <c r="AJ1043" s="1781"/>
      <c r="AK1043" s="1782"/>
      <c r="AL1043" s="1782"/>
      <c r="AM1043" s="1782"/>
      <c r="AN1043" s="1782"/>
      <c r="AO1043" s="1782"/>
      <c r="AP1043" s="1782"/>
      <c r="AQ1043" s="1783"/>
      <c r="AR1043" s="68"/>
      <c r="AS1043" s="68"/>
      <c r="AT1043" s="68"/>
      <c r="AU1043" s="68"/>
      <c r="AV1043" s="68"/>
      <c r="AW1043" s="68"/>
      <c r="AX1043" s="68"/>
      <c r="AY1043" s="68"/>
    </row>
    <row r="1044" spans="1:51" ht="12.95" customHeight="1">
      <c r="A1044" s="14"/>
      <c r="B1044" s="79"/>
      <c r="C1044" s="131" t="s">
        <v>1873</v>
      </c>
      <c r="D1044" s="1795" t="s">
        <v>2055</v>
      </c>
      <c r="E1044" s="1796"/>
      <c r="F1044" s="1796"/>
      <c r="G1044" s="1796"/>
      <c r="H1044" s="1796"/>
      <c r="I1044" s="1796"/>
      <c r="J1044" s="1796"/>
      <c r="K1044" s="1796"/>
      <c r="L1044" s="1796"/>
      <c r="M1044" s="1796"/>
      <c r="N1044" s="1796"/>
      <c r="O1044" s="1796"/>
      <c r="P1044" s="1796"/>
      <c r="Q1044" s="1796"/>
      <c r="R1044" s="1796"/>
      <c r="S1044" s="1796"/>
      <c r="T1044" s="1796"/>
      <c r="U1044" s="1796"/>
      <c r="V1044" s="1796"/>
      <c r="W1044" s="1796"/>
      <c r="X1044" s="1796"/>
      <c r="Y1044" s="1796"/>
      <c r="Z1044" s="1796"/>
      <c r="AA1044" s="1796"/>
      <c r="AB1044" s="1796"/>
      <c r="AC1044" s="1796"/>
      <c r="AD1044" s="1796"/>
      <c r="AE1044" s="1797"/>
      <c r="AF1044" s="79"/>
      <c r="AG1044" s="1677" t="str">
        <f>IF(X1047&gt;0,"Yes","No")</f>
        <v>Yes</v>
      </c>
      <c r="AH1044" s="1678"/>
      <c r="AI1044" s="87"/>
      <c r="AJ1044" s="1775">
        <f>IF((X1047=0),0,AY1004*AJ991)</f>
        <v>7482516.4000000004</v>
      </c>
      <c r="AK1044" s="1776"/>
      <c r="AL1044" s="1776"/>
      <c r="AM1044" s="1776"/>
      <c r="AN1044" s="1776"/>
      <c r="AO1044" s="1776"/>
      <c r="AP1044" s="1776"/>
      <c r="AQ1044" s="1777"/>
      <c r="AR1044" s="68"/>
      <c r="AS1044" s="68"/>
      <c r="AT1044" s="68"/>
      <c r="AU1044" s="68"/>
      <c r="AV1044" s="68"/>
      <c r="AW1044" s="68"/>
      <c r="AX1044" s="68"/>
      <c r="AY1044" s="68"/>
    </row>
    <row r="1045" spans="1:51" ht="12.95" customHeight="1">
      <c r="A1045" s="14"/>
      <c r="B1045" s="73"/>
      <c r="C1045" s="476"/>
      <c r="D1045" s="1670" t="s">
        <v>1409</v>
      </c>
      <c r="E1045" s="1671"/>
      <c r="F1045" s="1671"/>
      <c r="G1045" s="1671"/>
      <c r="H1045" s="1671"/>
      <c r="I1045" s="1671"/>
      <c r="J1045" s="1671"/>
      <c r="K1045" s="1671"/>
      <c r="L1045" s="1671"/>
      <c r="M1045" s="1671"/>
      <c r="N1045" s="1671"/>
      <c r="O1045" s="1671"/>
      <c r="P1045" s="1671"/>
      <c r="Q1045" s="1671"/>
      <c r="R1045" s="1671"/>
      <c r="S1045" s="1671"/>
      <c r="T1045" s="1671"/>
      <c r="U1045" s="1671"/>
      <c r="V1045" s="1671"/>
      <c r="W1045" s="1671"/>
      <c r="X1045" s="1671"/>
      <c r="Y1045" s="1671"/>
      <c r="Z1045" s="1671"/>
      <c r="AA1045" s="1671"/>
      <c r="AB1045" s="1671"/>
      <c r="AC1045" s="1671"/>
      <c r="AD1045" s="1671"/>
      <c r="AE1045" s="1672"/>
      <c r="AF1045" s="73"/>
      <c r="AG1045" s="477"/>
      <c r="AH1045" s="477"/>
      <c r="AI1045" s="83"/>
      <c r="AJ1045" s="1778"/>
      <c r="AK1045" s="1779"/>
      <c r="AL1045" s="1779"/>
      <c r="AM1045" s="1779"/>
      <c r="AN1045" s="1779"/>
      <c r="AO1045" s="1779"/>
      <c r="AP1045" s="1779"/>
      <c r="AQ1045" s="1780"/>
      <c r="AR1045" s="68"/>
      <c r="AS1045" s="68"/>
      <c r="AT1045" s="68"/>
      <c r="AU1045" s="13"/>
      <c r="AV1045" s="68"/>
      <c r="AW1045" s="68"/>
      <c r="AX1045" s="68"/>
      <c r="AY1045" s="68"/>
    </row>
    <row r="1046" spans="1:51" ht="12.95" customHeight="1">
      <c r="A1046" s="14"/>
      <c r="B1046" s="73"/>
      <c r="C1046" s="476"/>
      <c r="D1046" s="1670"/>
      <c r="E1046" s="1671"/>
      <c r="F1046" s="1671"/>
      <c r="G1046" s="1671"/>
      <c r="H1046" s="1671"/>
      <c r="I1046" s="1671"/>
      <c r="J1046" s="1671"/>
      <c r="K1046" s="1671"/>
      <c r="L1046" s="1671"/>
      <c r="M1046" s="1671"/>
      <c r="N1046" s="1671"/>
      <c r="O1046" s="1671"/>
      <c r="P1046" s="1671"/>
      <c r="Q1046" s="1671"/>
      <c r="R1046" s="1671"/>
      <c r="S1046" s="1671"/>
      <c r="T1046" s="1671"/>
      <c r="U1046" s="1671"/>
      <c r="V1046" s="1671"/>
      <c r="W1046" s="1671"/>
      <c r="X1046" s="1671"/>
      <c r="Y1046" s="1671"/>
      <c r="Z1046" s="1671"/>
      <c r="AA1046" s="1671"/>
      <c r="AB1046" s="1671"/>
      <c r="AC1046" s="1671"/>
      <c r="AD1046" s="1671"/>
      <c r="AE1046" s="1672"/>
      <c r="AF1046" s="73"/>
      <c r="AG1046" s="477"/>
      <c r="AH1046" s="477"/>
      <c r="AI1046" s="83"/>
      <c r="AJ1046" s="1778"/>
      <c r="AK1046" s="1779"/>
      <c r="AL1046" s="1779"/>
      <c r="AM1046" s="1779"/>
      <c r="AN1046" s="1779"/>
      <c r="AO1046" s="1779"/>
      <c r="AP1046" s="1779"/>
      <c r="AQ1046" s="1780"/>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75">
        <f>AY1002</f>
        <v>121</v>
      </c>
      <c r="J1047" s="1676"/>
      <c r="K1047" s="7"/>
      <c r="L1047" s="133"/>
      <c r="M1047" s="133"/>
      <c r="N1047" s="133"/>
      <c r="O1047" s="133"/>
      <c r="P1047" s="133"/>
      <c r="Q1047" s="133"/>
      <c r="R1047" s="133"/>
      <c r="S1047" s="133"/>
      <c r="T1047" s="133"/>
      <c r="U1047" s="133"/>
      <c r="V1047" s="134" t="s">
        <v>993</v>
      </c>
      <c r="W1047" s="48"/>
      <c r="X1047" s="1673">
        <f>BG632</f>
        <v>13</v>
      </c>
      <c r="Y1047" s="1674"/>
      <c r="Z1047" s="48"/>
      <c r="AA1047" s="48"/>
      <c r="AB1047" s="48"/>
      <c r="AC1047" s="48"/>
      <c r="AD1047" s="48"/>
      <c r="AE1047" s="49"/>
      <c r="AF1047" s="959"/>
      <c r="AG1047" s="960"/>
      <c r="AH1047" s="960"/>
      <c r="AI1047" s="961"/>
      <c r="AJ1047" s="1781"/>
      <c r="AK1047" s="1782"/>
      <c r="AL1047" s="1782"/>
      <c r="AM1047" s="1782"/>
      <c r="AN1047" s="1782"/>
      <c r="AO1047" s="1782"/>
      <c r="AP1047" s="1782"/>
      <c r="AQ1047" s="1783"/>
      <c r="AR1047" s="68"/>
      <c r="AS1047" s="68"/>
      <c r="AT1047" s="68"/>
      <c r="AU1047" s="14"/>
      <c r="AV1047" s="68"/>
      <c r="AW1047" s="68"/>
      <c r="AX1047" s="68"/>
      <c r="AY1047" s="68"/>
    </row>
    <row r="1048" spans="1:51" ht="12.95" customHeight="1">
      <c r="A1048" s="14"/>
      <c r="B1048" s="79"/>
      <c r="C1048" s="131" t="s">
        <v>1874</v>
      </c>
      <c r="D1048" s="1646" t="s">
        <v>2532</v>
      </c>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8"/>
      <c r="AF1048" s="73"/>
      <c r="AG1048" s="1677" t="str">
        <f>IF(X1051&gt;0,"Yes","No")</f>
        <v>Yes</v>
      </c>
      <c r="AH1048" s="1678"/>
      <c r="AI1048" s="83"/>
      <c r="AJ1048" s="1775">
        <f>IF((X1051=0),0,(2*AY1005)*AJ991)</f>
        <v>14965032.800000001</v>
      </c>
      <c r="AK1048" s="1776"/>
      <c r="AL1048" s="1776"/>
      <c r="AM1048" s="1776"/>
      <c r="AN1048" s="1776"/>
      <c r="AO1048" s="1776"/>
      <c r="AP1048" s="1776"/>
      <c r="AQ1048" s="1777"/>
      <c r="AR1048" s="68"/>
      <c r="AS1048" s="68"/>
      <c r="AT1048" s="68"/>
      <c r="AU1048" s="14"/>
      <c r="AV1048" s="68"/>
      <c r="AW1048" s="68"/>
      <c r="AX1048" s="68"/>
      <c r="AY1048" s="68"/>
    </row>
    <row r="1049" spans="1:51" ht="12.95" customHeight="1">
      <c r="A1049" s="14"/>
      <c r="B1049" s="73"/>
      <c r="C1049" s="476"/>
      <c r="D1049" s="1670" t="s">
        <v>1408</v>
      </c>
      <c r="E1049" s="1671"/>
      <c r="F1049" s="1671"/>
      <c r="G1049" s="1671"/>
      <c r="H1049" s="1671"/>
      <c r="I1049" s="1671"/>
      <c r="J1049" s="1671"/>
      <c r="K1049" s="1671"/>
      <c r="L1049" s="1671"/>
      <c r="M1049" s="1671"/>
      <c r="N1049" s="1671"/>
      <c r="O1049" s="1671"/>
      <c r="P1049" s="1671"/>
      <c r="Q1049" s="1671"/>
      <c r="R1049" s="1671"/>
      <c r="S1049" s="1671"/>
      <c r="T1049" s="1671"/>
      <c r="U1049" s="1671"/>
      <c r="V1049" s="1671"/>
      <c r="W1049" s="1671"/>
      <c r="X1049" s="1671"/>
      <c r="Y1049" s="1671"/>
      <c r="Z1049" s="1671"/>
      <c r="AA1049" s="1671"/>
      <c r="AB1049" s="1671"/>
      <c r="AC1049" s="1671"/>
      <c r="AD1049" s="1671"/>
      <c r="AE1049" s="1672"/>
      <c r="AF1049" s="73"/>
      <c r="AG1049" s="477"/>
      <c r="AH1049" s="477"/>
      <c r="AI1049" s="83"/>
      <c r="AJ1049" s="1778"/>
      <c r="AK1049" s="1779"/>
      <c r="AL1049" s="1779"/>
      <c r="AM1049" s="1779"/>
      <c r="AN1049" s="1779"/>
      <c r="AO1049" s="1779"/>
      <c r="AP1049" s="1779"/>
      <c r="AQ1049" s="1780"/>
      <c r="AR1049" s="68"/>
      <c r="AS1049" s="68"/>
      <c r="AT1049" s="68"/>
      <c r="AU1049" s="68"/>
      <c r="AV1049" s="68"/>
      <c r="AW1049" s="68"/>
      <c r="AX1049" s="68"/>
      <c r="AY1049" s="68"/>
    </row>
    <row r="1050" spans="1:51" ht="12.95" customHeight="1">
      <c r="A1050" s="14"/>
      <c r="B1050" s="73"/>
      <c r="C1050" s="83"/>
      <c r="D1050" s="1670"/>
      <c r="E1050" s="1671"/>
      <c r="F1050" s="1671"/>
      <c r="G1050" s="1671"/>
      <c r="H1050" s="1671"/>
      <c r="I1050" s="1671"/>
      <c r="J1050" s="1671"/>
      <c r="K1050" s="1671"/>
      <c r="L1050" s="1671"/>
      <c r="M1050" s="1671"/>
      <c r="N1050" s="1671"/>
      <c r="O1050" s="1671"/>
      <c r="P1050" s="1671"/>
      <c r="Q1050" s="1671"/>
      <c r="R1050" s="1671"/>
      <c r="S1050" s="1671"/>
      <c r="T1050" s="1671"/>
      <c r="U1050" s="1671"/>
      <c r="V1050" s="1671"/>
      <c r="W1050" s="1671"/>
      <c r="X1050" s="1671"/>
      <c r="Y1050" s="1671"/>
      <c r="Z1050" s="1671"/>
      <c r="AA1050" s="1671"/>
      <c r="AB1050" s="1671"/>
      <c r="AC1050" s="1671"/>
      <c r="AD1050" s="1671"/>
      <c r="AE1050" s="1672"/>
      <c r="AF1050" s="956"/>
      <c r="AG1050" s="957"/>
      <c r="AH1050" s="957"/>
      <c r="AI1050" s="958"/>
      <c r="AJ1050" s="1778"/>
      <c r="AK1050" s="1779"/>
      <c r="AL1050" s="1779"/>
      <c r="AM1050" s="1779"/>
      <c r="AN1050" s="1779"/>
      <c r="AO1050" s="1779"/>
      <c r="AP1050" s="1779"/>
      <c r="AQ1050" s="1780"/>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75">
        <f>AY1002</f>
        <v>121</v>
      </c>
      <c r="J1051" s="1676"/>
      <c r="K1051" s="14"/>
      <c r="L1051" s="133"/>
      <c r="M1051" s="133"/>
      <c r="N1051" s="133"/>
      <c r="O1051" s="133"/>
      <c r="P1051" s="133"/>
      <c r="Q1051" s="133"/>
      <c r="R1051" s="133"/>
      <c r="S1051" s="133"/>
      <c r="T1051" s="133"/>
      <c r="U1051" s="133"/>
      <c r="V1051" s="134" t="s">
        <v>994</v>
      </c>
      <c r="X1051" s="1673">
        <f>BK632</f>
        <v>13</v>
      </c>
      <c r="Y1051" s="1674"/>
      <c r="AF1051" s="959"/>
      <c r="AG1051" s="960"/>
      <c r="AH1051" s="960"/>
      <c r="AI1051" s="961"/>
      <c r="AJ1051" s="1781"/>
      <c r="AK1051" s="1782"/>
      <c r="AL1051" s="1782"/>
      <c r="AM1051" s="1782"/>
      <c r="AN1051" s="1782"/>
      <c r="AO1051" s="1782"/>
      <c r="AP1051" s="1782"/>
      <c r="AQ1051" s="1783"/>
      <c r="AR1051" s="68"/>
      <c r="AS1051" s="68"/>
      <c r="AT1051" s="68"/>
      <c r="AU1051" s="68"/>
      <c r="AV1051" s="68"/>
      <c r="AW1051" s="68"/>
      <c r="AX1051" s="68"/>
      <c r="AY1051" s="68"/>
    </row>
    <row r="1052" spans="1:51" ht="12.95" customHeight="1">
      <c r="A1052" s="14"/>
      <c r="B1052" s="102"/>
      <c r="C1052" s="103"/>
      <c r="D1052" s="1668" t="s">
        <v>522</v>
      </c>
      <c r="E1052" s="1668"/>
      <c r="F1052" s="1668"/>
      <c r="G1052" s="1668"/>
      <c r="H1052" s="1668"/>
      <c r="I1052" s="1668"/>
      <c r="J1052" s="1668"/>
      <c r="K1052" s="1668"/>
      <c r="L1052" s="1668"/>
      <c r="M1052" s="1668"/>
      <c r="N1052" s="1668"/>
      <c r="O1052" s="1668"/>
      <c r="P1052" s="1668"/>
      <c r="Q1052" s="1668"/>
      <c r="R1052" s="1668"/>
      <c r="S1052" s="1668"/>
      <c r="T1052" s="1668"/>
      <c r="U1052" s="1668"/>
      <c r="V1052" s="1668"/>
      <c r="W1052" s="1668"/>
      <c r="X1052" s="1668"/>
      <c r="Y1052" s="1668"/>
      <c r="Z1052" s="1668"/>
      <c r="AA1052" s="1668"/>
      <c r="AB1052" s="1668"/>
      <c r="AC1052" s="1668"/>
      <c r="AD1052" s="1668"/>
      <c r="AE1052" s="1668"/>
      <c r="AF1052" s="1668"/>
      <c r="AG1052" s="1668"/>
      <c r="AH1052" s="1668"/>
      <c r="AI1052" s="1669"/>
      <c r="AJ1052" s="1784">
        <f>SUM(AJ991:AQ1051)</f>
        <v>129222008.48</v>
      </c>
      <c r="AK1052" s="1785"/>
      <c r="AL1052" s="1785"/>
      <c r="AM1052" s="1785"/>
      <c r="AN1052" s="1785"/>
      <c r="AO1052" s="1785"/>
      <c r="AP1052" s="1785"/>
      <c r="AQ1052" s="178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600</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554</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600</v>
      </c>
      <c r="B1076" s="1418"/>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600</v>
      </c>
      <c r="B1086" s="1418"/>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600</v>
      </c>
      <c r="B1098" s="141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7" workbookViewId="0">
      <selection activeCell="E75" sqref="E7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1)Rose Community Capital, LLC</v>
      </c>
      <c r="G2" s="139" t="str">
        <f>Application!B628&amp;Application!C628</f>
        <v>2)Community Builders Group</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2442000</v>
      </c>
      <c r="C4" s="147">
        <v>2442000</v>
      </c>
      <c r="D4" s="147"/>
      <c r="E4" s="147">
        <f>C4</f>
        <v>2442000</v>
      </c>
      <c r="F4" s="147"/>
      <c r="G4" s="147"/>
      <c r="H4" s="147"/>
      <c r="I4" s="147"/>
      <c r="J4" s="147"/>
      <c r="K4" s="147"/>
      <c r="L4" s="147"/>
      <c r="M4" s="147"/>
      <c r="N4" s="147"/>
      <c r="O4" s="147"/>
      <c r="P4" s="147"/>
      <c r="Q4" s="147"/>
      <c r="R4" s="550">
        <f>SUM(E4:Q4)</f>
        <v>2442000</v>
      </c>
      <c r="S4" s="148"/>
      <c r="T4" s="148"/>
      <c r="U4" s="143"/>
    </row>
    <row r="5" spans="1:21" s="144" customFormat="1">
      <c r="A5" s="145" t="s">
        <v>28</v>
      </c>
      <c r="B5" s="146">
        <f>SUM(C5+D5)</f>
        <v>240900</v>
      </c>
      <c r="C5" s="147">
        <v>240900</v>
      </c>
      <c r="D5" s="147"/>
      <c r="E5" s="147">
        <f>C5</f>
        <v>240900</v>
      </c>
      <c r="F5" s="147"/>
      <c r="G5" s="147"/>
      <c r="H5" s="147"/>
      <c r="I5" s="147"/>
      <c r="J5" s="147"/>
      <c r="K5" s="147"/>
      <c r="L5" s="147"/>
      <c r="M5" s="147"/>
      <c r="N5" s="147"/>
      <c r="O5" s="147"/>
      <c r="P5" s="147"/>
      <c r="Q5" s="147"/>
      <c r="R5" s="550">
        <f>SUM(E5:Q5)</f>
        <v>240900</v>
      </c>
      <c r="S5" s="148"/>
      <c r="T5" s="148"/>
      <c r="U5" s="143"/>
    </row>
    <row r="6" spans="1:21" s="144" customFormat="1">
      <c r="A6" s="145" t="s">
        <v>29</v>
      </c>
      <c r="B6" s="146">
        <f>SUM(C6+D6)</f>
        <v>380000</v>
      </c>
      <c r="C6" s="147">
        <v>380000</v>
      </c>
      <c r="D6" s="147"/>
      <c r="E6" s="147">
        <f>C6</f>
        <v>380000</v>
      </c>
      <c r="F6" s="147"/>
      <c r="G6" s="147"/>
      <c r="H6" s="147"/>
      <c r="I6" s="147"/>
      <c r="J6" s="147"/>
      <c r="K6" s="147"/>
      <c r="L6" s="147"/>
      <c r="M6" s="147"/>
      <c r="N6" s="147"/>
      <c r="O6" s="147"/>
      <c r="P6" s="147"/>
      <c r="Q6" s="147"/>
      <c r="R6" s="550">
        <f>SUM(E6:Q6)</f>
        <v>380000</v>
      </c>
      <c r="S6" s="148"/>
      <c r="T6" s="148"/>
      <c r="U6" s="143"/>
    </row>
    <row r="7" spans="1:21" s="144" customFormat="1">
      <c r="A7" s="145" t="s">
        <v>97</v>
      </c>
      <c r="B7" s="146">
        <f>SUM(C7+D7)</f>
        <v>0</v>
      </c>
      <c r="C7" s="147">
        <v>0</v>
      </c>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3062900</v>
      </c>
      <c r="C8" s="146">
        <f t="shared" ref="C8:Q8" si="0">SUM(C4:C7)</f>
        <v>3062900</v>
      </c>
      <c r="D8" s="146">
        <f t="shared" si="0"/>
        <v>0</v>
      </c>
      <c r="E8" s="146">
        <f t="shared" si="0"/>
        <v>3062900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3062900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1056700</v>
      </c>
      <c r="C10" s="147">
        <v>1056700</v>
      </c>
      <c r="D10" s="147"/>
      <c r="E10" s="147">
        <v>1056700</v>
      </c>
      <c r="F10" s="147"/>
      <c r="G10" s="147"/>
      <c r="H10" s="147"/>
      <c r="I10" s="147"/>
      <c r="J10" s="147"/>
      <c r="K10" s="147"/>
      <c r="L10" s="147"/>
      <c r="M10" s="147"/>
      <c r="N10" s="147"/>
      <c r="O10" s="147"/>
      <c r="P10" s="147"/>
      <c r="Q10" s="147"/>
      <c r="R10" s="550">
        <f>SUM(E10:Q10)</f>
        <v>1056700</v>
      </c>
      <c r="S10" s="147"/>
      <c r="T10" s="147"/>
      <c r="U10" s="143"/>
    </row>
    <row r="11" spans="1:21" s="144" customFormat="1">
      <c r="A11" s="149" t="s">
        <v>605</v>
      </c>
      <c r="B11" s="146">
        <f>SUM(C11:D11)</f>
        <v>1056700</v>
      </c>
      <c r="C11" s="146">
        <f t="shared" ref="C11:Q11" si="1">SUM(C9:C10)</f>
        <v>1056700</v>
      </c>
      <c r="D11" s="146">
        <f t="shared" si="1"/>
        <v>0</v>
      </c>
      <c r="E11" s="146">
        <f t="shared" si="1"/>
        <v>1056700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1056700</v>
      </c>
      <c r="S11" s="148"/>
      <c r="T11" s="150">
        <f>SUM(T9:T10)</f>
        <v>0</v>
      </c>
      <c r="U11" s="143"/>
    </row>
    <row r="12" spans="1:21" s="144" customFormat="1">
      <c r="A12" s="149" t="s">
        <v>84</v>
      </c>
      <c r="B12" s="146">
        <f t="shared" ref="B12:Q12" si="2">SUM(B8+B11)</f>
        <v>4119600</v>
      </c>
      <c r="C12" s="146">
        <f t="shared" si="2"/>
        <v>4119600</v>
      </c>
      <c r="D12" s="146">
        <f t="shared" si="2"/>
        <v>0</v>
      </c>
      <c r="E12" s="146">
        <f t="shared" si="2"/>
        <v>4119600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4119600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48696325</v>
      </c>
      <c r="C30" s="147">
        <v>48696325</v>
      </c>
      <c r="D30" s="147"/>
      <c r="E30" s="147">
        <f>B30-F30-G30-H30-I30</f>
        <v>630890</v>
      </c>
      <c r="F30" s="147">
        <v>48065435</v>
      </c>
      <c r="G30" s="147"/>
      <c r="H30" s="147"/>
      <c r="I30" s="147"/>
      <c r="J30" s="147"/>
      <c r="K30" s="147"/>
      <c r="L30" s="147"/>
      <c r="M30" s="147"/>
      <c r="N30" s="147"/>
      <c r="O30" s="147"/>
      <c r="P30" s="147"/>
      <c r="Q30" s="147"/>
      <c r="R30" s="550">
        <f t="shared" si="7"/>
        <v>48696325</v>
      </c>
      <c r="S30" s="147">
        <f>C30</f>
        <v>48696325</v>
      </c>
      <c r="T30" s="147"/>
      <c r="U30" s="143"/>
    </row>
    <row r="31" spans="1:21" s="144" customFormat="1">
      <c r="A31" s="145" t="s">
        <v>609</v>
      </c>
      <c r="B31" s="146">
        <f t="shared" si="6"/>
        <v>2921780</v>
      </c>
      <c r="C31" s="147">
        <v>2921780</v>
      </c>
      <c r="D31" s="147"/>
      <c r="E31" s="147">
        <f>C31</f>
        <v>2921780</v>
      </c>
      <c r="F31" s="147"/>
      <c r="G31" s="147"/>
      <c r="H31" s="147"/>
      <c r="I31" s="147"/>
      <c r="J31" s="147"/>
      <c r="K31" s="147"/>
      <c r="L31" s="147"/>
      <c r="M31" s="147"/>
      <c r="N31" s="147"/>
      <c r="O31" s="147"/>
      <c r="P31" s="147"/>
      <c r="Q31" s="147"/>
      <c r="R31" s="550">
        <f t="shared" si="7"/>
        <v>2921780</v>
      </c>
      <c r="S31" s="147">
        <f>C31</f>
        <v>2921780</v>
      </c>
      <c r="T31" s="147"/>
      <c r="U31" s="143"/>
    </row>
    <row r="32" spans="1:21" s="144" customFormat="1">
      <c r="A32" s="145" t="s">
        <v>137</v>
      </c>
      <c r="B32" s="146">
        <f t="shared" si="6"/>
        <v>777551</v>
      </c>
      <c r="C32" s="147">
        <v>777551</v>
      </c>
      <c r="D32" s="147"/>
      <c r="E32" s="147">
        <f>C32</f>
        <v>777551</v>
      </c>
      <c r="F32" s="147"/>
      <c r="G32" s="147"/>
      <c r="H32" s="147"/>
      <c r="I32" s="147"/>
      <c r="J32" s="147"/>
      <c r="K32" s="147"/>
      <c r="L32" s="147"/>
      <c r="M32" s="147"/>
      <c r="N32" s="147"/>
      <c r="O32" s="147"/>
      <c r="P32" s="147"/>
      <c r="Q32" s="147"/>
      <c r="R32" s="550">
        <f t="shared" si="7"/>
        <v>777551</v>
      </c>
      <c r="S32" s="147">
        <f>C32</f>
        <v>777551</v>
      </c>
      <c r="T32" s="147"/>
      <c r="U32" s="143"/>
    </row>
    <row r="33" spans="1:21" s="144" customFormat="1">
      <c r="A33" s="145" t="s">
        <v>138</v>
      </c>
      <c r="B33" s="146">
        <f t="shared" si="6"/>
        <v>2921780</v>
      </c>
      <c r="C33" s="147">
        <v>2921780</v>
      </c>
      <c r="D33" s="147"/>
      <c r="E33" s="147">
        <f>C33</f>
        <v>2921780</v>
      </c>
      <c r="F33" s="147"/>
      <c r="G33" s="147"/>
      <c r="H33" s="147"/>
      <c r="I33" s="147"/>
      <c r="J33" s="147"/>
      <c r="K33" s="147"/>
      <c r="L33" s="147"/>
      <c r="M33" s="147"/>
      <c r="N33" s="147"/>
      <c r="O33" s="147"/>
      <c r="P33" s="147"/>
      <c r="Q33" s="147"/>
      <c r="R33" s="550">
        <f t="shared" si="7"/>
        <v>2921780</v>
      </c>
      <c r="S33" s="147">
        <f>C33</f>
        <v>2921780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150000</v>
      </c>
      <c r="C35" s="147">
        <v>150000</v>
      </c>
      <c r="D35" s="147"/>
      <c r="E35" s="147">
        <f>C35</f>
        <v>150000</v>
      </c>
      <c r="F35" s="147"/>
      <c r="G35" s="147"/>
      <c r="H35" s="147"/>
      <c r="I35" s="147"/>
      <c r="J35" s="147"/>
      <c r="K35" s="147"/>
      <c r="L35" s="147"/>
      <c r="M35" s="147"/>
      <c r="N35" s="147"/>
      <c r="O35" s="147"/>
      <c r="P35" s="147"/>
      <c r="Q35" s="147"/>
      <c r="R35" s="550">
        <f t="shared" si="7"/>
        <v>150000</v>
      </c>
      <c r="S35" s="147">
        <f>C35</f>
        <v>150000</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2740</v>
      </c>
      <c r="B37" s="146">
        <f t="shared" si="6"/>
        <v>2111257</v>
      </c>
      <c r="C37" s="147">
        <v>2111257</v>
      </c>
      <c r="D37" s="147"/>
      <c r="E37" s="147">
        <f>C37</f>
        <v>2111257</v>
      </c>
      <c r="F37" s="147"/>
      <c r="G37" s="147"/>
      <c r="H37" s="147"/>
      <c r="I37" s="147"/>
      <c r="J37" s="147"/>
      <c r="K37" s="147"/>
      <c r="L37" s="147"/>
      <c r="M37" s="147"/>
      <c r="N37" s="147"/>
      <c r="O37" s="147"/>
      <c r="P37" s="147"/>
      <c r="Q37" s="147"/>
      <c r="R37" s="550">
        <f t="shared" si="7"/>
        <v>2111257</v>
      </c>
      <c r="S37" s="147">
        <f>C37</f>
        <v>2111257</v>
      </c>
      <c r="T37" s="147"/>
      <c r="U37" s="143"/>
    </row>
    <row r="38" spans="1:21" s="144" customFormat="1">
      <c r="A38" s="149" t="s">
        <v>143</v>
      </c>
      <c r="B38" s="146">
        <f t="shared" si="6"/>
        <v>57578693</v>
      </c>
      <c r="C38" s="146">
        <f>SUM(C29:C37)</f>
        <v>57578693</v>
      </c>
      <c r="D38" s="146">
        <f t="shared" ref="D38:Q38" si="8">SUM(D29:D37)</f>
        <v>0</v>
      </c>
      <c r="E38" s="146">
        <f t="shared" si="8"/>
        <v>9513258</v>
      </c>
      <c r="F38" s="146">
        <f t="shared" si="8"/>
        <v>48065435</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57578693</v>
      </c>
      <c r="S38" s="150">
        <f>SUM(S29:S37)</f>
        <v>57578693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629425</v>
      </c>
      <c r="C40" s="147">
        <v>629425</v>
      </c>
      <c r="D40" s="147"/>
      <c r="E40" s="147">
        <f>C40</f>
        <v>629425</v>
      </c>
      <c r="F40" s="147"/>
      <c r="G40" s="147"/>
      <c r="H40" s="147"/>
      <c r="I40" s="147"/>
      <c r="J40" s="147"/>
      <c r="K40" s="147"/>
      <c r="L40" s="147"/>
      <c r="M40" s="147"/>
      <c r="N40" s="147"/>
      <c r="O40" s="147"/>
      <c r="P40" s="147"/>
      <c r="Q40" s="147"/>
      <c r="R40" s="550">
        <f>SUM(E40:Q40)</f>
        <v>629425</v>
      </c>
      <c r="S40" s="147">
        <f>C40</f>
        <v>629425</v>
      </c>
      <c r="T40" s="147"/>
      <c r="U40" s="143"/>
    </row>
    <row r="41" spans="1:21" s="144" customFormat="1">
      <c r="A41" s="145" t="s">
        <v>146</v>
      </c>
      <c r="B41" s="146">
        <f>SUM(C41+D41)</f>
        <v>0</v>
      </c>
      <c r="C41" s="147">
        <v>0</v>
      </c>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629425</v>
      </c>
      <c r="C42" s="146">
        <f>SUM(C39:C41)</f>
        <v>629425</v>
      </c>
      <c r="D42" s="146">
        <f>SUM(D39:D41)</f>
        <v>0</v>
      </c>
      <c r="E42" s="146">
        <f t="shared" ref="E42:T42" si="9">SUM(E40:E41)</f>
        <v>629425</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629425</v>
      </c>
      <c r="S42" s="150">
        <f t="shared" si="9"/>
        <v>629425</v>
      </c>
      <c r="T42" s="150">
        <f t="shared" si="9"/>
        <v>0</v>
      </c>
      <c r="U42" s="143"/>
    </row>
    <row r="43" spans="1:21" s="144" customFormat="1">
      <c r="A43" s="149" t="s">
        <v>148</v>
      </c>
      <c r="B43" s="146">
        <f>SUM(C43:D43)</f>
        <v>31750</v>
      </c>
      <c r="C43" s="147">
        <v>31750</v>
      </c>
      <c r="D43" s="147"/>
      <c r="E43" s="147">
        <f>C43</f>
        <v>31750</v>
      </c>
      <c r="F43" s="147"/>
      <c r="G43" s="147"/>
      <c r="H43" s="147"/>
      <c r="I43" s="147"/>
      <c r="J43" s="147"/>
      <c r="K43" s="147"/>
      <c r="L43" s="147"/>
      <c r="M43" s="147"/>
      <c r="N43" s="147"/>
      <c r="O43" s="147"/>
      <c r="P43" s="147"/>
      <c r="Q43" s="147"/>
      <c r="R43" s="550">
        <f>SUM(E43:Q43)</f>
        <v>31750</v>
      </c>
      <c r="S43" s="147">
        <f>C43</f>
        <v>31750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5656100</v>
      </c>
      <c r="C45" s="147">
        <v>5656100</v>
      </c>
      <c r="D45" s="147"/>
      <c r="E45" s="147">
        <f>C45-H45</f>
        <v>5656100</v>
      </c>
      <c r="F45" s="147"/>
      <c r="G45" s="147"/>
      <c r="H45" s="147"/>
      <c r="I45" s="147"/>
      <c r="J45" s="147"/>
      <c r="K45" s="147"/>
      <c r="L45" s="147"/>
      <c r="M45" s="147"/>
      <c r="N45" s="147"/>
      <c r="O45" s="147"/>
      <c r="P45" s="147"/>
      <c r="Q45" s="147"/>
      <c r="R45" s="550">
        <f t="shared" ref="R45:R53" si="11">SUM(E45:Q45)</f>
        <v>5656100</v>
      </c>
      <c r="S45" s="147">
        <v>4242075</v>
      </c>
      <c r="T45" s="147"/>
      <c r="U45" s="143"/>
    </row>
    <row r="46" spans="1:21" s="144" customFormat="1">
      <c r="A46" s="145" t="s">
        <v>151</v>
      </c>
      <c r="B46" s="146">
        <f t="shared" si="10"/>
        <v>824554</v>
      </c>
      <c r="C46" s="147">
        <v>824554</v>
      </c>
      <c r="D46" s="147"/>
      <c r="E46" s="147">
        <f>C46</f>
        <v>824554</v>
      </c>
      <c r="F46" s="147"/>
      <c r="G46" s="147"/>
      <c r="H46" s="147"/>
      <c r="I46" s="147"/>
      <c r="J46" s="147"/>
      <c r="K46" s="147"/>
      <c r="L46" s="147"/>
      <c r="M46" s="147"/>
      <c r="N46" s="147"/>
      <c r="O46" s="147"/>
      <c r="P46" s="147"/>
      <c r="Q46" s="147"/>
      <c r="R46" s="550">
        <f t="shared" si="11"/>
        <v>824554</v>
      </c>
      <c r="S46" s="147">
        <v>659643</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90000</v>
      </c>
      <c r="C50" s="147">
        <v>90000</v>
      </c>
      <c r="D50" s="147"/>
      <c r="E50" s="147">
        <f>C50</f>
        <v>90000</v>
      </c>
      <c r="F50" s="147"/>
      <c r="G50" s="147"/>
      <c r="H50" s="147"/>
      <c r="I50" s="147"/>
      <c r="J50" s="147"/>
      <c r="K50" s="147"/>
      <c r="L50" s="147"/>
      <c r="M50" s="147"/>
      <c r="N50" s="147"/>
      <c r="O50" s="147"/>
      <c r="P50" s="147"/>
      <c r="Q50" s="147"/>
      <c r="R50" s="550">
        <f t="shared" si="11"/>
        <v>90000</v>
      </c>
      <c r="S50" s="147">
        <f>C50</f>
        <v>90000</v>
      </c>
      <c r="T50" s="147"/>
      <c r="U50" s="143"/>
    </row>
    <row r="51" spans="1:21" s="144" customFormat="1">
      <c r="A51" s="304" t="s">
        <v>154</v>
      </c>
      <c r="B51" s="146">
        <f t="shared" si="10"/>
        <v>12000</v>
      </c>
      <c r="C51" s="147">
        <v>12000</v>
      </c>
      <c r="D51" s="147"/>
      <c r="E51" s="147">
        <f>C51</f>
        <v>12000</v>
      </c>
      <c r="F51" s="147"/>
      <c r="G51" s="147"/>
      <c r="H51" s="147"/>
      <c r="I51" s="147"/>
      <c r="J51" s="147"/>
      <c r="K51" s="147"/>
      <c r="L51" s="147"/>
      <c r="M51" s="147"/>
      <c r="N51" s="147"/>
      <c r="O51" s="147"/>
      <c r="P51" s="147"/>
      <c r="Q51" s="147"/>
      <c r="R51" s="550">
        <f t="shared" si="11"/>
        <v>12000</v>
      </c>
      <c r="S51" s="147">
        <f>C51</f>
        <v>12000</v>
      </c>
      <c r="T51" s="147"/>
      <c r="U51" s="143"/>
    </row>
    <row r="52" spans="1:21" s="144" customFormat="1">
      <c r="A52" s="145" t="s">
        <v>155</v>
      </c>
      <c r="B52" s="146">
        <f t="shared" si="10"/>
        <v>0</v>
      </c>
      <c r="C52" s="147">
        <v>0</v>
      </c>
      <c r="D52" s="147"/>
      <c r="E52" s="147">
        <f>C52</f>
        <v>0</v>
      </c>
      <c r="F52" s="147"/>
      <c r="G52" s="147"/>
      <c r="H52" s="147"/>
      <c r="I52" s="147"/>
      <c r="J52" s="147"/>
      <c r="K52" s="147"/>
      <c r="L52" s="147"/>
      <c r="M52" s="147"/>
      <c r="N52" s="147"/>
      <c r="O52" s="147"/>
      <c r="P52" s="147"/>
      <c r="Q52" s="147"/>
      <c r="R52" s="550">
        <f t="shared" si="11"/>
        <v>0</v>
      </c>
      <c r="S52" s="147"/>
      <c r="T52" s="147"/>
      <c r="U52" s="143"/>
    </row>
    <row r="53" spans="1:21" s="144" customFormat="1">
      <c r="A53" s="1193" t="s">
        <v>2741</v>
      </c>
      <c r="B53" s="146">
        <f t="shared" si="10"/>
        <v>1262498</v>
      </c>
      <c r="C53" s="147">
        <v>1262498</v>
      </c>
      <c r="D53" s="147"/>
      <c r="E53" s="147">
        <f>C53</f>
        <v>1262498</v>
      </c>
      <c r="F53" s="147"/>
      <c r="G53" s="147"/>
      <c r="H53" s="147"/>
      <c r="I53" s="147"/>
      <c r="J53" s="147"/>
      <c r="K53" s="147"/>
      <c r="L53" s="147"/>
      <c r="M53" s="147"/>
      <c r="N53" s="147"/>
      <c r="O53" s="147"/>
      <c r="P53" s="147"/>
      <c r="Q53" s="147"/>
      <c r="R53" s="550">
        <f t="shared" si="11"/>
        <v>1262498</v>
      </c>
      <c r="S53" s="147">
        <v>1009998</v>
      </c>
      <c r="T53" s="147"/>
      <c r="U53" s="143"/>
    </row>
    <row r="54" spans="1:21" s="153" customFormat="1">
      <c r="A54" s="149" t="s">
        <v>157</v>
      </c>
      <c r="B54" s="150">
        <f>SUM(C54:D54)</f>
        <v>7845152</v>
      </c>
      <c r="C54" s="150">
        <f t="shared" ref="C54:T54" si="12">SUM(C45:C53)</f>
        <v>7845152</v>
      </c>
      <c r="D54" s="150">
        <f t="shared" si="12"/>
        <v>0</v>
      </c>
      <c r="E54" s="150">
        <f t="shared" si="12"/>
        <v>7845152</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7845152</v>
      </c>
      <c r="S54" s="150">
        <f t="shared" si="12"/>
        <v>6013716</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v>0</v>
      </c>
      <c r="D56" s="147"/>
      <c r="E56" s="147"/>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0</v>
      </c>
      <c r="C57" s="202">
        <v>0</v>
      </c>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v>0</v>
      </c>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v>0</v>
      </c>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v>0</v>
      </c>
      <c r="D60" s="147"/>
      <c r="E60" s="147">
        <v>0</v>
      </c>
      <c r="F60" s="147"/>
      <c r="G60" s="147"/>
      <c r="H60" s="147"/>
      <c r="I60" s="147"/>
      <c r="J60" s="147"/>
      <c r="K60" s="147"/>
      <c r="L60" s="147"/>
      <c r="M60" s="147"/>
      <c r="N60" s="147"/>
      <c r="O60" s="147"/>
      <c r="P60" s="147"/>
      <c r="Q60" s="147"/>
      <c r="R60" s="550">
        <f t="shared" si="14"/>
        <v>0</v>
      </c>
      <c r="S60" s="148"/>
      <c r="T60" s="148"/>
      <c r="U60" s="143"/>
    </row>
    <row r="61" spans="1:21" s="144" customFormat="1">
      <c r="A61" s="1193" t="s">
        <v>2742</v>
      </c>
      <c r="B61" s="146">
        <f t="shared" si="13"/>
        <v>94000</v>
      </c>
      <c r="C61" s="147">
        <v>94000</v>
      </c>
      <c r="D61" s="147"/>
      <c r="E61" s="147">
        <v>94000</v>
      </c>
      <c r="F61" s="147"/>
      <c r="G61" s="147"/>
      <c r="H61" s="147"/>
      <c r="I61" s="147"/>
      <c r="J61" s="147"/>
      <c r="K61" s="147"/>
      <c r="L61" s="147"/>
      <c r="M61" s="147"/>
      <c r="N61" s="147"/>
      <c r="O61" s="147"/>
      <c r="P61" s="147"/>
      <c r="Q61" s="147"/>
      <c r="R61" s="550">
        <f t="shared" si="14"/>
        <v>94000</v>
      </c>
      <c r="S61" s="148"/>
      <c r="T61" s="148"/>
      <c r="U61" s="143"/>
    </row>
    <row r="62" spans="1:21" s="144" customFormat="1" ht="13.7" customHeight="1">
      <c r="A62" s="149" t="s">
        <v>302</v>
      </c>
      <c r="B62" s="146">
        <f>SUM(C62:D62)</f>
        <v>94000</v>
      </c>
      <c r="C62" s="146">
        <f t="shared" ref="C62:R62" si="15">SUM(C56:C61)</f>
        <v>94000</v>
      </c>
      <c r="D62" s="146">
        <f t="shared" si="15"/>
        <v>0</v>
      </c>
      <c r="E62" s="146">
        <f t="shared" si="15"/>
        <v>94000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94000</v>
      </c>
      <c r="S62" s="148"/>
      <c r="T62" s="148"/>
      <c r="U62" s="143"/>
    </row>
    <row r="63" spans="1:21" s="144" customFormat="1">
      <c r="A63" s="154" t="s">
        <v>303</v>
      </c>
      <c r="B63" s="146">
        <f t="shared" ref="B63:R63" si="16">SUM(B8+B11+B13+B14+B15+B26+B27+B38+B42+B43+B54+B62)</f>
        <v>70298620</v>
      </c>
      <c r="C63" s="146">
        <f t="shared" si="16"/>
        <v>70298620</v>
      </c>
      <c r="D63" s="146">
        <f t="shared" si="16"/>
        <v>0</v>
      </c>
      <c r="E63" s="146">
        <f t="shared" si="16"/>
        <v>22233185</v>
      </c>
      <c r="F63" s="146">
        <f t="shared" si="16"/>
        <v>48065435</v>
      </c>
      <c r="G63" s="146">
        <f t="shared" si="16"/>
        <v>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70298620</v>
      </c>
      <c r="S63" s="146">
        <f>SUM(S10+S13+S14+S15+S26+S27+S38+S42+S43+S54)</f>
        <v>64253584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c r="H65" s="147"/>
      <c r="I65" s="147"/>
      <c r="J65" s="147"/>
      <c r="K65" s="147"/>
      <c r="L65" s="147"/>
      <c r="M65" s="147"/>
      <c r="N65" s="147"/>
      <c r="O65" s="147"/>
      <c r="P65" s="147"/>
      <c r="Q65" s="147"/>
      <c r="R65" s="550">
        <f>SUM(E65:Q65)</f>
        <v>0</v>
      </c>
      <c r="S65" s="147"/>
      <c r="T65" s="147"/>
      <c r="U65" s="143"/>
    </row>
    <row r="66" spans="1:21" s="144" customFormat="1" ht="24" customHeight="1">
      <c r="A66" s="304" t="s">
        <v>1753</v>
      </c>
      <c r="B66" s="146">
        <f>SUM(C66+D66)</f>
        <v>125000</v>
      </c>
      <c r="C66" s="147">
        <v>125000</v>
      </c>
      <c r="D66" s="147"/>
      <c r="E66" s="147">
        <v>125000</v>
      </c>
      <c r="F66" s="147"/>
      <c r="G66" s="147"/>
      <c r="H66" s="147"/>
      <c r="I66" s="147"/>
      <c r="J66" s="147"/>
      <c r="K66" s="147"/>
      <c r="L66" s="147"/>
      <c r="M66" s="147"/>
      <c r="N66" s="147"/>
      <c r="O66" s="147"/>
      <c r="P66" s="147"/>
      <c r="Q66" s="147"/>
      <c r="R66" s="550">
        <f>SUM(E66:Q66)</f>
        <v>125000</v>
      </c>
      <c r="S66" s="147">
        <v>125000</v>
      </c>
      <c r="T66" s="147"/>
      <c r="U66" s="143"/>
    </row>
    <row r="67" spans="1:21" s="144" customFormat="1" ht="24" customHeight="1">
      <c r="A67" s="304" t="s">
        <v>1754</v>
      </c>
      <c r="B67" s="146">
        <f>SUM(C67+D67)</f>
        <v>100000</v>
      </c>
      <c r="C67" s="147">
        <v>100000</v>
      </c>
      <c r="D67" s="147"/>
      <c r="E67" s="147">
        <v>100000</v>
      </c>
      <c r="F67" s="147"/>
      <c r="G67" s="147"/>
      <c r="H67" s="147"/>
      <c r="I67" s="147"/>
      <c r="J67" s="147"/>
      <c r="K67" s="147"/>
      <c r="L67" s="147"/>
      <c r="M67" s="147"/>
      <c r="N67" s="147"/>
      <c r="O67" s="147"/>
      <c r="P67" s="147"/>
      <c r="Q67" s="147"/>
      <c r="R67" s="550">
        <f>SUM(E67:Q67)</f>
        <v>100000</v>
      </c>
      <c r="S67" s="147">
        <v>100000</v>
      </c>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2743</v>
      </c>
      <c r="B69" s="146">
        <f>SUM(C69+D69)</f>
        <v>560000</v>
      </c>
      <c r="C69" s="147">
        <v>560000</v>
      </c>
      <c r="D69" s="147"/>
      <c r="E69" s="147">
        <f>C69</f>
        <v>560000</v>
      </c>
      <c r="F69" s="147"/>
      <c r="G69" s="147"/>
      <c r="H69" s="147"/>
      <c r="I69" s="147"/>
      <c r="J69" s="147"/>
      <c r="K69" s="147"/>
      <c r="L69" s="147"/>
      <c r="M69" s="147"/>
      <c r="N69" s="147"/>
      <c r="O69" s="147"/>
      <c r="P69" s="147"/>
      <c r="Q69" s="147"/>
      <c r="R69" s="550">
        <f>SUM(E69:Q69)</f>
        <v>560000</v>
      </c>
      <c r="S69" s="147">
        <f>C69</f>
        <v>560000</v>
      </c>
      <c r="T69" s="147"/>
      <c r="U69" s="143"/>
    </row>
    <row r="70" spans="1:21" s="144" customFormat="1">
      <c r="A70" s="149" t="s">
        <v>1757</v>
      </c>
      <c r="B70" s="146">
        <f>SUM(C70:D70)</f>
        <v>785000</v>
      </c>
      <c r="C70" s="146">
        <f>SUM(C65:C69)</f>
        <v>785000</v>
      </c>
      <c r="D70" s="146">
        <f>SUM(D65:D69)</f>
        <v>0</v>
      </c>
      <c r="E70" s="146">
        <f t="shared" ref="E70:T70" si="17">SUM(E65:E69)</f>
        <v>785000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785000</v>
      </c>
      <c r="S70" s="150">
        <f t="shared" si="17"/>
        <v>785000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173334</v>
      </c>
      <c r="C72" s="147">
        <v>173334</v>
      </c>
      <c r="D72" s="147"/>
      <c r="E72" s="147">
        <v>173334</v>
      </c>
      <c r="F72" s="147"/>
      <c r="G72" s="147"/>
      <c r="H72" s="147"/>
      <c r="I72" s="147"/>
      <c r="J72" s="147"/>
      <c r="K72" s="147"/>
      <c r="L72" s="147"/>
      <c r="M72" s="147"/>
      <c r="N72" s="147"/>
      <c r="O72" s="147"/>
      <c r="P72" s="147"/>
      <c r="Q72" s="147"/>
      <c r="R72" s="550">
        <f>SUM(E72:Q72)</f>
        <v>173334</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1224612</v>
      </c>
      <c r="C75" s="147">
        <v>1224612</v>
      </c>
      <c r="D75" s="147"/>
      <c r="E75" s="147">
        <f>C75</f>
        <v>1224612</v>
      </c>
      <c r="F75" s="147"/>
      <c r="G75" s="147"/>
      <c r="H75" s="147"/>
      <c r="I75" s="147"/>
      <c r="J75" s="147"/>
      <c r="K75" s="147"/>
      <c r="L75" s="147"/>
      <c r="M75" s="147"/>
      <c r="N75" s="147"/>
      <c r="O75" s="147"/>
      <c r="P75" s="147"/>
      <c r="Q75" s="147"/>
      <c r="R75" s="550">
        <f>SUM(E75:Q75)</f>
        <v>1224612</v>
      </c>
      <c r="S75" s="148"/>
      <c r="T75" s="148"/>
      <c r="U75" s="143"/>
    </row>
    <row r="76" spans="1:21" s="144" customFormat="1">
      <c r="A76" s="1193" t="s">
        <v>34</v>
      </c>
      <c r="B76" s="146">
        <f>SUM(C76+D76)</f>
        <v>0</v>
      </c>
      <c r="C76" s="147"/>
      <c r="D76" s="147"/>
      <c r="E76" s="147">
        <f>C76</f>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1397946</v>
      </c>
      <c r="C77" s="146">
        <f>SUM(C72:C76)</f>
        <v>1397946</v>
      </c>
      <c r="D77" s="146">
        <f>SUM(D72:D76)</f>
        <v>0</v>
      </c>
      <c r="E77" s="146">
        <f t="shared" ref="E77:Q77" si="18">SUM(E72:E76)</f>
        <v>1397946</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1397946</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3327909</v>
      </c>
      <c r="C79" s="147">
        <v>3327909</v>
      </c>
      <c r="D79" s="147"/>
      <c r="E79" s="147">
        <v>3327909</v>
      </c>
      <c r="F79" s="147"/>
      <c r="G79" s="147"/>
      <c r="H79" s="147"/>
      <c r="I79" s="147"/>
      <c r="J79" s="147"/>
      <c r="K79" s="147"/>
      <c r="L79" s="147"/>
      <c r="M79" s="147"/>
      <c r="N79" s="147"/>
      <c r="O79" s="147"/>
      <c r="P79" s="147"/>
      <c r="Q79" s="147"/>
      <c r="R79" s="550">
        <f>SUM(E79:Q79)</f>
        <v>3327909</v>
      </c>
      <c r="S79" s="147">
        <f>C79</f>
        <v>3327909</v>
      </c>
      <c r="T79" s="147"/>
      <c r="U79" s="143"/>
    </row>
    <row r="80" spans="1:21" s="144" customFormat="1">
      <c r="A80" s="304" t="s">
        <v>58</v>
      </c>
      <c r="B80" s="146">
        <f>SUM(C80:D80)</f>
        <v>1250000</v>
      </c>
      <c r="C80" s="147">
        <v>1250000</v>
      </c>
      <c r="D80" s="147"/>
      <c r="E80" s="147">
        <v>1250000</v>
      </c>
      <c r="F80" s="147"/>
      <c r="G80" s="147"/>
      <c r="H80" s="147"/>
      <c r="I80" s="147"/>
      <c r="J80" s="147"/>
      <c r="K80" s="147"/>
      <c r="L80" s="147"/>
      <c r="M80" s="147"/>
      <c r="N80" s="147"/>
      <c r="O80" s="147"/>
      <c r="P80" s="147"/>
      <c r="Q80" s="147"/>
      <c r="R80" s="550">
        <f>SUM(E80:Q80)</f>
        <v>1250000</v>
      </c>
      <c r="S80" s="147">
        <f>C80</f>
        <v>1250000</v>
      </c>
      <c r="T80" s="147"/>
      <c r="U80" s="143"/>
    </row>
    <row r="81" spans="1:21" s="144" customFormat="1">
      <c r="A81" s="149" t="s">
        <v>1316</v>
      </c>
      <c r="B81" s="146">
        <f>SUM(C81:D81)</f>
        <v>4577909</v>
      </c>
      <c r="C81" s="543">
        <f>SUM(C79:C80)</f>
        <v>4577909</v>
      </c>
      <c r="D81" s="543">
        <f t="shared" ref="D81:T81" si="19">SUM(D79:D80)</f>
        <v>0</v>
      </c>
      <c r="E81" s="543">
        <f t="shared" si="19"/>
        <v>4577909</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4577909</v>
      </c>
      <c r="S81" s="543">
        <f t="shared" si="19"/>
        <v>4577909</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0">SUM(C83+D83)</f>
        <v>130591</v>
      </c>
      <c r="C83" s="147">
        <v>130591</v>
      </c>
      <c r="D83" s="147"/>
      <c r="E83" s="147">
        <f>C83</f>
        <v>130591</v>
      </c>
      <c r="F83" s="147"/>
      <c r="G83" s="147"/>
      <c r="H83" s="147"/>
      <c r="I83" s="147"/>
      <c r="J83" s="147"/>
      <c r="K83" s="147"/>
      <c r="L83" s="147"/>
      <c r="M83" s="147"/>
      <c r="N83" s="147"/>
      <c r="O83" s="147"/>
      <c r="P83" s="147"/>
      <c r="Q83" s="147"/>
      <c r="R83" s="550">
        <f t="shared" ref="R83:R95" si="21">SUM(E83:Q83)</f>
        <v>130591</v>
      </c>
      <c r="S83" s="148"/>
      <c r="T83" s="148"/>
      <c r="U83" s="143"/>
    </row>
    <row r="84" spans="1:21" s="144" customFormat="1">
      <c r="A84" s="145" t="s">
        <v>777</v>
      </c>
      <c r="B84" s="146">
        <f t="shared" si="20"/>
        <v>255000</v>
      </c>
      <c r="C84" s="147">
        <v>255000</v>
      </c>
      <c r="D84" s="147"/>
      <c r="E84" s="147">
        <v>255000</v>
      </c>
      <c r="F84" s="147"/>
      <c r="G84" s="147"/>
      <c r="H84" s="147"/>
      <c r="I84" s="147"/>
      <c r="J84" s="147"/>
      <c r="K84" s="147"/>
      <c r="L84" s="147"/>
      <c r="M84" s="147"/>
      <c r="N84" s="147"/>
      <c r="O84" s="147"/>
      <c r="P84" s="147"/>
      <c r="Q84" s="147"/>
      <c r="R84" s="550">
        <f t="shared" si="21"/>
        <v>255000</v>
      </c>
      <c r="S84" s="147">
        <v>255000</v>
      </c>
      <c r="T84" s="147"/>
      <c r="U84" s="143"/>
    </row>
    <row r="85" spans="1:21" s="144" customFormat="1">
      <c r="A85" s="145" t="s">
        <v>778</v>
      </c>
      <c r="B85" s="146">
        <f t="shared" si="20"/>
        <v>522727</v>
      </c>
      <c r="C85" s="147">
        <v>522727</v>
      </c>
      <c r="D85" s="147"/>
      <c r="E85" s="147">
        <f>C85</f>
        <v>522727</v>
      </c>
      <c r="F85" s="147"/>
      <c r="G85" s="147"/>
      <c r="H85" s="147"/>
      <c r="I85" s="147"/>
      <c r="J85" s="147"/>
      <c r="K85" s="147"/>
      <c r="L85" s="147"/>
      <c r="M85" s="147"/>
      <c r="N85" s="147"/>
      <c r="O85" s="147"/>
      <c r="P85" s="147"/>
      <c r="Q85" s="147"/>
      <c r="R85" s="550">
        <f t="shared" si="21"/>
        <v>522727</v>
      </c>
      <c r="S85" s="147">
        <f>C85</f>
        <v>522727</v>
      </c>
      <c r="T85" s="147"/>
      <c r="U85" s="143"/>
    </row>
    <row r="86" spans="1:21" s="144" customFormat="1">
      <c r="A86" s="145" t="s">
        <v>779</v>
      </c>
      <c r="B86" s="146">
        <f t="shared" si="20"/>
        <v>543237</v>
      </c>
      <c r="C86" s="147">
        <v>543237</v>
      </c>
      <c r="D86" s="147"/>
      <c r="E86" s="147">
        <f>C86</f>
        <v>543237</v>
      </c>
      <c r="F86" s="147"/>
      <c r="G86" s="147"/>
      <c r="H86" s="147"/>
      <c r="I86" s="147"/>
      <c r="J86" s="147"/>
      <c r="K86" s="147"/>
      <c r="L86" s="147"/>
      <c r="M86" s="147"/>
      <c r="N86" s="147"/>
      <c r="O86" s="147"/>
      <c r="P86" s="147"/>
      <c r="Q86" s="147"/>
      <c r="R86" s="550">
        <f t="shared" si="21"/>
        <v>543237</v>
      </c>
      <c r="S86" s="147">
        <v>274000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150000</v>
      </c>
      <c r="C88" s="147">
        <v>150000</v>
      </c>
      <c r="D88" s="147"/>
      <c r="E88" s="147">
        <v>150000</v>
      </c>
      <c r="F88" s="147"/>
      <c r="G88" s="147"/>
      <c r="H88" s="147"/>
      <c r="I88" s="147"/>
      <c r="J88" s="147"/>
      <c r="K88" s="147"/>
      <c r="L88" s="147"/>
      <c r="M88" s="147"/>
      <c r="N88" s="147"/>
      <c r="O88" s="147"/>
      <c r="P88" s="147"/>
      <c r="Q88" s="147"/>
      <c r="R88" s="550">
        <f t="shared" si="21"/>
        <v>150000</v>
      </c>
      <c r="S88" s="148"/>
      <c r="T88" s="148"/>
      <c r="U88" s="143"/>
    </row>
    <row r="89" spans="1:21" s="144" customFormat="1">
      <c r="A89" s="145" t="s">
        <v>782</v>
      </c>
      <c r="B89" s="146">
        <f t="shared" si="20"/>
        <v>700000</v>
      </c>
      <c r="C89" s="147">
        <v>700000</v>
      </c>
      <c r="D89" s="147"/>
      <c r="E89" s="147">
        <v>700000</v>
      </c>
      <c r="F89" s="147"/>
      <c r="G89" s="147"/>
      <c r="H89" s="147"/>
      <c r="I89" s="147"/>
      <c r="J89" s="147"/>
      <c r="K89" s="147"/>
      <c r="L89" s="147"/>
      <c r="M89" s="147"/>
      <c r="N89" s="147"/>
      <c r="O89" s="147"/>
      <c r="P89" s="147"/>
      <c r="Q89" s="147"/>
      <c r="R89" s="550">
        <f t="shared" si="21"/>
        <v>700000</v>
      </c>
      <c r="S89" s="147">
        <f>C89</f>
        <v>700000</v>
      </c>
      <c r="T89" s="147"/>
      <c r="U89" s="143"/>
    </row>
    <row r="90" spans="1:21" s="144" customFormat="1">
      <c r="A90" s="145" t="s">
        <v>783</v>
      </c>
      <c r="B90" s="146">
        <f t="shared" si="20"/>
        <v>20000</v>
      </c>
      <c r="C90" s="147">
        <v>20000</v>
      </c>
      <c r="D90" s="147"/>
      <c r="E90" s="147">
        <v>20000</v>
      </c>
      <c r="F90" s="147"/>
      <c r="G90" s="147"/>
      <c r="H90" s="147"/>
      <c r="I90" s="147"/>
      <c r="J90" s="147"/>
      <c r="K90" s="147"/>
      <c r="L90" s="147"/>
      <c r="M90" s="147"/>
      <c r="N90" s="147"/>
      <c r="O90" s="147"/>
      <c r="P90" s="147"/>
      <c r="Q90" s="147"/>
      <c r="R90" s="550">
        <f t="shared" si="21"/>
        <v>20000</v>
      </c>
      <c r="S90" s="147">
        <f>C90</f>
        <v>20000</v>
      </c>
      <c r="T90" s="147"/>
      <c r="U90" s="143"/>
    </row>
    <row r="91" spans="1:21" s="144" customFormat="1">
      <c r="A91" s="145" t="s">
        <v>373</v>
      </c>
      <c r="B91" s="146">
        <f t="shared" si="20"/>
        <v>85000</v>
      </c>
      <c r="C91" s="147">
        <v>85000</v>
      </c>
      <c r="D91" s="147"/>
      <c r="E91" s="147">
        <v>85000</v>
      </c>
      <c r="F91" s="147"/>
      <c r="G91" s="147"/>
      <c r="H91" s="147"/>
      <c r="I91" s="147"/>
      <c r="J91" s="147"/>
      <c r="K91" s="147"/>
      <c r="L91" s="147"/>
      <c r="M91" s="147"/>
      <c r="N91" s="147"/>
      <c r="O91" s="147"/>
      <c r="P91" s="147"/>
      <c r="Q91" s="147"/>
      <c r="R91" s="550">
        <f t="shared" si="21"/>
        <v>85000</v>
      </c>
      <c r="S91" s="147">
        <v>25000</v>
      </c>
      <c r="T91" s="147"/>
      <c r="U91" s="143"/>
    </row>
    <row r="92" spans="1:21" s="144" customFormat="1">
      <c r="A92" s="304" t="s">
        <v>1318</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C92</f>
        <v>15000</v>
      </c>
      <c r="T92" s="147"/>
      <c r="U92" s="143"/>
    </row>
    <row r="93" spans="1:21" s="144" customFormat="1">
      <c r="A93" s="1193" t="s">
        <v>2744</v>
      </c>
      <c r="B93" s="146">
        <f t="shared" si="20"/>
        <v>1970120</v>
      </c>
      <c r="C93" s="147">
        <v>1970120</v>
      </c>
      <c r="D93" s="147"/>
      <c r="E93" s="147">
        <f>C93</f>
        <v>1970120</v>
      </c>
      <c r="F93" s="147"/>
      <c r="G93" s="147"/>
      <c r="H93" s="147"/>
      <c r="I93" s="147"/>
      <c r="J93" s="147"/>
      <c r="K93" s="147"/>
      <c r="L93" s="147"/>
      <c r="M93" s="147"/>
      <c r="N93" s="147"/>
      <c r="O93" s="147"/>
      <c r="P93" s="147"/>
      <c r="Q93" s="147"/>
      <c r="R93" s="550">
        <f t="shared" si="21"/>
        <v>1970120</v>
      </c>
      <c r="S93" s="147">
        <f>C93</f>
        <v>1970120</v>
      </c>
      <c r="T93" s="147"/>
      <c r="U93" s="143"/>
    </row>
    <row r="94" spans="1:21" s="144" customFormat="1">
      <c r="A94" s="1193" t="s">
        <v>2762</v>
      </c>
      <c r="B94" s="146">
        <f t="shared" si="20"/>
        <v>25000</v>
      </c>
      <c r="C94" s="147">
        <v>25000</v>
      </c>
      <c r="D94" s="147"/>
      <c r="E94" s="147">
        <v>25000</v>
      </c>
      <c r="F94" s="147"/>
      <c r="G94" s="147"/>
      <c r="H94" s="147"/>
      <c r="I94" s="147"/>
      <c r="J94" s="147"/>
      <c r="K94" s="147"/>
      <c r="L94" s="147"/>
      <c r="M94" s="147"/>
      <c r="N94" s="147"/>
      <c r="O94" s="147"/>
      <c r="P94" s="147"/>
      <c r="Q94" s="147"/>
      <c r="R94" s="550">
        <f t="shared" si="21"/>
        <v>25000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4416675</v>
      </c>
      <c r="C96" s="146">
        <f t="shared" ref="C96:R96" si="22">SUM(C83:C95)</f>
        <v>4416675</v>
      </c>
      <c r="D96" s="146">
        <f t="shared" si="22"/>
        <v>0</v>
      </c>
      <c r="E96" s="146">
        <f t="shared" si="22"/>
        <v>4416675</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4416675</v>
      </c>
      <c r="S96" s="150">
        <f>SUM(S84:S87,S89:S95)</f>
        <v>3781847</v>
      </c>
      <c r="T96" s="146">
        <f>SUM(T84:T87,T89:T95)</f>
        <v>0</v>
      </c>
      <c r="U96" s="143"/>
    </row>
    <row r="97" spans="1:21" s="144" customFormat="1">
      <c r="A97" s="149" t="s">
        <v>785</v>
      </c>
      <c r="B97" s="146">
        <f>SUM(C97:D97)</f>
        <v>81476150</v>
      </c>
      <c r="C97" s="146">
        <f t="shared" ref="C97:R97" si="23">SUM(C63+C70+C77+C81+C96)</f>
        <v>81476150</v>
      </c>
      <c r="D97" s="146">
        <f t="shared" si="23"/>
        <v>0</v>
      </c>
      <c r="E97" s="146">
        <f t="shared" si="23"/>
        <v>33410715</v>
      </c>
      <c r="F97" s="146">
        <f t="shared" si="23"/>
        <v>48065435</v>
      </c>
      <c r="G97" s="146">
        <f t="shared" si="23"/>
        <v>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81476150</v>
      </c>
      <c r="S97" s="146">
        <f>SUM(S63+S70+S81+S96)</f>
        <v>73398340</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11009751</v>
      </c>
      <c r="C99" s="1014">
        <v>11009751</v>
      </c>
      <c r="D99" s="1014"/>
      <c r="E99" s="1014">
        <f>C99-G99</f>
        <v>4336583</v>
      </c>
      <c r="F99" s="147"/>
      <c r="G99" s="147">
        <v>6673168</v>
      </c>
      <c r="H99" s="147"/>
      <c r="I99" s="147"/>
      <c r="J99" s="147"/>
      <c r="K99" s="147"/>
      <c r="L99" s="147"/>
      <c r="M99" s="147"/>
      <c r="N99" s="147"/>
      <c r="O99" s="147"/>
      <c r="P99" s="147"/>
      <c r="Q99" s="147"/>
      <c r="R99" s="550">
        <f>SUM(E99:Q99)</f>
        <v>11009751</v>
      </c>
      <c r="S99" s="147">
        <v>11009751</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11009751</v>
      </c>
      <c r="C104" s="146">
        <f>SUM(C99:C103)</f>
        <v>11009751</v>
      </c>
      <c r="D104" s="146">
        <f t="shared" ref="D104:T104" si="24">SUM(D99:D103)</f>
        <v>0</v>
      </c>
      <c r="E104" s="146">
        <f t="shared" si="24"/>
        <v>4336583</v>
      </c>
      <c r="F104" s="146">
        <f t="shared" si="24"/>
        <v>0</v>
      </c>
      <c r="G104" s="146">
        <f t="shared" si="24"/>
        <v>6673168</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11009751</v>
      </c>
      <c r="S104" s="150">
        <f t="shared" si="24"/>
        <v>11009751</v>
      </c>
      <c r="T104" s="150">
        <f t="shared" si="24"/>
        <v>0</v>
      </c>
      <c r="U104" s="143"/>
    </row>
    <row r="105" spans="1:21" s="144" customFormat="1">
      <c r="A105" s="149" t="s">
        <v>790</v>
      </c>
      <c r="B105" s="150">
        <f>SUM(C105:D105)</f>
        <v>92485901</v>
      </c>
      <c r="C105" s="150">
        <f t="shared" ref="C105:R105" si="25">SUM(C97+C104)</f>
        <v>92485901</v>
      </c>
      <c r="D105" s="150">
        <f t="shared" si="25"/>
        <v>0</v>
      </c>
      <c r="E105" s="150">
        <f t="shared" si="25"/>
        <v>37747298</v>
      </c>
      <c r="F105" s="150">
        <f t="shared" si="25"/>
        <v>48065435</v>
      </c>
      <c r="G105" s="150">
        <f t="shared" si="25"/>
        <v>6673168</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92485901</v>
      </c>
      <c r="S105" s="150">
        <f>S97+S104</f>
        <v>84408091</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84408091</v>
      </c>
      <c r="T107" s="150">
        <f>T105+T106</f>
        <v>0</v>
      </c>
    </row>
    <row r="108" spans="1:21" s="201" customFormat="1">
      <c r="A108" s="162" t="s">
        <v>892</v>
      </c>
      <c r="B108" s="157"/>
      <c r="C108" s="157"/>
      <c r="D108" s="157"/>
      <c r="E108" s="323">
        <f>Application!AO640</f>
        <v>37747298</v>
      </c>
      <c r="F108" s="323">
        <f>Application!AO627</f>
        <v>48065435</v>
      </c>
      <c r="G108" s="323">
        <f>Application!AO628</f>
        <v>6673168</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5" t="s">
        <v>1015</v>
      </c>
      <c r="E122" s="1875"/>
      <c r="F122" s="187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7" t="s">
        <v>1332</v>
      </c>
      <c r="E123" s="1562"/>
      <c r="F123" s="1562"/>
      <c r="G123" s="1562"/>
      <c r="H123" s="1562"/>
      <c r="I123" s="1562"/>
      <c r="J123" s="1562"/>
      <c r="K123" s="1562"/>
      <c r="L123" s="1562"/>
      <c r="M123" s="1562"/>
      <c r="N123" s="1562"/>
      <c r="O123" s="1562"/>
      <c r="P123" s="1562"/>
      <c r="Q123" s="1562"/>
      <c r="R123" s="1562"/>
      <c r="S123" s="1562"/>
      <c r="T123" s="352"/>
      <c r="U123" s="354"/>
    </row>
    <row r="124" spans="1:21" ht="12.75">
      <c r="A124" s="117" t="s">
        <v>1017</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75">
      <c r="A125" s="117" t="s">
        <v>1018</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301</v>
      </c>
      <c r="B129" s="361"/>
      <c r="C129" s="117"/>
      <c r="D129" s="1874" t="s">
        <v>1022</v>
      </c>
      <c r="E129" s="1874"/>
      <c r="F129" s="1874"/>
      <c r="G129" s="1874"/>
      <c r="H129" s="187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68" t="s">
        <v>1025</v>
      </c>
      <c r="E132" s="1868"/>
      <c r="F132" s="1868"/>
      <c r="G132" s="1868"/>
      <c r="H132" s="1868"/>
      <c r="I132" s="117"/>
      <c r="J132" s="1868" t="s">
        <v>1026</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1029</v>
      </c>
      <c r="B139" s="1865"/>
      <c r="C139" s="1865"/>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2442000</v>
      </c>
      <c r="C4" s="393"/>
      <c r="D4" s="393"/>
      <c r="E4" s="394"/>
      <c r="F4" s="394"/>
      <c r="G4" s="394"/>
      <c r="H4" s="394"/>
      <c r="I4" s="394"/>
      <c r="J4" s="394"/>
      <c r="K4" s="390"/>
    </row>
    <row r="5" spans="1:11" s="391" customFormat="1">
      <c r="A5" s="395" t="s">
        <v>28</v>
      </c>
      <c r="B5" s="392">
        <f>'Sources and Uses Budget'!C5</f>
        <v>240900</v>
      </c>
      <c r="C5" s="393"/>
      <c r="D5" s="393"/>
      <c r="E5" s="394"/>
      <c r="F5" s="394"/>
      <c r="G5" s="394"/>
      <c r="H5" s="394"/>
      <c r="I5" s="394"/>
      <c r="J5" s="394"/>
      <c r="K5" s="390"/>
    </row>
    <row r="6" spans="1:11" s="391" customFormat="1">
      <c r="A6" s="395" t="s">
        <v>29</v>
      </c>
      <c r="B6" s="392">
        <f>'Sources and Uses Budget'!C6</f>
        <v>380000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3062900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1056700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1056700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4119600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48696325</v>
      </c>
      <c r="C30" s="393"/>
      <c r="D30" s="393"/>
      <c r="E30" s="392">
        <f>'Sources and Uses Budget'!S30</f>
        <v>48696325</v>
      </c>
      <c r="F30" s="393"/>
      <c r="G30" s="393"/>
      <c r="H30" s="392">
        <f>'Sources and Uses Budget'!T30</f>
        <v>0</v>
      </c>
      <c r="I30" s="393"/>
      <c r="J30" s="393"/>
      <c r="K30" s="390"/>
    </row>
    <row r="31" spans="1:11" s="391" customFormat="1">
      <c r="A31" s="145" t="s">
        <v>609</v>
      </c>
      <c r="B31" s="392">
        <f>'Sources and Uses Budget'!C31</f>
        <v>2921780</v>
      </c>
      <c r="C31" s="393"/>
      <c r="D31" s="393"/>
      <c r="E31" s="392">
        <f>'Sources and Uses Budget'!S31</f>
        <v>2921780</v>
      </c>
      <c r="F31" s="393"/>
      <c r="G31" s="393"/>
      <c r="H31" s="392">
        <f>'Sources and Uses Budget'!T31</f>
        <v>0</v>
      </c>
      <c r="I31" s="393"/>
      <c r="J31" s="393"/>
      <c r="K31" s="390"/>
    </row>
    <row r="32" spans="1:11" s="391" customFormat="1">
      <c r="A32" s="145" t="s">
        <v>137</v>
      </c>
      <c r="B32" s="392">
        <f>'Sources and Uses Budget'!C32</f>
        <v>777551</v>
      </c>
      <c r="C32" s="393"/>
      <c r="D32" s="393"/>
      <c r="E32" s="392">
        <f>'Sources and Uses Budget'!S32</f>
        <v>777551</v>
      </c>
      <c r="F32" s="393"/>
      <c r="G32" s="393"/>
      <c r="H32" s="392">
        <f>'Sources and Uses Budget'!T32</f>
        <v>0</v>
      </c>
      <c r="I32" s="393"/>
      <c r="J32" s="393"/>
      <c r="K32" s="390"/>
    </row>
    <row r="33" spans="1:11" s="391" customFormat="1">
      <c r="A33" s="145" t="s">
        <v>138</v>
      </c>
      <c r="B33" s="392">
        <f>'Sources and Uses Budget'!C33</f>
        <v>2921780</v>
      </c>
      <c r="C33" s="393"/>
      <c r="D33" s="393"/>
      <c r="E33" s="392">
        <f>'Sources and Uses Budget'!S33</f>
        <v>2921780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150000</v>
      </c>
      <c r="C35" s="393"/>
      <c r="D35" s="393"/>
      <c r="E35" s="392">
        <f>'Sources and Uses Budget'!S35</f>
        <v>150000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P &amp; P Bond</v>
      </c>
      <c r="B37" s="392">
        <f>'Sources and Uses Budget'!C37</f>
        <v>2111257</v>
      </c>
      <c r="C37" s="393"/>
      <c r="D37" s="393"/>
      <c r="E37" s="392">
        <f>'Sources and Uses Budget'!S37</f>
        <v>2111257</v>
      </c>
      <c r="F37" s="393"/>
      <c r="G37" s="393"/>
      <c r="H37" s="392">
        <f>'Sources and Uses Budget'!T37</f>
        <v>0</v>
      </c>
      <c r="I37" s="393"/>
      <c r="J37" s="393"/>
      <c r="K37" s="390"/>
    </row>
    <row r="38" spans="1:11" s="391" customFormat="1">
      <c r="A38" s="396" t="s">
        <v>143</v>
      </c>
      <c r="B38" s="392">
        <f>'Sources and Uses Budget'!C38</f>
        <v>57578693</v>
      </c>
      <c r="C38" s="392">
        <f>SUM(C29:C37)</f>
        <v>0</v>
      </c>
      <c r="D38" s="392">
        <f>SUM(D29:D37)</f>
        <v>0</v>
      </c>
      <c r="E38" s="392">
        <f>'Sources and Uses Budget'!S38</f>
        <v>57578693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629425</v>
      </c>
      <c r="C40" s="393"/>
      <c r="D40" s="393"/>
      <c r="E40" s="392">
        <f>'Sources and Uses Budget'!S40</f>
        <v>629425</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629425</v>
      </c>
      <c r="C42" s="392">
        <f>SUM(C39:C41)</f>
        <v>0</v>
      </c>
      <c r="D42" s="392">
        <f>SUM(D39:D41)</f>
        <v>0</v>
      </c>
      <c r="E42" s="392">
        <f>'Sources and Uses Budget'!S42</f>
        <v>629425</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31750</v>
      </c>
      <c r="C43" s="393"/>
      <c r="D43" s="393"/>
      <c r="E43" s="392">
        <f>'Sources and Uses Budget'!S43</f>
        <v>31750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5656100</v>
      </c>
      <c r="C45" s="393"/>
      <c r="D45" s="393"/>
      <c r="E45" s="392">
        <f>'Sources and Uses Budget'!S45</f>
        <v>4242075</v>
      </c>
      <c r="F45" s="393"/>
      <c r="G45" s="393"/>
      <c r="H45" s="392">
        <f>'Sources and Uses Budget'!T45</f>
        <v>0</v>
      </c>
      <c r="I45" s="393"/>
      <c r="J45" s="393"/>
      <c r="K45" s="390"/>
    </row>
    <row r="46" spans="1:11" s="391" customFormat="1">
      <c r="A46" s="395" t="s">
        <v>151</v>
      </c>
      <c r="B46" s="392">
        <f>'Sources and Uses Budget'!C46</f>
        <v>824554</v>
      </c>
      <c r="C46" s="393"/>
      <c r="D46" s="393"/>
      <c r="E46" s="392">
        <f>'Sources and Uses Budget'!S46</f>
        <v>659643</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90000</v>
      </c>
      <c r="C50" s="393"/>
      <c r="D50" s="393"/>
      <c r="E50" s="392">
        <f>'Sources and Uses Budget'!S50</f>
        <v>90000</v>
      </c>
      <c r="F50" s="393"/>
      <c r="G50" s="393"/>
      <c r="H50" s="392">
        <f>'Sources and Uses Budget'!T50</f>
        <v>0</v>
      </c>
      <c r="I50" s="393"/>
      <c r="J50" s="393"/>
      <c r="K50" s="390"/>
    </row>
    <row r="51" spans="1:11" s="391" customFormat="1">
      <c r="A51" s="395" t="s">
        <v>154</v>
      </c>
      <c r="B51" s="392">
        <f>'Sources and Uses Budget'!C51</f>
        <v>12000</v>
      </c>
      <c r="C51" s="393"/>
      <c r="D51" s="393"/>
      <c r="E51" s="392">
        <f>'Sources and Uses Budget'!S51</f>
        <v>12000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HUD Fees</v>
      </c>
      <c r="B53" s="392">
        <f>'Sources and Uses Budget'!C53</f>
        <v>1262498</v>
      </c>
      <c r="C53" s="393"/>
      <c r="D53" s="393"/>
      <c r="E53" s="392">
        <f>'Sources and Uses Budget'!S53</f>
        <v>1009998</v>
      </c>
      <c r="F53" s="393"/>
      <c r="G53" s="393"/>
      <c r="H53" s="392">
        <f>'Sources and Uses Budget'!T53</f>
        <v>0</v>
      </c>
      <c r="I53" s="393"/>
      <c r="J53" s="393"/>
      <c r="K53" s="390"/>
    </row>
    <row r="54" spans="1:11" s="400" customFormat="1">
      <c r="A54" s="396" t="s">
        <v>157</v>
      </c>
      <c r="B54" s="392">
        <f>'Sources and Uses Budget'!C54</f>
        <v>7845152</v>
      </c>
      <c r="C54" s="398">
        <f>SUM(C45:C53)</f>
        <v>0</v>
      </c>
      <c r="D54" s="398">
        <f>SUM(D45:D53)</f>
        <v>0</v>
      </c>
      <c r="E54" s="392">
        <f>'Sources and Uses Budget'!S54</f>
        <v>6013716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Bond Issuance Fees</v>
      </c>
      <c r="B61" s="392">
        <f>'Sources and Uses Budget'!C61</f>
        <v>94000</v>
      </c>
      <c r="C61" s="393"/>
      <c r="D61" s="393"/>
      <c r="E61" s="394"/>
      <c r="F61" s="394"/>
      <c r="G61" s="394"/>
      <c r="H61" s="394"/>
      <c r="I61" s="394"/>
      <c r="J61" s="394"/>
      <c r="K61" s="390"/>
    </row>
    <row r="62" spans="1:11" s="391" customFormat="1" ht="13.7" customHeight="1">
      <c r="A62" s="396" t="s">
        <v>302</v>
      </c>
      <c r="B62" s="392">
        <f>'Sources and Uses Budget'!C62</f>
        <v>94000</v>
      </c>
      <c r="C62" s="392">
        <f>SUM(C56:C61)</f>
        <v>0</v>
      </c>
      <c r="D62" s="392">
        <f>SUM(D56:D61)</f>
        <v>0</v>
      </c>
      <c r="E62" s="394"/>
      <c r="F62" s="394"/>
      <c r="G62" s="394"/>
      <c r="H62" s="394"/>
      <c r="I62" s="394"/>
      <c r="J62" s="394"/>
      <c r="K62" s="390"/>
    </row>
    <row r="63" spans="1:11" s="391" customFormat="1">
      <c r="A63" s="401" t="s">
        <v>303</v>
      </c>
      <c r="B63" s="392">
        <f>'Sources and Uses Budget'!C63</f>
        <v>70298620</v>
      </c>
      <c r="C63" s="392">
        <f>SUM(C8+C11+C13+C14+C15+C26+C27+C38+C42+C43+C54+C62)</f>
        <v>0</v>
      </c>
      <c r="D63" s="392">
        <f>SUM(D8+D11+D13+D14+D15+D26+D27+D38+D42+D43+D54+D62)</f>
        <v>0</v>
      </c>
      <c r="E63" s="392">
        <f>'Sources and Uses Budget'!S63</f>
        <v>64253584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0</v>
      </c>
      <c r="C65" s="393"/>
      <c r="D65" s="393"/>
      <c r="E65" s="392">
        <f>'Sources and Uses Budget'!S65</f>
        <v>0</v>
      </c>
      <c r="F65" s="393"/>
      <c r="G65" s="393"/>
      <c r="H65" s="392">
        <f>'Sources and Uses Budget'!T65</f>
        <v>0</v>
      </c>
      <c r="I65" s="393"/>
      <c r="J65" s="393"/>
      <c r="K65" s="390"/>
    </row>
    <row r="66" spans="1:11" s="391" customFormat="1" ht="24">
      <c r="A66" s="304" t="s">
        <v>1753</v>
      </c>
      <c r="B66" s="392">
        <f>'Sources and Uses Budget'!C66</f>
        <v>125000</v>
      </c>
      <c r="C66" s="393"/>
      <c r="D66" s="393"/>
      <c r="E66" s="392">
        <f>'Sources and Uses Budget'!S66</f>
        <v>125000</v>
      </c>
      <c r="F66" s="393"/>
      <c r="G66" s="393"/>
      <c r="H66" s="392">
        <f>'Sources and Uses Budget'!T66</f>
        <v>0</v>
      </c>
      <c r="I66" s="393"/>
      <c r="J66" s="393"/>
      <c r="K66" s="390"/>
    </row>
    <row r="67" spans="1:11" s="391" customFormat="1" ht="24">
      <c r="A67" s="304" t="s">
        <v>1754</v>
      </c>
      <c r="B67" s="392">
        <f>'Sources and Uses Budget'!C67</f>
        <v>100000</v>
      </c>
      <c r="C67" s="393"/>
      <c r="D67" s="393"/>
      <c r="E67" s="392">
        <f>'Sources and Uses Budget'!S67</f>
        <v>100000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560000</v>
      </c>
      <c r="C69" s="393"/>
      <c r="D69" s="393"/>
      <c r="E69" s="392">
        <f>'Sources and Uses Budget'!S69</f>
        <v>560000</v>
      </c>
      <c r="F69" s="393"/>
      <c r="G69" s="393"/>
      <c r="H69" s="392">
        <f>'Sources and Uses Budget'!T69</f>
        <v>0</v>
      </c>
      <c r="I69" s="393"/>
      <c r="J69" s="393"/>
      <c r="K69" s="390"/>
    </row>
    <row r="70" spans="1:11" s="391" customFormat="1">
      <c r="A70" s="396" t="s">
        <v>610</v>
      </c>
      <c r="B70" s="392">
        <f>'Sources and Uses Budget'!C70</f>
        <v>785000</v>
      </c>
      <c r="C70" s="392">
        <f>SUM(C64:C69)</f>
        <v>0</v>
      </c>
      <c r="D70" s="392">
        <f>SUM(D64:D69)</f>
        <v>0</v>
      </c>
      <c r="E70" s="392">
        <f>'Sources and Uses Budget'!S70</f>
        <v>785000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173334</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1224612</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1397946</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3327909</v>
      </c>
      <c r="C79" s="393"/>
      <c r="D79" s="393"/>
      <c r="E79" s="392">
        <f>'Sources and Uses Budget'!S79</f>
        <v>3327909</v>
      </c>
      <c r="F79" s="393"/>
      <c r="G79" s="393"/>
      <c r="H79" s="392">
        <f>'Sources and Uses Budget'!T79</f>
        <v>0</v>
      </c>
      <c r="I79" s="393"/>
      <c r="J79" s="393"/>
      <c r="K79" s="390"/>
    </row>
    <row r="80" spans="1:11" s="391" customFormat="1">
      <c r="A80" s="395" t="s">
        <v>58</v>
      </c>
      <c r="B80" s="392">
        <f>'Sources and Uses Budget'!C80</f>
        <v>1250000</v>
      </c>
      <c r="C80" s="393"/>
      <c r="D80" s="393"/>
      <c r="E80" s="392">
        <f>'Sources and Uses Budget'!S80</f>
        <v>1250000</v>
      </c>
      <c r="F80" s="393"/>
      <c r="G80" s="393"/>
      <c r="H80" s="392">
        <f>'Sources and Uses Budget'!T80</f>
        <v>0</v>
      </c>
      <c r="I80" s="393"/>
      <c r="J80" s="393"/>
      <c r="K80" s="390"/>
    </row>
    <row r="81" spans="1:11" s="391" customFormat="1">
      <c r="A81" s="396" t="s">
        <v>1316</v>
      </c>
      <c r="B81" s="392">
        <f>'Sources and Uses Budget'!C81</f>
        <v>4577909</v>
      </c>
      <c r="C81" s="392">
        <f>SUM(C79:C80)</f>
        <v>0</v>
      </c>
      <c r="D81" s="392">
        <f>SUM(D79:D80)</f>
        <v>0</v>
      </c>
      <c r="E81" s="392">
        <f>'Sources and Uses Budget'!S81</f>
        <v>4577909</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130591</v>
      </c>
      <c r="C83" s="393"/>
      <c r="D83" s="393"/>
      <c r="E83" s="394"/>
      <c r="F83" s="394"/>
      <c r="G83" s="394"/>
      <c r="H83" s="394"/>
      <c r="I83" s="394"/>
      <c r="J83" s="394"/>
      <c r="K83" s="390"/>
    </row>
    <row r="84" spans="1:11" s="391" customFormat="1">
      <c r="A84" s="145" t="s">
        <v>777</v>
      </c>
      <c r="B84" s="392">
        <f>'Sources and Uses Budget'!C84</f>
        <v>255000</v>
      </c>
      <c r="C84" s="393"/>
      <c r="D84" s="393"/>
      <c r="E84" s="392">
        <f>'Sources and Uses Budget'!S84</f>
        <v>255000</v>
      </c>
      <c r="F84" s="393"/>
      <c r="G84" s="393"/>
      <c r="H84" s="392">
        <f>'Sources and Uses Budget'!T84</f>
        <v>0</v>
      </c>
      <c r="I84" s="393"/>
      <c r="J84" s="393"/>
      <c r="K84" s="390"/>
    </row>
    <row r="85" spans="1:11" s="391" customFormat="1">
      <c r="A85" s="145" t="s">
        <v>778</v>
      </c>
      <c r="B85" s="392">
        <f>'Sources and Uses Budget'!C85</f>
        <v>522727</v>
      </c>
      <c r="C85" s="393"/>
      <c r="D85" s="393"/>
      <c r="E85" s="392">
        <f>'Sources and Uses Budget'!S85</f>
        <v>522727</v>
      </c>
      <c r="F85" s="393"/>
      <c r="G85" s="393"/>
      <c r="H85" s="392">
        <f>'Sources and Uses Budget'!T85</f>
        <v>0</v>
      </c>
      <c r="I85" s="393"/>
      <c r="J85" s="393"/>
      <c r="K85" s="390"/>
    </row>
    <row r="86" spans="1:11" s="391" customFormat="1">
      <c r="A86" s="145" t="s">
        <v>779</v>
      </c>
      <c r="B86" s="392">
        <f>'Sources and Uses Budget'!C86</f>
        <v>543237</v>
      </c>
      <c r="C86" s="393"/>
      <c r="D86" s="393"/>
      <c r="E86" s="392">
        <f>'Sources and Uses Budget'!S86</f>
        <v>274000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150000</v>
      </c>
      <c r="C88" s="393"/>
      <c r="D88" s="393"/>
      <c r="E88" s="394"/>
      <c r="F88" s="394"/>
      <c r="G88" s="394"/>
      <c r="H88" s="394"/>
      <c r="I88" s="394"/>
      <c r="J88" s="394"/>
      <c r="K88" s="390"/>
    </row>
    <row r="89" spans="1:11" s="391" customFormat="1">
      <c r="A89" s="145" t="s">
        <v>782</v>
      </c>
      <c r="B89" s="392">
        <f>'Sources and Uses Budget'!C89</f>
        <v>700000</v>
      </c>
      <c r="C89" s="393"/>
      <c r="D89" s="393"/>
      <c r="E89" s="392">
        <f>'Sources and Uses Budget'!S89</f>
        <v>700000</v>
      </c>
      <c r="F89" s="393"/>
      <c r="G89" s="393"/>
      <c r="H89" s="392">
        <f>'Sources and Uses Budget'!T89</f>
        <v>0</v>
      </c>
      <c r="I89" s="393"/>
      <c r="J89" s="393"/>
      <c r="K89" s="390"/>
    </row>
    <row r="90" spans="1:11" s="391" customFormat="1">
      <c r="A90" s="145" t="s">
        <v>783</v>
      </c>
      <c r="B90" s="392">
        <f>'Sources and Uses Budget'!C90</f>
        <v>20000</v>
      </c>
      <c r="C90" s="393"/>
      <c r="D90" s="393"/>
      <c r="E90" s="392">
        <f>'Sources and Uses Budget'!S90</f>
        <v>20000</v>
      </c>
      <c r="F90" s="393"/>
      <c r="G90" s="393"/>
      <c r="H90" s="392">
        <f>'Sources and Uses Budget'!T90</f>
        <v>0</v>
      </c>
      <c r="I90" s="393"/>
      <c r="J90" s="393"/>
      <c r="K90" s="390"/>
    </row>
    <row r="91" spans="1:11" s="391" customFormat="1">
      <c r="A91" s="155" t="s">
        <v>373</v>
      </c>
      <c r="B91" s="392">
        <f>'Sources and Uses Budget'!C91</f>
        <v>85000</v>
      </c>
      <c r="C91" s="393"/>
      <c r="D91" s="393"/>
      <c r="E91" s="392">
        <f>'Sources and Uses Budget'!S91</f>
        <v>25000</v>
      </c>
      <c r="F91" s="393"/>
      <c r="G91" s="393"/>
      <c r="H91" s="392">
        <f>'Sources and Uses Budget'!T91</f>
        <v>0</v>
      </c>
      <c r="I91" s="393"/>
      <c r="J91" s="393"/>
      <c r="K91" s="390"/>
    </row>
    <row r="92" spans="1:11" s="391" customFormat="1">
      <c r="A92" s="542" t="s">
        <v>1318</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Consultants</v>
      </c>
      <c r="B93" s="392">
        <f>'Sources and Uses Budget'!C93</f>
        <v>1970120</v>
      </c>
      <c r="C93" s="393"/>
      <c r="D93" s="393"/>
      <c r="E93" s="392">
        <f>'Sources and Uses Budget'!S93</f>
        <v>1970120</v>
      </c>
      <c r="F93" s="393"/>
      <c r="G93" s="393"/>
      <c r="H93" s="392">
        <f>'Sources and Uses Budget'!T93</f>
        <v>0</v>
      </c>
      <c r="I93" s="393"/>
      <c r="J93" s="393"/>
      <c r="K93" s="390"/>
    </row>
    <row r="94" spans="1:11" s="391" customFormat="1">
      <c r="A94" s="395" t="str">
        <f>'Sources and Uses Budget'!$A94</f>
        <v>Other: Investor Diligence</v>
      </c>
      <c r="B94" s="392">
        <f>'Sources and Uses Budget'!C94</f>
        <v>25000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4416675</v>
      </c>
      <c r="C96" s="392">
        <f>SUM(C83:C95)</f>
        <v>0</v>
      </c>
      <c r="D96" s="392">
        <f>SUM(D83:D95)</f>
        <v>0</v>
      </c>
      <c r="E96" s="392">
        <f>'Sources and Uses Budget'!S96</f>
        <v>3781847</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81476150</v>
      </c>
      <c r="C97" s="392">
        <f>SUM(C63+C70+C77+C81+C96)</f>
        <v>0</v>
      </c>
      <c r="D97" s="392">
        <f>SUM(D63+D70+D77+D81+D96)</f>
        <v>0</v>
      </c>
      <c r="E97" s="392">
        <f>'Sources and Uses Budget'!S97</f>
        <v>73398340</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11009751</v>
      </c>
      <c r="C99" s="393"/>
      <c r="D99" s="393"/>
      <c r="E99" s="392">
        <f>'Sources and Uses Budget'!S99</f>
        <v>11009751</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11009751</v>
      </c>
      <c r="C104" s="392">
        <f>SUM(C99:C103)</f>
        <v>0</v>
      </c>
      <c r="D104" s="392">
        <f>SUM(D99:D103)</f>
        <v>0</v>
      </c>
      <c r="E104" s="392">
        <f>'Sources and Uses Budget'!S104</f>
        <v>11009751</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92485901</v>
      </c>
      <c r="C105" s="398">
        <f>SUM(C97+C104)</f>
        <v>0</v>
      </c>
      <c r="D105" s="398">
        <f>SUM(D97+D104)</f>
        <v>0</v>
      </c>
      <c r="E105" s="392">
        <f>'Sources and Uses Budget'!S105</f>
        <v>84408091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84408091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6" workbookViewId="0">
      <selection activeCell="T122" sqref="T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1410</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1415</v>
      </c>
      <c r="AF7" s="1921"/>
      <c r="AG7" s="1921"/>
      <c r="AH7" s="1921"/>
      <c r="AI7" s="1921"/>
      <c r="AJ7" s="1921"/>
      <c r="AK7" s="192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600</v>
      </c>
      <c r="C13" s="210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600</v>
      </c>
      <c r="C16" s="2104"/>
      <c r="D16" s="581"/>
      <c r="E16" s="2096" t="s">
        <v>1417</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1418</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600</v>
      </c>
      <c r="C22" s="2104"/>
      <c r="D22" s="581"/>
      <c r="E22" s="2114" t="s">
        <v>1420</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1418</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600</v>
      </c>
      <c r="C25" s="2104"/>
      <c r="D25" s="581"/>
      <c r="E25" s="2031" t="s">
        <v>2347</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1418</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4" t="s">
        <v>600</v>
      </c>
      <c r="C30" s="2104"/>
      <c r="D30" s="581"/>
      <c r="E30" s="2114" t="s">
        <v>2319</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600</v>
      </c>
      <c r="C33" s="2104"/>
      <c r="D33" s="581"/>
      <c r="E33" s="2031" t="s">
        <v>2320</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600</v>
      </c>
      <c r="C39" s="2104"/>
      <c r="D39" s="1186"/>
      <c r="E39" s="2031" t="s">
        <v>2321</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600</v>
      </c>
      <c r="C46" s="2104"/>
      <c r="D46" s="574"/>
      <c r="E46" s="2031" t="s">
        <v>2326</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600</v>
      </c>
      <c r="C50" s="2104"/>
      <c r="D50" s="574"/>
      <c r="E50" s="2130" t="s">
        <v>2327</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600</v>
      </c>
      <c r="C52" s="2104"/>
      <c r="D52" s="574"/>
      <c r="E52" s="2031" t="s">
        <v>2328</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1424</v>
      </c>
      <c r="AF59" s="1921"/>
      <c r="AG59" s="1921"/>
      <c r="AH59" s="1921"/>
      <c r="AI59" s="1921"/>
      <c r="AJ59" s="1921"/>
      <c r="AK59" s="192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554</v>
      </c>
      <c r="C62" s="2104"/>
      <c r="D62" s="581" t="s">
        <v>1425</v>
      </c>
      <c r="E62" s="2096" t="s">
        <v>2329</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10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10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1426</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554</v>
      </c>
      <c r="C68" s="210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554</v>
      </c>
      <c r="F69" s="210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600</v>
      </c>
      <c r="F70" s="212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600</v>
      </c>
      <c r="F71" s="212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600</v>
      </c>
      <c r="F73" s="210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600</v>
      </c>
      <c r="C75" s="2104"/>
      <c r="D75" s="581" t="s">
        <v>1430</v>
      </c>
      <c r="E75" s="2031" t="s">
        <v>1929</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1415</v>
      </c>
      <c r="AF81" s="1921"/>
      <c r="AG81" s="1921"/>
      <c r="AH81" s="1921"/>
      <c r="AI81" s="1921"/>
      <c r="AJ81" s="1921"/>
      <c r="AK81" s="192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600</v>
      </c>
      <c r="C84" s="2104"/>
      <c r="D84" s="581" t="s">
        <v>1425</v>
      </c>
      <c r="E84" s="2096" t="s">
        <v>1435</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0.58347107438016521</v>
      </c>
      <c r="F87" s="2093"/>
      <c r="G87" s="2093"/>
      <c r="H87" s="20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1.0000000000000009E-2</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2.0000000000000018</v>
      </c>
      <c r="F89" s="2109"/>
      <c r="G89" s="2109"/>
      <c r="H89" s="210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554</v>
      </c>
      <c r="C92" s="2104"/>
      <c r="D92" s="581" t="s">
        <v>1427</v>
      </c>
      <c r="E92" s="2096" t="s">
        <v>1914</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0.58347107438016521</v>
      </c>
      <c r="F97" s="2093"/>
      <c r="G97" s="2093"/>
      <c r="H97" s="20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0.10743801652892562</v>
      </c>
      <c r="F98" s="2093"/>
      <c r="G98" s="2093"/>
      <c r="H98" s="20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0.10743801652892562</v>
      </c>
      <c r="F99" s="2093"/>
      <c r="G99" s="2093"/>
      <c r="H99" s="20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1424</v>
      </c>
      <c r="AF106" s="1921"/>
      <c r="AG106" s="1921"/>
      <c r="AH106" s="1921"/>
      <c r="AI106" s="1921"/>
      <c r="AJ106" s="1921"/>
      <c r="AK106" s="1921"/>
      <c r="AL106" s="574"/>
      <c r="AM106" s="574"/>
      <c r="AN106" s="569"/>
      <c r="AO106" s="570" t="str">
        <f>Application!B718</f>
        <v>SRO/Studio</v>
      </c>
      <c r="AQ106" s="570">
        <f>Application!O718</f>
        <v>656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1141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1384</v>
      </c>
    </row>
    <row r="109" spans="1:49" s="570" customFormat="1" ht="12.75" customHeight="1">
      <c r="A109" s="574"/>
      <c r="B109" s="2104" t="s">
        <v>554</v>
      </c>
      <c r="C109" s="2104"/>
      <c r="D109" s="581" t="s">
        <v>1425</v>
      </c>
      <c r="E109" s="2096" t="s">
        <v>2048</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SRO/Studio</v>
      </c>
      <c r="AQ109" s="570">
        <f>Application!O721</f>
        <v>1795</v>
      </c>
      <c r="AU109" s="570" t="s">
        <v>2030</v>
      </c>
      <c r="AV109" s="629" t="s">
        <v>2031</v>
      </c>
      <c r="AW109" s="570" t="s">
        <v>2032</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1 Bedroom</v>
      </c>
      <c r="AQ110" s="570">
        <f>Application!O722</f>
        <v>678</v>
      </c>
      <c r="AU110" s="890" t="str">
        <f>E118</f>
        <v>Studio/SRO</v>
      </c>
      <c r="AV110" s="570">
        <f t="array" ref="AV110">SUM(IF(Application!B718:F752="SRO/Studio",Application!G718:J752))</f>
        <v>15</v>
      </c>
      <c r="AW110" s="1046">
        <f>AV110/AV116</f>
        <v>0.12396694214876033</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1 Bedroom</v>
      </c>
      <c r="AQ111" s="570">
        <f>Application!O723</f>
        <v>1198</v>
      </c>
      <c r="AU111" s="890" t="str">
        <f>J118</f>
        <v>1-bedroom</v>
      </c>
      <c r="AV111" s="570">
        <f t="array" ref="AV111">SUM(IF(Application!B718:F752="1 Bedroom",Application!G718:J752))</f>
        <v>28</v>
      </c>
      <c r="AW111" s="1046">
        <f>AV111/AV116</f>
        <v>0.23140495867768596</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1 Bedroom</v>
      </c>
      <c r="AQ112" s="570">
        <f>Application!O724</f>
        <v>1458</v>
      </c>
      <c r="AU112" s="890" t="str">
        <f>O118</f>
        <v>2-bedroom</v>
      </c>
      <c r="AV112" s="570">
        <f t="array" ref="AV112">SUM(IF(Application!B718:F752="2 Bedrooms",Application!G718:J752))</f>
        <v>42</v>
      </c>
      <c r="AW112" s="1046">
        <f>AV112/AV116</f>
        <v>0.34710743801652894</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1 Bedroom</v>
      </c>
      <c r="AQ113" s="570">
        <f>Application!O725</f>
        <v>1458</v>
      </c>
      <c r="AU113" s="890" t="str">
        <f>T118</f>
        <v>3-bedroom</v>
      </c>
      <c r="AV113" s="570">
        <f t="array" ref="AV113">SUM(IF(Application!B718:F752="3 Bedrooms",Application!G718:J752))</f>
        <v>36</v>
      </c>
      <c r="AW113" s="1046">
        <f>AV113/AV116</f>
        <v>0.2975206611570248</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1 Bedroom</v>
      </c>
      <c r="AQ114" s="570">
        <f>Application!O726</f>
        <v>1900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2 Bedrooms</v>
      </c>
      <c r="AQ115" s="570">
        <f>Application!O727</f>
        <v>807</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2 Bedrooms</v>
      </c>
      <c r="AQ116" s="570">
        <f>Application!O728</f>
        <v>1431</v>
      </c>
      <c r="AV116" s="570">
        <f>SUM(AV110:AV115)</f>
        <v>121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1743</v>
      </c>
    </row>
    <row r="118" spans="1:52" s="570" customFormat="1" ht="12.75" customHeight="1">
      <c r="A118" s="574"/>
      <c r="B118" s="573"/>
      <c r="C118" s="574"/>
      <c r="D118" s="574"/>
      <c r="E118" s="2092" t="s">
        <v>1699</v>
      </c>
      <c r="F118" s="2093"/>
      <c r="G118" s="2093"/>
      <c r="H118" s="2093"/>
      <c r="I118" s="611"/>
      <c r="J118" s="2093" t="s">
        <v>1743</v>
      </c>
      <c r="K118" s="2093"/>
      <c r="L118" s="2093"/>
      <c r="M118" s="2093"/>
      <c r="N118" s="611"/>
      <c r="O118" s="2093" t="s">
        <v>1744</v>
      </c>
      <c r="P118" s="2093"/>
      <c r="Q118" s="2093"/>
      <c r="R118" s="2093"/>
      <c r="S118" s="611"/>
      <c r="T118" s="2093" t="s">
        <v>1444</v>
      </c>
      <c r="U118" s="2093"/>
      <c r="V118" s="2093"/>
      <c r="W118" s="2093"/>
      <c r="X118" s="611"/>
      <c r="Y118" s="2093" t="s">
        <v>1745</v>
      </c>
      <c r="Z118" s="2093"/>
      <c r="AA118" s="2093"/>
      <c r="AB118" s="2093"/>
      <c r="AC118" s="611"/>
      <c r="AD118" s="2093" t="s">
        <v>1746</v>
      </c>
      <c r="AE118" s="2093"/>
      <c r="AF118" s="2093"/>
      <c r="AG118" s="2093"/>
      <c r="AH118" s="611"/>
      <c r="AI118" s="611"/>
      <c r="AJ118" s="613"/>
      <c r="AK118" s="574"/>
      <c r="AL118" s="574"/>
      <c r="AM118" s="574"/>
      <c r="AN118" s="569"/>
      <c r="AO118" s="570" t="str">
        <f>Application!B730</f>
        <v>2 Bedrooms</v>
      </c>
      <c r="AQ118" s="570">
        <f>Application!O730</f>
        <v>1743</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2367</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921</v>
      </c>
    </row>
    <row r="121" spans="1:52" s="570" customFormat="1" ht="12.75" customHeight="1">
      <c r="A121" s="574"/>
      <c r="B121" s="573"/>
      <c r="C121" s="574"/>
      <c r="D121" s="574"/>
      <c r="E121" s="2094">
        <v>1999</v>
      </c>
      <c r="F121" s="2095"/>
      <c r="G121" s="2095"/>
      <c r="H121" s="2095"/>
      <c r="I121" s="898"/>
      <c r="J121" s="2095">
        <v>2115</v>
      </c>
      <c r="K121" s="2095"/>
      <c r="L121" s="2095"/>
      <c r="M121" s="2095"/>
      <c r="N121" s="898"/>
      <c r="O121" s="2095">
        <v>2999</v>
      </c>
      <c r="P121" s="2095"/>
      <c r="Q121" s="2095"/>
      <c r="R121" s="2095"/>
      <c r="S121" s="898"/>
      <c r="T121" s="2095">
        <v>3077</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t="str">
        <f>Application!B733</f>
        <v>3 Bedrooms</v>
      </c>
      <c r="AQ121" s="570">
        <f>Application!O733</f>
        <v>1643</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2003</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2725</v>
      </c>
      <c r="AU123" s="1044"/>
      <c r="AV123" s="1044"/>
      <c r="AW123" s="1044"/>
      <c r="AX123" s="1044"/>
      <c r="AY123" s="1044"/>
      <c r="AZ123" s="1044"/>
    </row>
    <row r="124" spans="1:52" s="570" customFormat="1" ht="12.75" customHeight="1">
      <c r="A124" s="574"/>
      <c r="B124" s="573"/>
      <c r="C124" s="574"/>
      <c r="D124" s="574"/>
      <c r="E124" s="2102">
        <f>Application!DX670</f>
        <v>1336.7333333333333</v>
      </c>
      <c r="F124" s="2103"/>
      <c r="G124" s="2103"/>
      <c r="H124" s="2103"/>
      <c r="I124" s="898"/>
      <c r="J124" s="2103">
        <f>Application!EC670</f>
        <v>1425.5</v>
      </c>
      <c r="K124" s="2103"/>
      <c r="L124" s="2103"/>
      <c r="M124" s="2103"/>
      <c r="N124" s="898"/>
      <c r="O124" s="2103">
        <f>Application!EH670</f>
        <v>1728.1428571428573</v>
      </c>
      <c r="P124" s="2103"/>
      <c r="Q124" s="2103"/>
      <c r="R124" s="2103"/>
      <c r="S124" s="902"/>
      <c r="T124" s="2103">
        <f>Application!EM670</f>
        <v>1862.8333333333333</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f>(E121-E124)/E121</f>
        <v>0.33129898282474568</v>
      </c>
      <c r="F127" s="1895"/>
      <c r="G127" s="1895"/>
      <c r="H127" s="1896"/>
      <c r="I127" s="611"/>
      <c r="J127" s="1894">
        <f>(J121-J124)/J121</f>
        <v>0.32600472813238773</v>
      </c>
      <c r="K127" s="1895"/>
      <c r="L127" s="1895"/>
      <c r="M127" s="1896"/>
      <c r="N127" s="611"/>
      <c r="O127" s="1894">
        <f>(O121-O124)/O121</f>
        <v>0.42376030105273182</v>
      </c>
      <c r="P127" s="1895"/>
      <c r="Q127" s="1895"/>
      <c r="R127" s="1896"/>
      <c r="S127" s="611"/>
      <c r="T127" s="1894">
        <f>(T121-T124)/T121</f>
        <v>0.39459430180912147</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f>IF(((E127-0.1)*AW110)&gt;0,((E127-0.1)*AW110),0)</f>
        <v>2.8673427622902356E-2</v>
      </c>
      <c r="F130" s="2106"/>
      <c r="G130" s="2106"/>
      <c r="H130" s="2107"/>
      <c r="I130" s="611"/>
      <c r="J130" s="2105">
        <f>IF(((J127-0.1)*AW111)&gt;0,((J127-0.1)*AW111),0)</f>
        <v>5.2298614774436834E-2</v>
      </c>
      <c r="K130" s="2106"/>
      <c r="L130" s="2106"/>
      <c r="M130" s="2107"/>
      <c r="N130" s="611"/>
      <c r="O130" s="2105">
        <f>IF(((O127-0.1)*AW112)&gt;0,((O127-0.1)*AW112),0)</f>
        <v>0.11237960862987385</v>
      </c>
      <c r="P130" s="2106"/>
      <c r="Q130" s="2106"/>
      <c r="R130" s="2107"/>
      <c r="S130" s="611"/>
      <c r="T130" s="2105">
        <f>IF(((T127-0.1)*AW113)&gt;0,((T127-0.1)*AW113),0)</f>
        <v>8.7647891447341933E-2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0.28000000000000003</v>
      </c>
      <c r="F132" s="1895"/>
      <c r="G132" s="1895"/>
      <c r="H132" s="189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1" t="s">
        <v>1424</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1448</v>
      </c>
      <c r="AG142" s="1988"/>
      <c r="AH142" s="1988"/>
      <c r="AI142" s="1988"/>
      <c r="AJ142" s="1988"/>
      <c r="AK142" s="1988"/>
      <c r="AL142" s="198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2658</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3" t="s">
        <v>1451</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4" t="s">
        <v>600</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3" t="s">
        <v>1453</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1462</v>
      </c>
      <c r="AG157" s="1988"/>
      <c r="AH157" s="1988"/>
      <c r="AI157" s="1988"/>
      <c r="AJ157" s="1988"/>
      <c r="AK157" s="1988"/>
      <c r="AL157" s="198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1460</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600</v>
      </c>
      <c r="AG161" s="202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3" t="s">
        <v>1453</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4" t="str">
        <f>Application!AA335</f>
        <v>WinnResidential California L.P</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1424</v>
      </c>
      <c r="AF175" s="1921"/>
      <c r="AG175" s="1921"/>
      <c r="AH175" s="1921"/>
      <c r="AI175" s="1921"/>
      <c r="AJ175" s="1921"/>
      <c r="AK175" s="1921"/>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0" t="s">
        <v>1066</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1473</v>
      </c>
      <c r="AG177" s="1988"/>
      <c r="AH177" s="1988"/>
      <c r="AI177" s="1988"/>
      <c r="AJ177" s="1988"/>
      <c r="AK177" s="1988"/>
      <c r="AL177" s="1988"/>
      <c r="AN177" s="631"/>
      <c r="AP177" s="584" t="s">
        <v>1068</v>
      </c>
      <c r="AQ177" s="584">
        <v>10</v>
      </c>
    </row>
    <row r="178" spans="1:45" s="584" customFormat="1" ht="12.75" customHeight="1">
      <c r="A178" s="570"/>
      <c r="B178" s="2081" t="s">
        <v>1915</v>
      </c>
      <c r="C178" s="2081"/>
      <c r="D178" s="2081"/>
      <c r="E178" s="2081"/>
      <c r="F178" s="2081"/>
      <c r="G178" s="2081"/>
      <c r="H178" s="2081"/>
      <c r="I178" s="2081"/>
      <c r="J178" s="2081"/>
      <c r="K178" s="2081"/>
      <c r="L178" s="2081"/>
      <c r="M178" s="2081"/>
      <c r="N178" s="2081"/>
      <c r="O178" s="2081"/>
      <c r="P178" s="2081"/>
      <c r="Q178" s="2081"/>
      <c r="R178" s="2081"/>
      <c r="S178" s="2081"/>
      <c r="T178" s="2082" t="s">
        <v>600</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5">
        <f>IF(AK78&gt;0,VLOOKUP($B$177,AP174:AQ180,2,FALSE),0)</f>
        <v>10</v>
      </c>
      <c r="AL180" s="1916"/>
      <c r="AM180" s="191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1482</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2758</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v>7843392</v>
      </c>
      <c r="AE188" s="2064"/>
      <c r="AF188" s="2064"/>
      <c r="AG188" s="2064"/>
      <c r="AH188" s="2064"/>
      <c r="AI188" s="2064"/>
      <c r="AJ188" s="2064"/>
      <c r="AK188" s="644"/>
    </row>
    <row r="189" spans="1:45">
      <c r="A189" s="639"/>
      <c r="B189" s="2074"/>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c r="AE189" s="2064"/>
      <c r="AF189" s="2064"/>
      <c r="AG189" s="2064"/>
      <c r="AH189" s="2064"/>
      <c r="AI189" s="2064"/>
      <c r="AJ189" s="2064"/>
      <c r="AK189" s="644"/>
    </row>
    <row r="190" spans="1:45">
      <c r="A190" s="639"/>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1738</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10237860.423222348</v>
      </c>
      <c r="AE198" s="2062"/>
      <c r="AF198" s="2062"/>
      <c r="AG198" s="2062"/>
      <c r="AH198" s="2062"/>
      <c r="AI198" s="2062"/>
      <c r="AJ198" s="2062"/>
      <c r="AK198" s="644"/>
    </row>
    <row r="199" spans="1:37">
      <c r="A199" s="639"/>
      <c r="B199" s="1933" t="s">
        <v>1701</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8">
        <f>SUM(AD188:AJ198)-AD199</f>
        <v>18081252.423222348</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1718</v>
      </c>
      <c r="J211" s="2088"/>
      <c r="K211" s="2088"/>
      <c r="L211" s="570"/>
      <c r="M211" s="570"/>
      <c r="N211" s="570"/>
      <c r="O211" s="570"/>
      <c r="P211" s="570"/>
      <c r="Q211" s="570"/>
      <c r="R211" s="570"/>
      <c r="S211" s="570"/>
      <c r="T211" s="1899" t="s">
        <v>1712</v>
      </c>
      <c r="U211" s="1899"/>
      <c r="V211" s="1899"/>
      <c r="W211" s="1899"/>
      <c r="X211" s="1899"/>
      <c r="Y211" s="1899"/>
      <c r="Z211" s="883"/>
      <c r="AA211" s="523"/>
      <c r="AB211" s="2085" t="s">
        <v>1713</v>
      </c>
      <c r="AC211" s="2085"/>
      <c r="AD211" s="2085"/>
      <c r="AE211" s="2085"/>
      <c r="AF211" s="2085"/>
      <c r="AG211" s="2085"/>
      <c r="AH211" s="861"/>
      <c r="AI211" s="861"/>
      <c r="AJ211" s="861"/>
      <c r="AK211" s="644"/>
    </row>
    <row r="212" spans="1:37">
      <c r="A212" s="639"/>
      <c r="B212" s="2086" t="s">
        <v>1698</v>
      </c>
      <c r="C212" s="2086"/>
      <c r="D212" s="2086"/>
      <c r="E212" s="2086"/>
      <c r="F212" s="2086"/>
      <c r="G212" s="2086"/>
      <c r="I212" s="2087" t="s">
        <v>1719</v>
      </c>
      <c r="J212" s="2087"/>
      <c r="K212" s="2087"/>
      <c r="L212" s="1043"/>
      <c r="N212" s="1934" t="s">
        <v>1714</v>
      </c>
      <c r="O212" s="1934"/>
      <c r="P212" s="1934"/>
      <c r="Q212" s="1934"/>
      <c r="R212" s="1934"/>
      <c r="T212" s="1934" t="s">
        <v>1715</v>
      </c>
      <c r="U212" s="1934"/>
      <c r="V212" s="1934"/>
      <c r="W212" s="1934"/>
      <c r="X212" s="1934"/>
      <c r="Y212" s="1934"/>
      <c r="Z212" s="884"/>
      <c r="AA212" s="523"/>
      <c r="AB212" s="1937" t="s">
        <v>1716</v>
      </c>
      <c r="AC212" s="1937"/>
      <c r="AD212" s="1937"/>
      <c r="AE212" s="1937"/>
      <c r="AF212" s="1937"/>
      <c r="AG212" s="1937"/>
      <c r="AH212" s="861"/>
      <c r="AI212" s="861"/>
      <c r="AJ212" s="861"/>
      <c r="AK212" s="644"/>
    </row>
    <row r="213" spans="1:37">
      <c r="A213" s="639"/>
      <c r="B213" s="1936" t="s">
        <v>2745</v>
      </c>
      <c r="C213" s="1936"/>
      <c r="D213" s="1936"/>
      <c r="E213" s="1936"/>
      <c r="F213" s="1936"/>
      <c r="G213" s="1936"/>
      <c r="H213" s="886"/>
      <c r="I213" s="1904">
        <v>10</v>
      </c>
      <c r="J213" s="1904"/>
      <c r="K213" s="1904"/>
      <c r="L213" s="1043"/>
      <c r="N213" s="1901">
        <v>1040</v>
      </c>
      <c r="O213" s="1901"/>
      <c r="P213" s="1901"/>
      <c r="Q213" s="1901"/>
      <c r="R213" s="1901"/>
      <c r="T213" s="1900">
        <v>1892</v>
      </c>
      <c r="U213" s="1900"/>
      <c r="V213" s="1900"/>
      <c r="W213" s="1900"/>
      <c r="X213" s="1900"/>
      <c r="Y213" s="1900"/>
      <c r="Z213" s="885"/>
      <c r="AA213" s="885"/>
      <c r="AB213" s="1898">
        <f t="shared" ref="AB213:AB222" si="0">MAX(($T213-$N213)*$I213*12,0)</f>
        <v>102240</v>
      </c>
      <c r="AC213" s="1898"/>
      <c r="AD213" s="1898"/>
      <c r="AE213" s="1898"/>
      <c r="AF213" s="1898"/>
      <c r="AG213" s="1898"/>
      <c r="AH213" s="861"/>
      <c r="AI213" s="861"/>
      <c r="AJ213" s="861"/>
      <c r="AK213" s="644"/>
    </row>
    <row r="214" spans="1:37">
      <c r="A214" s="639"/>
      <c r="B214" s="1936" t="s">
        <v>2746</v>
      </c>
      <c r="C214" s="1936"/>
      <c r="D214" s="1936"/>
      <c r="E214" s="1936"/>
      <c r="F214" s="1936"/>
      <c r="G214" s="1936"/>
      <c r="I214" s="1904">
        <v>12</v>
      </c>
      <c r="J214" s="1904"/>
      <c r="K214" s="1904"/>
      <c r="L214" s="1043"/>
      <c r="N214" s="1901">
        <v>1248</v>
      </c>
      <c r="O214" s="1901"/>
      <c r="P214" s="1901"/>
      <c r="Q214" s="1901"/>
      <c r="R214" s="1901"/>
      <c r="T214" s="1900">
        <v>2726</v>
      </c>
      <c r="U214" s="1900"/>
      <c r="V214" s="1900"/>
      <c r="W214" s="1900"/>
      <c r="X214" s="1900"/>
      <c r="Y214" s="1900"/>
      <c r="Z214" s="885"/>
      <c r="AA214" s="885"/>
      <c r="AB214" s="1898">
        <f t="shared" si="0"/>
        <v>212832</v>
      </c>
      <c r="AC214" s="1898"/>
      <c r="AD214" s="1898"/>
      <c r="AE214" s="1898"/>
      <c r="AF214" s="1898"/>
      <c r="AG214" s="1898"/>
      <c r="AH214" s="861"/>
      <c r="AI214" s="861"/>
      <c r="AJ214" s="861"/>
      <c r="AK214" s="644"/>
    </row>
    <row r="215" spans="1:37">
      <c r="A215" s="639"/>
      <c r="B215" s="1936" t="s">
        <v>2747</v>
      </c>
      <c r="C215" s="1936"/>
      <c r="D215" s="1936"/>
      <c r="E215" s="1936"/>
      <c r="F215" s="1936"/>
      <c r="G215" s="1936"/>
      <c r="I215" s="1904">
        <v>35</v>
      </c>
      <c r="J215" s="1904"/>
      <c r="K215" s="1904"/>
      <c r="L215" s="1043"/>
      <c r="N215" s="1901">
        <v>1442</v>
      </c>
      <c r="O215" s="1901"/>
      <c r="P215" s="1901"/>
      <c r="Q215" s="1901"/>
      <c r="R215" s="1901"/>
      <c r="T215" s="1900">
        <v>3311</v>
      </c>
      <c r="U215" s="1900"/>
      <c r="V215" s="1900"/>
      <c r="W215" s="1900"/>
      <c r="X215" s="1900"/>
      <c r="Y215" s="1900"/>
      <c r="Z215" s="885"/>
      <c r="AA215" s="885"/>
      <c r="AB215" s="1898">
        <f t="shared" si="0"/>
        <v>784980</v>
      </c>
      <c r="AC215" s="1898"/>
      <c r="AD215" s="1898"/>
      <c r="AE215" s="1898"/>
      <c r="AF215" s="1898"/>
      <c r="AG215" s="1898"/>
      <c r="AH215" s="861"/>
      <c r="AI215" s="861"/>
      <c r="AJ215" s="861"/>
      <c r="AK215" s="644"/>
    </row>
    <row r="216" spans="1:37">
      <c r="A216" s="639"/>
      <c r="B216" s="1936" t="s">
        <v>1291</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1291</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1291</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1291</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1291</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1291</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1291</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8">
        <f>SUM(AB213:AB222)</f>
        <v>1100052</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1100052</v>
      </c>
      <c r="AC239" s="1898"/>
      <c r="AD239" s="1898"/>
      <c r="AE239" s="1898"/>
      <c r="AF239" s="1898"/>
      <c r="AG239" s="189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1045049.4</v>
      </c>
      <c r="AC241" s="2073"/>
      <c r="AD241" s="2073"/>
      <c r="AE241" s="2073"/>
      <c r="AF241" s="2073"/>
      <c r="AG241" s="207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908738.60869565222</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10237860.423222348</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18081252.423222348</v>
      </c>
      <c r="AH257" s="1912"/>
      <c r="AI257" s="1912"/>
      <c r="AJ257" s="1912"/>
      <c r="AK257" s="191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92485901</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0.19</v>
      </c>
      <c r="AH259" s="2061"/>
      <c r="AI259" s="2061"/>
      <c r="AJ259" s="2061"/>
      <c r="AK259" s="2061"/>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554</v>
      </c>
      <c r="D267" s="1930"/>
      <c r="E267" s="581"/>
      <c r="F267" s="1881" t="s">
        <v>2338</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1473</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5" t="s">
        <v>1492</v>
      </c>
      <c r="B281" s="1615"/>
      <c r="C281" s="2024" t="s">
        <v>600</v>
      </c>
      <c r="D281" s="1930"/>
      <c r="E281" s="581"/>
      <c r="F281" s="2052" t="s">
        <v>1493</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2331</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2339</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1494</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1495</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5" t="s">
        <v>1496</v>
      </c>
      <c r="B291" s="1615"/>
      <c r="C291" s="1930" t="s">
        <v>554</v>
      </c>
      <c r="D291" s="193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4" t="s">
        <v>2333</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1499</v>
      </c>
      <c r="B299" s="1615"/>
      <c r="C299" s="1930" t="s">
        <v>600</v>
      </c>
      <c r="D299" s="193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7" t="s">
        <v>2340</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1291</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3" t="s">
        <v>1291</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3" t="s">
        <v>1291</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5" t="s">
        <v>1502</v>
      </c>
      <c r="B322" s="1615"/>
      <c r="C322" s="1930" t="s">
        <v>600</v>
      </c>
      <c r="D322" s="1930"/>
      <c r="E322" s="581"/>
      <c r="F322" s="2031" t="s">
        <v>2341</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1" t="s">
        <v>1424</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1564</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2408</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2570</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1565</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1566</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1567</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590</v>
      </c>
      <c r="AP350" s="730">
        <f>IF(C396="Yes",5,0)</f>
        <v>0</v>
      </c>
      <c r="AS350" s="573" t="s">
        <v>2069</v>
      </c>
    </row>
    <row r="351" spans="1:46" s="584" customFormat="1" ht="12.75" customHeight="1">
      <c r="A351" s="637"/>
      <c r="B351" s="645"/>
      <c r="C351" s="2019" t="s">
        <v>1568</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3</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773</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593</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5" t="s">
        <v>1569</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465</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470</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6">
        <f>Application!CS660-U363</f>
        <v>235</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9" t="s">
        <v>1571</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600</v>
      </c>
      <c r="D370" s="193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1573</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9" t="s">
        <v>1574</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600</v>
      </c>
      <c r="D378" s="193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1573</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9" t="s">
        <v>1576</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554</v>
      </c>
      <c r="D386" s="193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1578</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600</v>
      </c>
      <c r="D388" s="193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1573</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9" t="s">
        <v>1582</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600</v>
      </c>
      <c r="D396" s="193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1573</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554</v>
      </c>
      <c r="D398" s="193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1585</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600</v>
      </c>
      <c r="D401" s="1930"/>
      <c r="E401" s="749" t="s">
        <v>1586</v>
      </c>
      <c r="F401" s="1919" t="s">
        <v>1587</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1573</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9" t="s">
        <v>1589</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600</v>
      </c>
      <c r="D410" s="193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1573</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600</v>
      </c>
      <c r="D412" s="193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1585</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9" t="s">
        <v>1593</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600</v>
      </c>
      <c r="D419" s="193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1573</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9" t="s">
        <v>1596</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600</v>
      </c>
      <c r="D431" s="193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1573</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9" t="s">
        <v>1599</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600</v>
      </c>
      <c r="D438" s="193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1573</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600</v>
      </c>
      <c r="D442" s="2048"/>
      <c r="E442" s="749" t="s">
        <v>1608</v>
      </c>
      <c r="F442" s="1919" t="s">
        <v>1609</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1573</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600</v>
      </c>
      <c r="D446" s="1930"/>
      <c r="E446" s="749" t="s">
        <v>1614</v>
      </c>
      <c r="F446" s="1919" t="s">
        <v>1615</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1573</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9" t="s">
        <v>1618</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600</v>
      </c>
      <c r="D455" s="193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1573</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8" t="s">
        <v>1622</v>
      </c>
      <c r="AF461" s="1918"/>
      <c r="AG461" s="1918"/>
      <c r="AH461" s="1918"/>
      <c r="AI461" s="1918"/>
      <c r="AJ461" s="1918"/>
      <c r="AK461" s="191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5" t="s">
        <v>600</v>
      </c>
      <c r="D467" s="1996"/>
      <c r="E467" s="795" t="s">
        <v>516</v>
      </c>
      <c r="F467" s="2016" t="s">
        <v>1628</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1" t="s">
        <v>600</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2" t="s">
        <v>554</v>
      </c>
      <c r="D471" s="201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4" t="s">
        <v>600</v>
      </c>
      <c r="W474" s="1924"/>
      <c r="X474" s="192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4" t="s">
        <v>600</v>
      </c>
      <c r="W476" s="1924"/>
      <c r="X476" s="192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4" t="s">
        <v>600</v>
      </c>
      <c r="W481" s="1924"/>
      <c r="X481" s="192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8"/>
      <c r="E484" s="199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4" t="s">
        <v>600</v>
      </c>
      <c r="W485" s="1924"/>
      <c r="X485" s="192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4" t="s">
        <v>600</v>
      </c>
      <c r="W487" s="1924"/>
      <c r="X487" s="192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600</v>
      </c>
      <c r="D490" s="1996"/>
      <c r="E490" s="795" t="s">
        <v>516</v>
      </c>
      <c r="F490" s="2016" t="s">
        <v>1628</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600</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600</v>
      </c>
      <c r="D494" s="1996"/>
      <c r="E494" s="795" t="s">
        <v>767</v>
      </c>
      <c r="F494" s="2004" t="s">
        <v>1650</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600</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600</v>
      </c>
      <c r="D499" s="199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600</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600</v>
      </c>
      <c r="D504" s="200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600</v>
      </c>
      <c r="D508" s="2001"/>
      <c r="F508" s="829" t="s">
        <v>1658</v>
      </c>
      <c r="G508" s="1920" t="s">
        <v>1659</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600</v>
      </c>
      <c r="D512" s="200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600</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1671</v>
      </c>
      <c r="AF527" s="1921"/>
      <c r="AG527" s="1921"/>
      <c r="AH527" s="1921"/>
      <c r="AI527" s="1921"/>
      <c r="AJ527" s="1921"/>
      <c r="AK527" s="192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554</v>
      </c>
      <c r="D530" s="1930"/>
      <c r="E530" s="585"/>
      <c r="F530" s="1989" t="s">
        <v>1672</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600</v>
      </c>
      <c r="D533" s="193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1674</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74825164</v>
      </c>
      <c r="AQ539" s="1902"/>
      <c r="AR539" s="190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84408091</v>
      </c>
      <c r="AG540" s="1912"/>
      <c r="AH540" s="1912"/>
      <c r="AI540" s="1912"/>
      <c r="AJ540" s="191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129222008.48</v>
      </c>
      <c r="AG541" s="1913"/>
      <c r="AH541" s="1913"/>
      <c r="AI541" s="1913"/>
      <c r="AJ541" s="1913"/>
      <c r="AK541" s="629"/>
      <c r="AL541" s="629"/>
      <c r="AM541" s="629"/>
      <c r="AN541" s="631"/>
      <c r="AP541" s="1902">
        <f>Application!AJ1044</f>
        <v>7482516.4000000004</v>
      </c>
      <c r="AQ541" s="1902"/>
      <c r="AR541" s="190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0.34</v>
      </c>
      <c r="AG542" s="1914"/>
      <c r="AH542" s="1914"/>
      <c r="AI542" s="1914"/>
      <c r="AJ542" s="1914"/>
      <c r="AK542" s="629"/>
      <c r="AL542" s="629"/>
      <c r="AM542" s="629"/>
      <c r="AN542" s="631"/>
      <c r="AP542" s="1903">
        <f>Application!AJ1048</f>
        <v>14965032.800000001</v>
      </c>
      <c r="AQ542" s="1903"/>
      <c r="AR542" s="190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0.30000000000000004</v>
      </c>
      <c r="AQ543" s="1922"/>
      <c r="AR543" s="1922"/>
      <c r="AS543" s="584" t="s">
        <v>2533</v>
      </c>
    </row>
    <row r="544" spans="1:49" s="584" customFormat="1" ht="12.75" customHeight="1">
      <c r="A544" s="658"/>
      <c r="B544" s="1968" t="s">
        <v>2345</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106774459.28</v>
      </c>
      <c r="AQ545" s="1923"/>
      <c r="AR545" s="1923"/>
      <c r="AS545" s="584" t="s">
        <v>2535</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129222008.48</v>
      </c>
      <c r="AQ546" s="1902"/>
      <c r="AR546" s="190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7">
        <f>IFERROR(IF(AND(C530="N/A",C533="N/A"),0,IF(AF542=0,0,IF((AF542*100)&gt;12,12,(AF542*100)))),0)</f>
        <v>12</v>
      </c>
      <c r="AL548" s="1977"/>
      <c r="AM548" s="1978"/>
      <c r="AN548" s="631"/>
      <c r="AP548" s="1891">
        <f>AP545+(AP539*AP543)</f>
        <v>129222008.48</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1424</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2336</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1448</v>
      </c>
      <c r="AG567" s="1988"/>
      <c r="AH567" s="1988"/>
      <c r="AI567" s="1988"/>
      <c r="AJ567" s="1988"/>
      <c r="AK567" s="1988"/>
      <c r="AL567" s="198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1506</v>
      </c>
      <c r="AG574" s="1988"/>
      <c r="AH574" s="1988"/>
      <c r="AI574" s="1988"/>
      <c r="AJ574" s="1988"/>
      <c r="AK574" s="1988"/>
      <c r="AL574" s="198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1488</v>
      </c>
      <c r="AG580" s="1988"/>
      <c r="AH580" s="1988"/>
      <c r="AI580" s="1988"/>
      <c r="AJ580" s="1988"/>
      <c r="AK580" s="1988"/>
      <c r="AL580" s="198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1509</v>
      </c>
      <c r="AG586" s="1988"/>
      <c r="AH586" s="1988"/>
      <c r="AI586" s="1988"/>
      <c r="AJ586" s="1988"/>
      <c r="AK586" s="1988"/>
      <c r="AL586" s="198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7" t="s">
        <v>1291</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1462</v>
      </c>
      <c r="AG592" s="1988"/>
      <c r="AH592" s="1988"/>
      <c r="AI592" s="1988"/>
      <c r="AJ592" s="1988"/>
      <c r="AK592" s="1988"/>
      <c r="AL592" s="198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2" t="s">
        <v>518</v>
      </c>
      <c r="I595" s="1932"/>
      <c r="J595" s="971"/>
      <c r="K595" s="971"/>
      <c r="L595" s="971"/>
      <c r="N595" s="22"/>
      <c r="O595" s="22"/>
      <c r="P595" s="22"/>
      <c r="Q595" s="1195" t="s">
        <v>2538</v>
      </c>
      <c r="R595" s="2028"/>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6" t="s">
        <v>600</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4" t="s">
        <v>600</v>
      </c>
      <c r="C605" s="2024"/>
      <c r="D605" s="676"/>
      <c r="E605" s="1908" t="s">
        <v>1513</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5">
        <f>VLOOKUP($H$595,$AO$575:$AP$580,2,FALSE)+IF(R595=AO583,0,VLOOKUP($I$603,$AO$602:$AP$604,2,FALSE))</f>
        <v>6</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5" t="s">
        <v>1883</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1462</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4" t="s">
        <v>600</v>
      </c>
      <c r="Y623" s="202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1518</v>
      </c>
      <c r="AG625" s="1988"/>
      <c r="AH625" s="1988"/>
      <c r="AI625" s="1988"/>
      <c r="AJ625" s="1988"/>
      <c r="AK625" s="1988"/>
      <c r="AL625" s="198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2" t="s">
        <v>697</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5">
        <f>VLOOKUP($H$627,$AO$594:$AP$596,2,FALSE)</f>
        <v>3</v>
      </c>
      <c r="AK629" s="191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8" t="s">
        <v>2415</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1462</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1518</v>
      </c>
      <c r="AG636" s="1988"/>
      <c r="AH636" s="1988"/>
      <c r="AI636" s="1988"/>
      <c r="AJ636" s="1988"/>
      <c r="AK636" s="1988"/>
      <c r="AL636" s="198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2" t="s">
        <v>600</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5">
        <f>VLOOKUP(H639,AT594:AU596,2,FALSE)</f>
        <v>0</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8" t="s">
        <v>1528</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1488</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8" t="s">
        <v>1529</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1509</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8" t="s">
        <v>1530</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1462</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600</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8" t="s">
        <v>1531</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1509</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8" t="s">
        <v>1532</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1462</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8" t="s">
        <v>1533</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1518</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8" t="s">
        <v>1534</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1535</v>
      </c>
      <c r="AG670" s="1988"/>
      <c r="AH670" s="1988"/>
      <c r="AI670" s="1988"/>
      <c r="AJ670" s="1988"/>
      <c r="AK670" s="1988"/>
      <c r="AL670" s="1988"/>
      <c r="AM670" s="630"/>
      <c r="AN670" s="631"/>
      <c r="AO670" s="645" t="s">
        <v>697</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2" t="s">
        <v>697</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5">
        <f>VLOOKUP($H$674,$AO$622:$AP$629,2,FALSE)</f>
        <v>5</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121</v>
      </c>
    </row>
    <row r="680" spans="1:51" s="584" customFormat="1" ht="12.75" customHeight="1">
      <c r="A680" s="713"/>
      <c r="B680" s="570"/>
      <c r="C680" s="983"/>
      <c r="D680" s="697" t="s">
        <v>697</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1462</v>
      </c>
      <c r="AG680" s="1988"/>
      <c r="AH680" s="1988"/>
      <c r="AI680" s="1988"/>
      <c r="AJ680" s="1988"/>
      <c r="AK680" s="1988"/>
      <c r="AL680" s="1988"/>
      <c r="AN680" s="631"/>
      <c r="AW680" s="22" t="s">
        <v>2546</v>
      </c>
      <c r="AX680" s="584">
        <f>Application!CC632</f>
        <v>36</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8" t="s">
        <v>2452</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1462</v>
      </c>
      <c r="AG683" s="1988"/>
      <c r="AH683" s="1988"/>
      <c r="AI683" s="1988"/>
      <c r="AJ683" s="1988"/>
      <c r="AK683" s="1988"/>
      <c r="AL683" s="1988"/>
      <c r="AN683" s="631"/>
      <c r="AW683" s="22" t="s">
        <v>2549</v>
      </c>
      <c r="AX683" s="584">
        <f>AX680+AX681+AX682</f>
        <v>36</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2550</v>
      </c>
      <c r="AX684" s="584">
        <f>IFERROR(AX683/AX679,0)</f>
        <v>0.2975206611570248</v>
      </c>
      <c r="AY684" s="584">
        <f>IFERROR(AX683/(AX679-AX678),0)</f>
        <v>0.2975206611570248</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8" t="s">
        <v>2453</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1518</v>
      </c>
      <c r="AG688" s="1988"/>
      <c r="AH688" s="1988"/>
      <c r="AI688" s="1988"/>
      <c r="AJ688" s="1988"/>
      <c r="AK688" s="1988"/>
      <c r="AL688" s="1988"/>
      <c r="AN688" s="631"/>
      <c r="AO688" s="645" t="s">
        <v>518</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8" t="s">
        <v>1882</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2" t="s">
        <v>697</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5">
        <f>VLOOKUP($H$698,$AO$692:$AP$695,2,FALSE)</f>
        <v>3</v>
      </c>
      <c r="AK700" s="191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1462</v>
      </c>
      <c r="AG704" s="1988"/>
      <c r="AH704" s="1988"/>
      <c r="AI704" s="1988"/>
      <c r="AJ704" s="1988"/>
      <c r="AK704" s="1988"/>
      <c r="AL704" s="1988"/>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1518</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2" t="s">
        <v>600</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8" t="s">
        <v>1885</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1462</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8" t="s">
        <v>1549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1518</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2" t="s">
        <v>600</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8" t="s">
        <v>1552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1462</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8" t="s">
        <v>1553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1518</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2" t="s">
        <v>697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5">
        <f>VLOOKUP($H$740,$AO$669:$AP$671,2,FALSE)</f>
        <v>3</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8" t="s">
        <v>1555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1518</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8" t="s">
        <v>1556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1535</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2" t="s">
        <v>518</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5">
        <f>VLOOKUP($H$752,$AO$686:$AP$688,2,FALSE)</f>
        <v>1</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08" t="s">
        <v>1881</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1518</v>
      </c>
      <c r="AG758" s="1988"/>
      <c r="AH758" s="1988"/>
      <c r="AI758" s="1988"/>
      <c r="AJ758" s="1988"/>
      <c r="AK758" s="1988"/>
      <c r="AL758" s="1988"/>
      <c r="AM758" s="647"/>
      <c r="AN758" s="718"/>
      <c r="AO758" s="584" t="s">
        <v>600</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1462</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2" t="s">
        <v>600</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08" t="s">
        <v>2346</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1462</v>
      </c>
      <c r="AG774" s="1988"/>
      <c r="AH774" s="1988"/>
      <c r="AI774" s="1988"/>
      <c r="AJ774" s="1988"/>
      <c r="AK774" s="1988"/>
      <c r="AL774" s="1988"/>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2" t="s">
        <v>600</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1679</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1680</v>
      </c>
      <c r="U791" s="1983"/>
      <c r="V791" s="1983"/>
      <c r="W791" s="1983"/>
      <c r="X791" s="1983"/>
      <c r="Y791" s="1984"/>
      <c r="Z791" s="1982" t="s">
        <v>1681</v>
      </c>
      <c r="AA791" s="1983"/>
      <c r="AB791" s="1983"/>
      <c r="AC791" s="1983"/>
      <c r="AD791" s="1983"/>
      <c r="AE791" s="1984"/>
      <c r="AF791" s="1982" t="s">
        <v>1682</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767</v>
      </c>
      <c r="B793" s="1939" t="s">
        <v>1414</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1652</v>
      </c>
      <c r="B794" s="1939" t="s">
        <v>1423</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1661</v>
      </c>
      <c r="B795" s="1939" t="s">
        <v>1433</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1683</v>
      </c>
      <c r="B796" s="1939" t="s">
        <v>1443</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1684</v>
      </c>
      <c r="B797" s="1939" t="s">
        <v>1685</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1686</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1687</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1471</v>
      </c>
      <c r="B800" s="1939" t="s">
        <v>1688</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1480</v>
      </c>
      <c r="B801" s="1939" t="s">
        <v>1481</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598</v>
      </c>
      <c r="B802" s="1939" t="s">
        <v>1689</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9" t="s">
        <v>1690</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9" t="s">
        <v>1491</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9" t="s">
        <v>857</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9" t="s">
        <v>1670</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9" t="s">
        <v>1692</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1693</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1694</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1695</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L111" sqref="L11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1696</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41699484</v>
      </c>
      <c r="I3" s="1145"/>
    </row>
    <row r="4" spans="1:13" s="1086" customFormat="1" ht="20.100000000000001" customHeight="1">
      <c r="B4" s="1134"/>
      <c r="D4" s="1148"/>
      <c r="F4" s="1132" t="s">
        <v>2301</v>
      </c>
      <c r="G4" s="1131" t="s">
        <v>2300</v>
      </c>
      <c r="H4" s="1133">
        <f>I16</f>
        <v>35306619.677287579</v>
      </c>
      <c r="I4" s="1135"/>
      <c r="K4" s="1090"/>
    </row>
    <row r="5" spans="1:13" s="1086" customFormat="1" ht="20.100000000000001" customHeight="1" thickBot="1">
      <c r="B5" s="1136"/>
      <c r="C5" s="1137"/>
      <c r="D5" s="1149"/>
      <c r="E5" s="1138"/>
      <c r="F5" s="1149" t="s">
        <v>2241</v>
      </c>
      <c r="G5" s="1150"/>
      <c r="H5" s="1146">
        <f>H3/H4</f>
        <v>1.1810670174926119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2239</v>
      </c>
      <c r="C8" s="2144"/>
      <c r="D8" s="2144"/>
      <c r="E8" s="2145"/>
      <c r="G8" s="2146" t="s">
        <v>2240</v>
      </c>
      <c r="H8" s="2147"/>
      <c r="I8" s="2148"/>
      <c r="K8" s="1092"/>
    </row>
    <row r="9" spans="1:13" ht="15" customHeight="1">
      <c r="A9" s="1081"/>
      <c r="B9" s="2137" t="s">
        <v>2278</v>
      </c>
      <c r="C9" s="2137"/>
      <c r="D9" s="2137"/>
      <c r="E9" s="1094">
        <f>G31</f>
        <v>7400000</v>
      </c>
      <c r="G9" s="2140" t="s">
        <v>2276</v>
      </c>
      <c r="H9" s="2140"/>
      <c r="I9" s="1095">
        <f>Application!AM554</f>
        <v>47767550</v>
      </c>
      <c r="K9" s="1096"/>
      <c r="M9" s="1097"/>
    </row>
    <row r="10" spans="1:13" ht="15" customHeight="1" thickBot="1">
      <c r="A10" s="1081"/>
      <c r="B10" s="2137" t="s">
        <v>2279</v>
      </c>
      <c r="C10" s="2137"/>
      <c r="D10" s="2137"/>
      <c r="E10" s="1095">
        <f>G40</f>
        <v>24419483.999999996</v>
      </c>
      <c r="G10" s="2140" t="s">
        <v>2242</v>
      </c>
      <c r="H10" s="2140"/>
      <c r="I10" s="1182">
        <f>'Basis &amp; Credits'!AB78</f>
        <v>0</v>
      </c>
      <c r="M10" s="1097"/>
    </row>
    <row r="11" spans="1:13" ht="15" customHeight="1">
      <c r="A11" s="1098"/>
      <c r="B11" s="2137" t="s">
        <v>2280</v>
      </c>
      <c r="C11" s="2137"/>
      <c r="D11" s="2137"/>
      <c r="E11" s="1095">
        <f>G49</f>
        <v>0</v>
      </c>
      <c r="G11" s="2140" t="s">
        <v>2291</v>
      </c>
      <c r="H11" s="2140"/>
      <c r="I11" s="1181">
        <f>I9+I10</f>
        <v>47767550</v>
      </c>
      <c r="M11" s="1097"/>
    </row>
    <row r="12" spans="1:13" ht="15" customHeight="1">
      <c r="A12" s="1084"/>
      <c r="B12" s="2137" t="s">
        <v>2281</v>
      </c>
      <c r="C12" s="2137"/>
      <c r="D12" s="2137"/>
      <c r="E12" s="1095">
        <f>G58</f>
        <v>260000</v>
      </c>
      <c r="G12" s="1183" t="s">
        <v>2316</v>
      </c>
      <c r="H12" s="1184"/>
      <c r="M12" s="1097"/>
    </row>
    <row r="13" spans="1:13" ht="15" customHeight="1">
      <c r="A13" s="1081"/>
      <c r="B13" s="2137" t="s">
        <v>2282</v>
      </c>
      <c r="C13" s="2137"/>
      <c r="D13" s="2137"/>
      <c r="E13" s="1100">
        <f>G83</f>
        <v>9620000</v>
      </c>
      <c r="G13" s="2141" t="s">
        <v>139</v>
      </c>
      <c r="H13" s="2141"/>
      <c r="I13" s="1099">
        <f>15%*(AND(G111="Yes",G113&lt;&gt;""))</f>
        <v>0.15</v>
      </c>
      <c r="M13" s="1097"/>
    </row>
    <row r="14" spans="1:13" ht="15" customHeight="1">
      <c r="A14" s="1081"/>
      <c r="B14" s="2137" t="s">
        <v>2283</v>
      </c>
      <c r="C14" s="2137"/>
      <c r="D14" s="2137"/>
      <c r="E14" s="1095">
        <f>IF(G96&gt;G106,G96,0)</f>
        <v>0</v>
      </c>
      <c r="G14" s="1179" t="s">
        <v>2292</v>
      </c>
      <c r="H14" s="1179"/>
      <c r="I14" s="1099">
        <f>IF(Application!AJ1031&gt;0,10%,IF(Application!AJ1035&gt;0,5%,0))</f>
        <v>0.05</v>
      </c>
      <c r="M14" s="1097"/>
    </row>
    <row r="15" spans="1:13" ht="15" customHeight="1" thickBot="1">
      <c r="A15" s="1081"/>
      <c r="B15" s="2138" t="s">
        <v>2302</v>
      </c>
      <c r="C15" s="2138"/>
      <c r="D15" s="2138"/>
      <c r="E15" s="1151">
        <f>IF(E14&gt;0,0,G106)</f>
        <v>0</v>
      </c>
      <c r="G15" s="2135" t="s">
        <v>2293</v>
      </c>
      <c r="H15" s="2136"/>
      <c r="I15" s="1153">
        <f>G123</f>
        <v>6.0866013071895424E-2</v>
      </c>
      <c r="M15" s="1097"/>
    </row>
    <row r="16" spans="1:13" ht="15" customHeight="1">
      <c r="A16" s="1081"/>
      <c r="B16" s="2139" t="s">
        <v>2238</v>
      </c>
      <c r="C16" s="2139"/>
      <c r="D16" s="2139"/>
      <c r="E16" s="1152">
        <f>SUM(E9:E15)</f>
        <v>41699484</v>
      </c>
      <c r="G16" s="1180" t="s">
        <v>2277</v>
      </c>
      <c r="H16" s="1180"/>
      <c r="I16" s="1154">
        <f>I11-((I11*I13)+(I11*I14)+(I11*I15))</f>
        <v>35306619.677287579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121</v>
      </c>
      <c r="O18" s="1124" t="s">
        <v>591</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3" t="s">
        <v>2295</v>
      </c>
      <c r="D20" s="2133" t="s">
        <v>2296</v>
      </c>
      <c r="E20" s="2133" t="s">
        <v>2297</v>
      </c>
      <c r="F20" s="2133" t="s">
        <v>2298</v>
      </c>
      <c r="G20" s="2133" t="s">
        <v>2294</v>
      </c>
      <c r="H20" s="1108"/>
      <c r="I20" s="1107"/>
      <c r="L20" s="1079">
        <f>IFERROR(MIN(4,MATCH(Application!B718,UnitSizes,0)-1),"")</f>
        <v>0</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0</v>
      </c>
      <c r="M21" s="1101">
        <f>Application!G719</f>
        <v>2</v>
      </c>
      <c r="N21" s="1109">
        <f>Application!AC719</f>
        <v>0.5</v>
      </c>
      <c r="O21" s="1109">
        <f>IF(Cdlac[[#This Row],[Quantity]]&gt;0,IF(Cdlac[[#This Row],[Federal]],30%,IF($G$36,40%,Cdlac[[#This Row],[iAMI]])),"")</f>
        <v>0.5</v>
      </c>
      <c r="P21" s="1101" cm="1">
        <f t="array" ref="P21">IF(Cdlac[[#This Row],[Quantity]]&gt;0,INDEX(TcacRents,$P$18,Cdlac[[#This Row],[Bedrooms]]+1)*Cdlac[[#This Row],[AMI]],"")</f>
        <v>1213</v>
      </c>
      <c r="Q21" s="1101" cm="1">
        <f t="array" ref="Q21">IF(Cdlac[[#This Row],[Quantity]]&gt;0,INDEX(HudFmrs,$P$18,Cdlac[[#This Row],[Bedrooms]]+1),"")</f>
        <v>1777</v>
      </c>
      <c r="R21" s="1101">
        <f>IF(Cdlac[[#This Row],[Quantity]]&gt;0,MAX(0,Cdlac[[#This Row],[Fair Market Rent]]-Cdlac[[#This Row],[Restricted Rent]]),"")</f>
        <v>564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15</v>
      </c>
      <c r="F22" s="1110">
        <f>E22</f>
        <v>15</v>
      </c>
      <c r="G22" s="1110">
        <f>D22*F22</f>
        <v>13.5</v>
      </c>
      <c r="L22" s="1079">
        <f>IFERROR(MIN(4,MATCH(Application!B720,UnitSizes,0)-1),"")</f>
        <v>0</v>
      </c>
      <c r="M22" s="1101">
        <f>Application!G720</f>
        <v>8</v>
      </c>
      <c r="N22" s="1109">
        <f>Application!AC720</f>
        <v>0.6</v>
      </c>
      <c r="O22" s="1109">
        <f>IF(Cdlac[[#This Row],[Quantity]]&gt;0,IF(Cdlac[[#This Row],[Federal]],30%,IF($G$36,40%,Cdlac[[#This Row],[iAMI]])),"")</f>
        <v>0.6</v>
      </c>
      <c r="P22" s="1101" cm="1">
        <f t="array" ref="P22">IF(Cdlac[[#This Row],[Quantity]]&gt;0,INDEX(TcacRents,$P$18,Cdlac[[#This Row],[Bedrooms]]+1)*Cdlac[[#This Row],[AMI]],"")</f>
        <v>1455.6</v>
      </c>
      <c r="Q22" s="1101" cm="1">
        <f t="array" ref="Q22">IF(Cdlac[[#This Row],[Quantity]]&gt;0,INDEX(HudFmrs,$P$18,Cdlac[[#This Row],[Bedrooms]]+1),"")</f>
        <v>1777</v>
      </c>
      <c r="R22" s="1101">
        <f>IF(Cdlac[[#This Row],[Quantity]]&gt;0,MAX(0,Cdlac[[#This Row],[Fair Market Rent]]-Cdlac[[#This Row],[Restricted Rent]]),"")</f>
        <v>321.40000000000009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28</v>
      </c>
      <c r="F23" s="1110">
        <f>E23</f>
        <v>28</v>
      </c>
      <c r="G23" s="1110">
        <f>D23*F23</f>
        <v>28</v>
      </c>
      <c r="L23" s="1079">
        <f>IFERROR(MIN(4,MATCH(Application!B721,UnitSizes,0)-1),"")</f>
        <v>0</v>
      </c>
      <c r="M23" s="1101">
        <f>Application!G721</f>
        <v>3</v>
      </c>
      <c r="N23" s="1109">
        <f>Application!AC721</f>
        <v>0.8</v>
      </c>
      <c r="O23" s="1109">
        <f>IF(Cdlac[[#This Row],[Quantity]]&gt;0,IF(Cdlac[[#This Row],[Federal]],30%,IF($G$36,40%,Cdlac[[#This Row],[iAMI]])),"")</f>
        <v>0.8</v>
      </c>
      <c r="P23" s="1101" cm="1">
        <f t="array" ref="P23">IF(Cdlac[[#This Row],[Quantity]]&gt;0,INDEX(TcacRents,$P$18,Cdlac[[#This Row],[Bedrooms]]+1)*Cdlac[[#This Row],[AMI]],"")</f>
        <v>1940.8000000000002</v>
      </c>
      <c r="Q23" s="1101" cm="1">
        <f t="array" ref="Q23">IF(Cdlac[[#This Row],[Quantity]]&gt;0,INDEX(HudFmrs,$P$18,Cdlac[[#This Row],[Bedrooms]]+1),"")</f>
        <v>1777</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42</v>
      </c>
      <c r="F24" s="1113">
        <f>SUM(E24:E26)-SUM(F25:F26)</f>
        <v>42</v>
      </c>
      <c r="G24" s="1110">
        <f>D24*F24</f>
        <v>52.5</v>
      </c>
      <c r="H24" s="1112"/>
      <c r="I24" s="1112"/>
      <c r="L24" s="1079">
        <f>IFERROR(MIN(4,MATCH(Application!B722,UnitSizes,0)-1),"")</f>
        <v>1</v>
      </c>
      <c r="M24" s="1101">
        <f>Application!G722</f>
        <v>3</v>
      </c>
      <c r="N24" s="1109">
        <f>Application!AC722</f>
        <v>0.3</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36</v>
      </c>
      <c r="F25" s="1113">
        <f>MIN(E25,ROUNDDOWN(E27*30%,0))</f>
        <v>36</v>
      </c>
      <c r="G25" s="1110">
        <f>D25*F25</f>
        <v>54</v>
      </c>
      <c r="H25" s="1112"/>
      <c r="I25" s="1112"/>
      <c r="L25" s="1079">
        <f>IFERROR(MIN(4,MATCH(Application!B723,UnitSizes,0)-1),"")</f>
        <v>1</v>
      </c>
      <c r="M25" s="1101">
        <f>Application!G723</f>
        <v>3</v>
      </c>
      <c r="N25" s="1109">
        <f>Application!AC723</f>
        <v>0.5</v>
      </c>
      <c r="O25" s="1109">
        <f>IF(Cdlac[[#This Row],[Quantity]]&gt;0,IF(Cdlac[[#This Row],[Federal]],30%,IF($G$36,40%,Cdlac[[#This Row],[iAMI]])),"")</f>
        <v>0.3</v>
      </c>
      <c r="P25" s="1101" cm="1">
        <f t="array" ref="P25">IF(Cdlac[[#This Row],[Quantity]]&gt;0,INDEX(TcacRents,$P$18,Cdlac[[#This Row],[Bedrooms]]+1)*Cdlac[[#This Row],[AMI]],"")</f>
        <v>780</v>
      </c>
      <c r="Q25" s="1101" cm="1">
        <f t="array" ref="Q25">IF(Cdlac[[#This Row],[Quantity]]&gt;0,INDEX(HudFmrs,$P$18,Cdlac[[#This Row],[Bedrooms]]+1),"")</f>
        <v>2006</v>
      </c>
      <c r="R25" s="1101">
        <f>IF(Cdlac[[#This Row],[Quantity]]&gt;0,MAX(0,Cdlac[[#This Row],[Fair Market Rent]]-Cdlac[[#This Row],[Restricted Rent]]),"")</f>
        <v>1226</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13</v>
      </c>
      <c r="N26" s="1109">
        <f>Application!AC724</f>
        <v>0.6</v>
      </c>
      <c r="O26" s="1109">
        <f>IF(Cdlac[[#This Row],[Quantity]]&gt;0,IF(Cdlac[[#This Row],[Federal]],30%,IF($G$36,40%,Cdlac[[#This Row],[iAMI]])),"")</f>
        <v>0.6</v>
      </c>
      <c r="P26" s="1101" cm="1">
        <f t="array" ref="P26">IF(Cdlac[[#This Row],[Quantity]]&gt;0,INDEX(TcacRents,$P$18,Cdlac[[#This Row],[Bedrooms]]+1)*Cdlac[[#This Row],[AMI]],"")</f>
        <v>1560</v>
      </c>
      <c r="Q26" s="1101" cm="1">
        <f t="array" ref="Q26">IF(Cdlac[[#This Row],[Quantity]]&gt;0,INDEX(HudFmrs,$P$18,Cdlac[[#This Row],[Bedrooms]]+1),"")</f>
        <v>2006</v>
      </c>
      <c r="R26" s="1101">
        <f>IF(Cdlac[[#This Row],[Quantity]]&gt;0,MAX(0,Cdlac[[#This Row],[Fair Market Rent]]-Cdlac[[#This Row],[Restricted Rent]]),"")</f>
        <v>446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1697</v>
      </c>
      <c r="D27" s="2150"/>
      <c r="E27" s="1129">
        <f>SUM(E22:E26)</f>
        <v>121</v>
      </c>
      <c r="F27" s="1129">
        <f>SUM(F22:F26)</f>
        <v>121</v>
      </c>
      <c r="G27" s="1130">
        <f>SUMPRODUCT(D22:D26,F22:F26)</f>
        <v>148</v>
      </c>
      <c r="H27" s="1112"/>
      <c r="I27" s="1112"/>
      <c r="L27" s="1079">
        <f>IFERROR(MIN(4,MATCH(Application!B725,UnitSizes,0)-1),"")</f>
        <v>1</v>
      </c>
      <c r="M27" s="1101">
        <f>Application!G725</f>
        <v>4</v>
      </c>
      <c r="N27" s="1109">
        <f>Application!AC725</f>
        <v>0.6</v>
      </c>
      <c r="O27" s="1109">
        <f>IF(Cdlac[[#This Row],[Quantity]]&gt;0,IF(Cdlac[[#This Row],[Federal]],30%,IF($G$36,40%,Cdlac[[#This Row],[iAMI]])),"")</f>
        <v>0.3</v>
      </c>
      <c r="P27" s="1101" cm="1">
        <f t="array" ref="P27">IF(Cdlac[[#This Row],[Quantity]]&gt;0,INDEX(TcacRents,$P$18,Cdlac[[#This Row],[Bedrooms]]+1)*Cdlac[[#This Row],[AMI]],"")</f>
        <v>780</v>
      </c>
      <c r="Q27" s="1101" cm="1">
        <f t="array" ref="Q27">IF(Cdlac[[#This Row],[Quantity]]&gt;0,INDEX(HudFmrs,$P$18,Cdlac[[#This Row],[Bedrooms]]+1),"")</f>
        <v>2006</v>
      </c>
      <c r="R27" s="1101">
        <f>IF(Cdlac[[#This Row],[Quantity]]&gt;0,MAX(0,Cdlac[[#This Row],[Fair Market Rent]]-Cdlac[[#This Row],[Restricted Rent]]),"")</f>
        <v>1226</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1</v>
      </c>
      <c r="M28" s="1101">
        <f>Application!G726</f>
        <v>5</v>
      </c>
      <c r="N28" s="1109">
        <f>Application!AC726</f>
        <v>0.8</v>
      </c>
      <c r="O28" s="1109">
        <f>IF(Cdlac[[#This Row],[Quantity]]&gt;0,IF(Cdlac[[#This Row],[Federal]],30%,IF($G$36,40%,Cdlac[[#This Row],[iAMI]])),"")</f>
        <v>0.8</v>
      </c>
      <c r="P28" s="1101" cm="1">
        <f t="array" ref="P28">IF(Cdlac[[#This Row],[Quantity]]&gt;0,INDEX(TcacRents,$P$18,Cdlac[[#This Row],[Bedrooms]]+1)*Cdlac[[#This Row],[AMI]],"")</f>
        <v>2080</v>
      </c>
      <c r="Q28" s="1101" cm="1">
        <f t="array" ref="Q28">IF(Cdlac[[#This Row],[Quantity]]&gt;0,INDEX(HudFmrs,$P$18,Cdlac[[#This Row],[Bedrooms]]+1),"")</f>
        <v>2006</v>
      </c>
      <c r="R28" s="1101">
        <f>IF(Cdlac[[#This Row],[Quantity]]&gt;0,MAX(0,Cdlac[[#This Row],[Fair Market Rent]]-Cdlac[[#This Row],[Restricted Rent]]),"")</f>
        <v>0</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148</v>
      </c>
      <c r="H29" s="1112"/>
      <c r="I29" s="1112"/>
      <c r="L29" s="1079">
        <f>IFERROR(MIN(4,MATCH(Application!B727,UnitSizes,0)-1),"")</f>
        <v>2</v>
      </c>
      <c r="M29" s="1101">
        <f>Application!G727</f>
        <v>4</v>
      </c>
      <c r="N29" s="1109">
        <f>Application!AC727</f>
        <v>0.3</v>
      </c>
      <c r="O29" s="1109">
        <f>IF(Cdlac[[#This Row],[Quantity]]&gt;0,IF(Cdlac[[#This Row],[Federal]],30%,IF($G$36,40%,Cdlac[[#This Row],[iAMI]])),"")</f>
        <v>0.3</v>
      </c>
      <c r="P29" s="1101" cm="1">
        <f t="array" ref="P29">IF(Cdlac[[#This Row],[Quantity]]&gt;0,INDEX(TcacRents,$P$18,Cdlac[[#This Row],[Bedrooms]]+1)*Cdlac[[#This Row],[AMI]],"")</f>
        <v>936</v>
      </c>
      <c r="Q29" s="1101" cm="1">
        <f t="array" ref="Q29">IF(Cdlac[[#This Row],[Quantity]]&gt;0,INDEX(HudFmrs,$P$18,Cdlac[[#This Row],[Bedrooms]]+1),"")</f>
        <v>2544</v>
      </c>
      <c r="R29" s="1101">
        <f>IF(Cdlac[[#This Row],[Quantity]]&gt;0,MAX(0,Cdlac[[#This Row],[Fair Market Rent]]-Cdlac[[#This Row],[Restricted Rent]]),"")</f>
        <v>1608</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2</v>
      </c>
      <c r="M30" s="1101">
        <f>Application!G728</f>
        <v>4</v>
      </c>
      <c r="N30" s="1109">
        <f>Application!AC728</f>
        <v>0.5</v>
      </c>
      <c r="O30" s="1109">
        <f>IF(Cdlac[[#This Row],[Quantity]]&gt;0,IF(Cdlac[[#This Row],[Federal]],30%,IF($G$36,40%,Cdlac[[#This Row],[iAMI]])),"")</f>
        <v>0.3</v>
      </c>
      <c r="P30" s="1101" cm="1">
        <f t="array" ref="P30">IF(Cdlac[[#This Row],[Quantity]]&gt;0,INDEX(TcacRents,$P$18,Cdlac[[#This Row],[Bedrooms]]+1)*Cdlac[[#This Row],[AMI]],"")</f>
        <v>936</v>
      </c>
      <c r="Q30" s="1101" cm="1">
        <f t="array" ref="Q30">IF(Cdlac[[#This Row],[Quantity]]&gt;0,INDEX(HudFmrs,$P$18,Cdlac[[#This Row],[Bedrooms]]+1),"")</f>
        <v>2544</v>
      </c>
      <c r="R30" s="1101">
        <f>IF(Cdlac[[#This Row],[Quantity]]&gt;0,MAX(0,Cdlac[[#This Row],[Fair Market Rent]]-Cdlac[[#This Row],[Restricted Rent]]),"")</f>
        <v>1608</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7400000</v>
      </c>
      <c r="H31" s="1112"/>
      <c r="I31" s="1112"/>
      <c r="L31" s="1079">
        <f>IFERROR(MIN(4,MATCH(Application!B729,UnitSizes,0)-1),"")</f>
        <v>2</v>
      </c>
      <c r="M31" s="1101">
        <f>Application!G729</f>
        <v>4</v>
      </c>
      <c r="N31" s="1109">
        <f>Application!AC729</f>
        <v>0.6</v>
      </c>
      <c r="O31" s="1109">
        <f>IF(Cdlac[[#This Row],[Quantity]]&gt;0,IF(Cdlac[[#This Row],[Federal]],30%,IF($G$36,40%,Cdlac[[#This Row],[iAMI]])),"")</f>
        <v>0.3</v>
      </c>
      <c r="P31" s="1101" cm="1">
        <f t="array" ref="P31">IF(Cdlac[[#This Row],[Quantity]]&gt;0,INDEX(TcacRents,$P$18,Cdlac[[#This Row],[Bedrooms]]+1)*Cdlac[[#This Row],[AMI]],"")</f>
        <v>936</v>
      </c>
      <c r="Q31" s="1101" cm="1">
        <f t="array" ref="Q31">IF(Cdlac[[#This Row],[Quantity]]&gt;0,INDEX(HudFmrs,$P$18,Cdlac[[#This Row],[Bedrooms]]+1),"")</f>
        <v>2544</v>
      </c>
      <c r="R31" s="1101">
        <f>IF(Cdlac[[#This Row],[Quantity]]&gt;0,MAX(0,Cdlac[[#This Row],[Fair Market Rent]]-Cdlac[[#This Row],[Restricted Rent]]),"")</f>
        <v>1608</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2</v>
      </c>
      <c r="M32" s="1101">
        <f>Application!G730</f>
        <v>23</v>
      </c>
      <c r="N32" s="1109">
        <f>Application!AC730</f>
        <v>0.6</v>
      </c>
      <c r="O32" s="1109">
        <f>IF(Cdlac[[#This Row],[Quantity]]&gt;0,IF(Cdlac[[#This Row],[Federal]],30%,IF($G$36,40%,Cdlac[[#This Row],[iAMI]])),"")</f>
        <v>0.6</v>
      </c>
      <c r="P32" s="1101" cm="1">
        <f t="array" ref="P32">IF(Cdlac[[#This Row],[Quantity]]&gt;0,INDEX(TcacRents,$P$18,Cdlac[[#This Row],[Bedrooms]]+1)*Cdlac[[#This Row],[AMI]],"")</f>
        <v>1872</v>
      </c>
      <c r="Q32" s="1101" cm="1">
        <f t="array" ref="Q32">IF(Cdlac[[#This Row],[Quantity]]&gt;0,INDEX(HudFmrs,$P$18,Cdlac[[#This Row],[Bedrooms]]+1),"")</f>
        <v>2544</v>
      </c>
      <c r="R32" s="1101">
        <f>IF(Cdlac[[#This Row],[Quantity]]&gt;0,MAX(0,Cdlac[[#This Row],[Fair Market Rent]]-Cdlac[[#This Row],[Restricted Rent]]),"")</f>
        <v>672</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7</v>
      </c>
      <c r="N33" s="1109">
        <f>Application!AC731</f>
        <v>0.8</v>
      </c>
      <c r="O33" s="1109">
        <f>IF(Cdlac[[#This Row],[Quantity]]&gt;0,IF(Cdlac[[#This Row],[Federal]],30%,IF($G$36,40%,Cdlac[[#This Row],[iAMI]])),"")</f>
        <v>0.8</v>
      </c>
      <c r="P33" s="1101" cm="1">
        <f t="array" ref="P33">IF(Cdlac[[#This Row],[Quantity]]&gt;0,INDEX(TcacRents,$P$18,Cdlac[[#This Row],[Bedrooms]]+1)*Cdlac[[#This Row],[AMI]],"")</f>
        <v>2496</v>
      </c>
      <c r="Q33" s="1101" cm="1">
        <f t="array" ref="Q33">IF(Cdlac[[#This Row],[Quantity]]&gt;0,INDEX(HudFmrs,$P$18,Cdlac[[#This Row],[Bedrooms]]+1),"")</f>
        <v>2544</v>
      </c>
      <c r="R33" s="1101">
        <f>IF(Cdlac[[#This Row],[Quantity]]&gt;0,MAX(0,Cdlac[[#This Row],[Fair Market Rent]]-Cdlac[[#This Row],[Restricted Rent]]),"")</f>
        <v>48</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4</v>
      </c>
      <c r="N34" s="1109">
        <f>Application!AC732</f>
        <v>0.3</v>
      </c>
      <c r="O34" s="1109">
        <f>IF(Cdlac[[#This Row],[Quantity]]&gt;0,IF(Cdlac[[#This Row],[Federal]],30%,IF($G$36,40%,Cdlac[[#This Row],[iAMI]])),"")</f>
        <v>0.3</v>
      </c>
      <c r="P34" s="1101" cm="1">
        <f t="array" ref="P34">IF(Cdlac[[#This Row],[Quantity]]&gt;0,INDEX(TcacRents,$P$18,Cdlac[[#This Row],[Bedrooms]]+1)*Cdlac[[#This Row],[AMI]],"")</f>
        <v>1081.8</v>
      </c>
      <c r="Q34" s="1101" cm="1">
        <f t="array" ref="Q34">IF(Cdlac[[#This Row],[Quantity]]&gt;0,INDEX(HudFmrs,$P$18,Cdlac[[#This Row],[Bedrooms]]+1),"")</f>
        <v>3263</v>
      </c>
      <c r="R34" s="1101">
        <f>IF(Cdlac[[#This Row],[Quantity]]&gt;0,MAX(0,Cdlac[[#This Row],[Fair Market Rent]]-Cdlac[[#This Row],[Restricted Rent]]),"")</f>
        <v>2181.1999999999998</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cm="1">
        <f t="array" ref="G35">SUMPRODUCT(Cdlac[Quantity],Cdlac[iAMI],IF(Cdlac[Federal],0,1))/SUMIFS(Cdlac[Quantity],Cdlac[Federal],FALSE)</f>
        <v>0.63749999999999996</v>
      </c>
      <c r="L35" s="1079">
        <f>IFERROR(MIN(4,MATCH(Application!B733,UnitSizes,0)-1),"")</f>
        <v>3</v>
      </c>
      <c r="M35" s="1101">
        <f>Application!G733</f>
        <v>4</v>
      </c>
      <c r="N35" s="1109">
        <f>Application!AC733</f>
        <v>0.5</v>
      </c>
      <c r="O35" s="1109">
        <f>IF(Cdlac[[#This Row],[Quantity]]&gt;0,IF(Cdlac[[#This Row],[Federal]],30%,IF($G$36,40%,Cdlac[[#This Row],[iAMI]])),"")</f>
        <v>0.3</v>
      </c>
      <c r="P35" s="1101" cm="1">
        <f t="array" ref="P35">IF(Cdlac[[#This Row],[Quantity]]&gt;0,INDEX(TcacRents,$P$18,Cdlac[[#This Row],[Bedrooms]]+1)*Cdlac[[#This Row],[AMI]],"")</f>
        <v>1081.8</v>
      </c>
      <c r="Q35" s="1101" cm="1">
        <f t="array" ref="Q35">IF(Cdlac[[#This Row],[Quantity]]&gt;0,INDEX(HudFmrs,$P$18,Cdlac[[#This Row],[Bedrooms]]+1),"")</f>
        <v>3263</v>
      </c>
      <c r="R35" s="1101">
        <f>IF(Cdlac[[#This Row],[Quantity]]&gt;0,MAX(0,Cdlac[[#This Row],[Fair Market Rent]]-Cdlac[[#This Row],[Restricted Rent]]),"")</f>
        <v>2181.1999999999998</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2309</v>
      </c>
      <c r="G36" s="1119" t="b">
        <f>G35&lt;40%</f>
        <v>0</v>
      </c>
      <c r="L36" s="1079">
        <f>IFERROR(MIN(4,MATCH(Application!B734,UnitSizes,0)-1),"")</f>
        <v>3</v>
      </c>
      <c r="M36" s="1101">
        <f>Application!G734</f>
        <v>27</v>
      </c>
      <c r="N36" s="1109">
        <f>Application!AC734</f>
        <v>0.6</v>
      </c>
      <c r="O36" s="1109">
        <f>IF(Cdlac[[#This Row],[Quantity]]&gt;0,IF(Cdlac[[#This Row],[Federal]],30%,IF($G$36,40%,Cdlac[[#This Row],[iAMI]])),"")</f>
        <v>0.3</v>
      </c>
      <c r="P36" s="1101" cm="1">
        <f t="array" ref="P36">IF(Cdlac[[#This Row],[Quantity]]&gt;0,INDEX(TcacRents,$P$18,Cdlac[[#This Row],[Bedrooms]]+1)*Cdlac[[#This Row],[AMI]],"")</f>
        <v>1081.8</v>
      </c>
      <c r="Q36" s="1101" cm="1">
        <f t="array" ref="Q36">IF(Cdlac[[#This Row],[Quantity]]&gt;0,INDEX(HudFmrs,$P$18,Cdlac[[#This Row],[Bedrooms]]+1),"")</f>
        <v>3263</v>
      </c>
      <c r="R36" s="1101">
        <f>IF(Cdlac[[#This Row],[Quantity]]&gt;0,MAX(0,Cdlac[[#This Row],[Fair Market Rent]]-Cdlac[[#This Row],[Restricted Rent]]),"")</f>
        <v>2181.1999999999998</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3</v>
      </c>
      <c r="M37" s="1101">
        <f>Application!G735</f>
        <v>1</v>
      </c>
      <c r="N37" s="1109">
        <f>Application!AC735</f>
        <v>0.8</v>
      </c>
      <c r="O37" s="1109">
        <f>IF(Cdlac[[#This Row],[Quantity]]&gt;0,IF(Cdlac[[#This Row],[Federal]],30%,IF($G$36,40%,Cdlac[[#This Row],[iAMI]])),"")</f>
        <v>0.8</v>
      </c>
      <c r="P37" s="1101" cm="1">
        <f t="array" ref="P37">IF(Cdlac[[#This Row],[Quantity]]&gt;0,INDEX(TcacRents,$P$18,Cdlac[[#This Row],[Bedrooms]]+1)*Cdlac[[#This Row],[AMI]],"")</f>
        <v>2884.8</v>
      </c>
      <c r="Q37" s="1101" cm="1">
        <f t="array" ref="Q37">IF(Cdlac[[#This Row],[Quantity]]&gt;0,INDEX(HudFmrs,$P$18,Cdlac[[#This Row],[Bedrooms]]+1),"")</f>
        <v>3263</v>
      </c>
      <c r="R37" s="1101">
        <f>IF(Cdlac[[#This Row],[Quantity]]&gt;0,MAX(0,Cdlac[[#This Row],[Fair Market Rent]]-Cdlac[[#This Row],[Restricted Rent]]),"")</f>
        <v>378.19999999999982</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2250</v>
      </c>
      <c r="G38" s="1116">
        <f>SUMPRODUCT(Cdlac[Quantity],Cdlac[Delta])</f>
        <v>135663.79999999999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24419483.999999996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60</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13</v>
      </c>
    </row>
    <row r="54" spans="2:14" ht="15" customHeight="1">
      <c r="E54" s="1159" t="s">
        <v>2305</v>
      </c>
      <c r="G54" s="1117">
        <f>ROUNDDOWN(E27*50%,0)</f>
        <v>60</v>
      </c>
    </row>
    <row r="55" spans="2:14" ht="15" customHeight="1">
      <c r="E55" s="1159"/>
      <c r="G55" s="1117"/>
    </row>
    <row r="56" spans="2:14" ht="15" customHeight="1">
      <c r="E56" s="1159" t="s">
        <v>2256</v>
      </c>
      <c r="G56" s="1156">
        <f>MIN(G53:G54)</f>
        <v>13</v>
      </c>
    </row>
    <row r="57" spans="2:14" ht="15" customHeight="1">
      <c r="E57" s="1159" t="s">
        <v>2246</v>
      </c>
      <c r="F57" s="1155" t="s">
        <v>2303</v>
      </c>
      <c r="G57" s="1166">
        <v>20000</v>
      </c>
    </row>
    <row r="58" spans="2:14" ht="15" customHeight="1">
      <c r="E58" s="1160" t="s">
        <v>2285</v>
      </c>
      <c r="F58" s="1081"/>
      <c r="G58" s="1165">
        <f>G56*G57</f>
        <v>260000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1" t="s">
        <v>1515</v>
      </c>
      <c r="N62" s="2152"/>
    </row>
    <row r="63" spans="2:14" ht="15" customHeight="1">
      <c r="E63" s="1124" t="s">
        <v>2246</v>
      </c>
      <c r="F63" s="1155" t="s">
        <v>2303</v>
      </c>
      <c r="G63" s="1114">
        <v>4000</v>
      </c>
      <c r="L63" s="1170" t="str">
        <f>'Points System'!H639</f>
        <v>N/A</v>
      </c>
      <c r="M63" s="2153" t="s">
        <v>2260</v>
      </c>
      <c r="N63" s="2154"/>
    </row>
    <row r="64" spans="2:14" ht="15" customHeight="1">
      <c r="E64" s="1124" t="s">
        <v>2307</v>
      </c>
      <c r="F64" s="1155" t="s">
        <v>2303</v>
      </c>
      <c r="G64" s="1168">
        <f>G27</f>
        <v>148</v>
      </c>
      <c r="L64" s="1170" t="str">
        <f>'Points System'!H674</f>
        <v>(i)</v>
      </c>
      <c r="M64" s="2153" t="s">
        <v>2261</v>
      </c>
      <c r="N64" s="2154"/>
    </row>
    <row r="65" spans="2:14" ht="15" customHeight="1">
      <c r="E65" s="1160" t="s">
        <v>2265</v>
      </c>
      <c r="F65" s="1081"/>
      <c r="G65" s="1165">
        <f>G62*G63*G64</f>
        <v>3552000</v>
      </c>
      <c r="L65" s="1170" t="str">
        <f>IF(OR('Points System'!H698="(ii)",'Points System'!H698="(i)"),"(i)","N/A")</f>
        <v>(i)</v>
      </c>
      <c r="M65" s="2153" t="s">
        <v>2262</v>
      </c>
      <c r="N65" s="2154"/>
    </row>
    <row r="66" spans="2:14" ht="15" customHeight="1">
      <c r="C66" s="1115"/>
      <c r="G66" s="1156"/>
      <c r="L66" s="1171" t="str">
        <f>'Points System'!H712</f>
        <v>N/A</v>
      </c>
      <c r="M66" s="2153" t="s">
        <v>1541</v>
      </c>
      <c r="N66" s="2154"/>
    </row>
    <row r="67" spans="2:14" ht="15" customHeight="1">
      <c r="E67" s="1124" t="s">
        <v>2308</v>
      </c>
      <c r="G67" s="1168">
        <f>COUNTIFS(L62:L69,"(i)")</f>
        <v>4</v>
      </c>
      <c r="L67" s="1170" t="str">
        <f>'Points System'!H724</f>
        <v>N/A</v>
      </c>
      <c r="M67" s="2153" t="s">
        <v>2263</v>
      </c>
      <c r="N67" s="2154"/>
    </row>
    <row r="68" spans="2:14" ht="15" customHeight="1">
      <c r="E68" s="1124" t="s">
        <v>2246</v>
      </c>
      <c r="F68" s="1155" t="s">
        <v>2303</v>
      </c>
      <c r="G68" s="1166">
        <v>4000</v>
      </c>
      <c r="L68" s="1170" t="str">
        <f>'Points System'!H740</f>
        <v>(i)</v>
      </c>
      <c r="M68" s="2153" t="s">
        <v>2264</v>
      </c>
      <c r="N68" s="2154"/>
    </row>
    <row r="69" spans="2:14" ht="15" customHeight="1" thickBot="1">
      <c r="E69" s="1160" t="s">
        <v>2266</v>
      </c>
      <c r="F69" s="1081"/>
      <c r="G69" s="1165">
        <f>G64*G67*G68</f>
        <v>2368000</v>
      </c>
      <c r="L69" s="1172" t="str">
        <f>'Points System'!H752</f>
        <v>(ii)</v>
      </c>
      <c r="M69" s="2162" t="s">
        <v>1544</v>
      </c>
      <c r="N69" s="216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148</v>
      </c>
    </row>
    <row r="80" spans="2:14" ht="15" customHeight="1">
      <c r="E80" s="1124" t="s">
        <v>2246</v>
      </c>
      <c r="F80" s="1155" t="s">
        <v>2303</v>
      </c>
      <c r="G80" s="1166">
        <v>25000</v>
      </c>
    </row>
    <row r="81" spans="2:14" ht="15" customHeight="1">
      <c r="E81" s="1160" t="s">
        <v>2267</v>
      </c>
      <c r="F81" s="1081"/>
      <c r="G81" s="1165">
        <f>G77*G80*G64</f>
        <v>3700000</v>
      </c>
    </row>
    <row r="82" spans="2:14" ht="15" customHeight="1">
      <c r="C82" s="1115"/>
      <c r="E82" s="1115"/>
    </row>
    <row r="83" spans="2:14" ht="15" customHeight="1">
      <c r="E83" s="1160" t="s">
        <v>2244</v>
      </c>
      <c r="G83" s="1165">
        <f>G81+G69+G65</f>
        <v>9620000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4" t="s">
        <v>2273</v>
      </c>
      <c r="M87" s="2165"/>
      <c r="N87" s="1173">
        <v>30000</v>
      </c>
    </row>
    <row r="88" spans="2:14" ht="15" customHeight="1">
      <c r="C88" s="1115" t="s">
        <v>2290</v>
      </c>
      <c r="G88" s="1119" t="str">
        <f>IF(Application!D211="Large Family","Yes","No")</f>
        <v>Yes</v>
      </c>
      <c r="L88" s="2158" t="s">
        <v>2237</v>
      </c>
      <c r="M88" s="2159"/>
      <c r="N88" s="1174">
        <v>20000</v>
      </c>
    </row>
    <row r="89" spans="2:14" ht="15" customHeight="1" thickBot="1">
      <c r="C89" s="1115" t="s">
        <v>2271</v>
      </c>
      <c r="G89" s="1078"/>
      <c r="L89" s="2160" t="s">
        <v>2274</v>
      </c>
      <c r="M89" s="216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148</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148</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2638</v>
      </c>
      <c r="D110" s="2155"/>
      <c r="E110" s="2155"/>
      <c r="F110" s="2155"/>
    </row>
    <row r="111" spans="2:9" ht="15" customHeight="1">
      <c r="C111" s="2155"/>
      <c r="D111" s="2155"/>
      <c r="E111" s="2155"/>
      <c r="F111" s="2155"/>
      <c r="G111" s="1078" t="s">
        <v>554</v>
      </c>
    </row>
    <row r="112" spans="2:9" ht="15" customHeight="1"/>
    <row r="113" spans="2:9" ht="15" customHeight="1">
      <c r="C113" s="1079" t="s">
        <v>2641</v>
      </c>
      <c r="G113" s="2156" t="s">
        <v>2761</v>
      </c>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Jessica Chuidian-Ingersoll</cp:lastModifiedBy>
  <cp:lastPrinted>2022-06-02T00:41:49Z</cp:lastPrinted>
  <dcterms:created xsi:type="dcterms:W3CDTF">2007-12-27T18:26:28Z</dcterms:created>
  <dcterms:modified xsi:type="dcterms:W3CDTF">2024-08-26T20:18:21Z</dcterms:modified>
</cp:coreProperties>
</file>