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Greg Comanor - Oaks on Balboa\CDLAC-CTCAC Folder\2024 CDLAC-CTCAC E-APP ROUND 2\"/>
    </mc:Choice>
  </mc:AlternateContent>
  <xr:revisionPtr revIDLastSave="0" documentId="13_ncr:1_{EB548810-D431-45C2-9FAD-131D29F457CF}" xr6:coauthVersionLast="47" xr6:coauthVersionMax="47" xr10:uidLastSave="{00000000-0000-0000-0000-000000000000}"/>
  <bookViews>
    <workbookView xWindow="2868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Tie Breaker" sheetId="21" r:id="rId8"/>
    <sheet name="CalHFA Addendum" sheetId="27" r:id="rId9"/>
    <sheet name="Basis &amp; Credits" sheetId="15" r:id="rId10"/>
    <sheet name="Subsidy Contract Calculation" sheetId="8" r:id="rId11"/>
    <sheet name="15 Year Pro Forma" sheetId="7" r:id="rId12"/>
    <sheet name="Post-award Instructions" sheetId="12" r:id="rId13"/>
    <sheet name="Post-award Project Cost Changes" sheetId="11" r:id="rId14"/>
    <sheet name="Sources and Basis Breakdown" sheetId="13" r:id="rId15"/>
  </sheets>
  <definedNames>
    <definedName name="_xlnm._FilterDatabase" localSheetId="4" hidden="1">Application!$J$956:$S$956</definedName>
    <definedName name="bedrooms" localSheetId="8">#REF!</definedName>
    <definedName name="bedrooms">Application!$BV$489:$CB$489</definedName>
    <definedName name="Counties" localSheetId="1">#REF!</definedName>
    <definedName name="FMRS" localSheetId="1">#REF!</definedName>
    <definedName name="HudFmrs" localSheetId="8">Application!$BX$656:$CB$713</definedName>
    <definedName name="HudFmrs">Application!$CD$490:$CH$547</definedName>
    <definedName name="importme" localSheetId="1">#REF!</definedName>
    <definedName name="ListofSources" localSheetId="8">Application!$BN$511:$BN$536</definedName>
    <definedName name="ListofSources">Application!$BN$512:$BN$537</definedName>
    <definedName name="my_lookup_counties" localSheetId="1">#REF!</definedName>
    <definedName name="PRINT" localSheetId="1">#REF!</definedName>
    <definedName name="_xlnm.Print_Area" localSheetId="11">'15 Year Pro Forma'!$A$1:$AH$77</definedName>
    <definedName name="_xlnm.Print_Area" localSheetId="4">Application!$A$1:$BC$1106</definedName>
    <definedName name="_xlnm.Print_Area" localSheetId="3">'Application Checklist'!$A$1:$I$1114</definedName>
    <definedName name="_xlnm.Print_Area" localSheetId="9">'Basis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3">'Post-award Project Cost Changes'!$A$1:$F$107</definedName>
    <definedName name="_xlnm.Print_Area" localSheetId="14">'Sources and Basis Breakdown'!$A$1:$J$111</definedName>
    <definedName name="_xlnm.Print_Area" localSheetId="5">'Sources and Uses Budget'!$A$1:$T$139</definedName>
    <definedName name="_xlnm.Print_Area" localSheetId="7">'Tie Breaker'!$A$1:$I$123</definedName>
    <definedName name="_xlnm.Print_Titles" localSheetId="14">'Sources and Basis Breakdown'!$1:$2</definedName>
    <definedName name="_xlnm.Print_Titles" localSheetId="5">'Sources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8">#REF!</definedName>
    <definedName name="TC_Rent" localSheetId="1">#REF!</definedName>
    <definedName name="TC_Rent">Application!$BV$490:$CB$547</definedName>
    <definedName name="TcacRents" localSheetId="8">Application!$BQ$656:$BV$713</definedName>
    <definedName name="TcacRents">Application!$BW$490:$CB$547</definedName>
    <definedName name="UnitSizes" localSheetId="8">Application!$BA$595:$BA$600</definedName>
    <definedName name="UnitSizes">Application!$BA$596:$BA$601</definedName>
    <definedName name="Z_48A1B9AA_9520_4513_968D_1FB22989E0AF_.wvu.Cols" localSheetId="9" hidden="1">'Basis &amp; Credits'!$AO:$IV</definedName>
    <definedName name="Z_48A1B9AA_9520_4513_968D_1FB22989E0AF_.wvu.Cols" localSheetId="6" hidden="1">'Points System'!$AN:$CC</definedName>
    <definedName name="Z_48A1B9AA_9520_4513_968D_1FB22989E0AF_.wvu.Cols" localSheetId="14" hidden="1">'Sources and Basis Breakdown'!$K:$IV</definedName>
    <definedName name="Z_48A1B9AA_9520_4513_968D_1FB22989E0AF_.wvu.PrintArea" localSheetId="9" hidden="1">'Basis &amp; Credits'!$A$1:$AN$83</definedName>
    <definedName name="Z_48A1B9AA_9520_4513_968D_1FB22989E0AF_.wvu.PrintArea" localSheetId="6" hidden="1">'Points System'!$A$1:$AM$812</definedName>
    <definedName name="Z_48A1B9AA_9520_4513_968D_1FB22989E0AF_.wvu.PrintArea" localSheetId="14" hidden="1">'Sources and Basis Breakdown'!$A$1:$J$143</definedName>
    <definedName name="Z_48A1B9AA_9520_4513_968D_1FB22989E0AF_.wvu.PrintTitles" localSheetId="14" hidden="1">'Sources and Basis Breakdown'!$1:$2</definedName>
    <definedName name="Z_48A1B9AA_9520_4513_968D_1FB22989E0AF_.wvu.Rows" localSheetId="9"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1"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3"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3"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3" i="4" l="1"/>
  <c r="C68" i="4"/>
  <c r="C93" i="4"/>
  <c r="C86" i="4"/>
  <c r="E85" i="4"/>
  <c r="E92" i="4"/>
  <c r="AM560" i="3"/>
  <c r="C9" i="4"/>
  <c r="E30" i="7" l="1"/>
  <c r="AC886" i="3" l="1"/>
  <c r="S49" i="4" l="1"/>
  <c r="O720" i="3"/>
  <c r="E93" i="4" l="1"/>
  <c r="F99" i="4"/>
  <c r="O722" i="3" l="1"/>
  <c r="C49" i="4" l="1"/>
  <c r="F9" i="4"/>
  <c r="E69" i="4" l="1"/>
  <c r="F69" i="4"/>
  <c r="E90" i="4"/>
  <c r="E89" i="4"/>
  <c r="E88" i="4"/>
  <c r="E86" i="4"/>
  <c r="E84" i="4"/>
  <c r="E83" i="4"/>
  <c r="C43" i="4" l="1"/>
  <c r="P418" i="3" l="1"/>
  <c r="S79" i="4"/>
  <c r="S67" i="4"/>
  <c r="S51" i="4"/>
  <c r="S50" i="4"/>
  <c r="S47" i="4"/>
  <c r="S48" i="4"/>
  <c r="S46" i="4"/>
  <c r="S41" i="4"/>
  <c r="S40" i="4"/>
  <c r="S37" i="4"/>
  <c r="S36" i="4"/>
  <c r="S30" i="4"/>
  <c r="S13" i="4"/>
  <c r="F13" i="4"/>
  <c r="F37" i="4"/>
  <c r="F36" i="4"/>
  <c r="F43" i="4"/>
  <c r="F41" i="4"/>
  <c r="F47" i="4"/>
  <c r="F49" i="4"/>
  <c r="F50" i="4"/>
  <c r="F51" i="4"/>
  <c r="F52" i="4"/>
  <c r="F53" i="4"/>
  <c r="F46" i="4"/>
  <c r="F58" i="4"/>
  <c r="F56" i="4"/>
  <c r="F65" i="4"/>
  <c r="F67" i="4"/>
  <c r="F76" i="4"/>
  <c r="F68" i="4"/>
  <c r="E80" i="4"/>
  <c r="E79" i="4"/>
  <c r="F45" i="4"/>
  <c r="E40" i="4"/>
  <c r="E30" i="4"/>
  <c r="F4" i="4"/>
  <c r="M960" i="3"/>
  <c r="W846" i="3"/>
  <c r="W854" i="3"/>
  <c r="O718" i="3"/>
  <c r="Q628" i="3"/>
  <c r="AF627" i="3"/>
  <c r="T627" i="3"/>
  <c r="Q627" i="3"/>
  <c r="AG448" i="3"/>
  <c r="AG442" i="3"/>
  <c r="AG443" i="3"/>
  <c r="I13" i="21" l="1"/>
  <c r="Y67" i="15"/>
  <c r="C167" i="20" l="1"/>
  <c r="U363" i="20"/>
  <c r="AJ700" i="20"/>
  <c r="L65" i="21"/>
  <c r="BQ98" i="27" l="1"/>
  <c r="BQ97" i="27"/>
  <c r="BQ96" i="27"/>
  <c r="X752" i="3"/>
  <c r="AH752" i="3"/>
  <c r="BG701" i="3"/>
  <c r="BT701" i="3"/>
  <c r="BT702" i="3"/>
  <c r="BA700" i="3"/>
  <c r="BA701"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S66" i="4" s="1"/>
  <c r="E66" i="13" s="1"/>
  <c r="F66" i="13" s="1"/>
  <c r="R67" i="4"/>
  <c r="R68" i="4"/>
  <c r="A104" i="11"/>
  <c r="C101" i="11"/>
  <c r="C102" i="11"/>
  <c r="C103" i="11"/>
  <c r="D103" i="11" s="1"/>
  <c r="C104" i="11"/>
  <c r="D104" i="11" s="1"/>
  <c r="B101" i="11"/>
  <c r="B102" i="11"/>
  <c r="D102" i="11" s="1"/>
  <c r="B103" i="11"/>
  <c r="B104" i="11"/>
  <c r="C85" i="11"/>
  <c r="C86" i="11"/>
  <c r="C87" i="11"/>
  <c r="C88" i="11"/>
  <c r="C89" i="11"/>
  <c r="C90" i="11"/>
  <c r="C91" i="11"/>
  <c r="D91" i="11" s="1"/>
  <c r="C92" i="11"/>
  <c r="C93" i="11"/>
  <c r="C94" i="11"/>
  <c r="C95" i="11"/>
  <c r="C96" i="11"/>
  <c r="B85" i="11"/>
  <c r="B86" i="11"/>
  <c r="D86" i="11" s="1"/>
  <c r="B87" i="11"/>
  <c r="B88" i="11"/>
  <c r="B89" i="11"/>
  <c r="D89" i="11" s="1"/>
  <c r="B90" i="11"/>
  <c r="B91" i="11"/>
  <c r="B92" i="11"/>
  <c r="B93" i="11"/>
  <c r="B94" i="11"/>
  <c r="B95" i="11"/>
  <c r="B96" i="11"/>
  <c r="A70" i="11"/>
  <c r="C67" i="11"/>
  <c r="C68" i="11"/>
  <c r="C69" i="11"/>
  <c r="C70" i="11"/>
  <c r="B67" i="11"/>
  <c r="B71" i="11" s="1"/>
  <c r="B68" i="11"/>
  <c r="B69" i="11"/>
  <c r="B70" i="11"/>
  <c r="D70" i="11" s="1"/>
  <c r="A62" i="11"/>
  <c r="A54" i="11"/>
  <c r="A38" i="11"/>
  <c r="A26" i="11"/>
  <c r="C31" i="11"/>
  <c r="D31" i="11" s="1"/>
  <c r="C32" i="11"/>
  <c r="C33" i="11"/>
  <c r="C34" i="11"/>
  <c r="C35" i="11"/>
  <c r="C36" i="11"/>
  <c r="C37" i="11"/>
  <c r="C38" i="11"/>
  <c r="D38" i="11" s="1"/>
  <c r="B31" i="11"/>
  <c r="B32" i="11"/>
  <c r="D32" i="11" s="1"/>
  <c r="B33" i="11"/>
  <c r="D33" i="11" s="1"/>
  <c r="B34" i="11"/>
  <c r="B35" i="11"/>
  <c r="B36" i="11"/>
  <c r="B37" i="11"/>
  <c r="B38" i="11"/>
  <c r="C24" i="11"/>
  <c r="D24" i="11" s="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7" i="13"/>
  <c r="F67" i="13" s="1"/>
  <c r="E68" i="13"/>
  <c r="B66" i="13"/>
  <c r="C66" i="13" s="1"/>
  <c r="B67" i="13"/>
  <c r="C67" i="13" s="1"/>
  <c r="B68" i="13"/>
  <c r="C68" i="13" s="1"/>
  <c r="B69" i="13"/>
  <c r="C69" i="13" s="1"/>
  <c r="A53" i="13"/>
  <c r="H36" i="13"/>
  <c r="E36" i="13"/>
  <c r="F36" i="13" s="1"/>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S91" i="4" s="1"/>
  <c r="E91" i="13" s="1"/>
  <c r="F91" i="13" s="1"/>
  <c r="R84" i="4"/>
  <c r="S84" i="4" s="1"/>
  <c r="B59" i="4"/>
  <c r="C80" i="11"/>
  <c r="D80" i="11" s="1"/>
  <c r="C81" i="11"/>
  <c r="C82" i="11" s="1"/>
  <c r="D82" i="11" s="1"/>
  <c r="B80" i="11"/>
  <c r="B81" i="11"/>
  <c r="I96" i="13"/>
  <c r="J96" i="13"/>
  <c r="J81" i="13"/>
  <c r="I81" i="13"/>
  <c r="G81" i="13"/>
  <c r="D81" i="13"/>
  <c r="H80" i="13"/>
  <c r="B80" i="13"/>
  <c r="C80" i="13" s="1"/>
  <c r="R80" i="4"/>
  <c r="S80" i="4" s="1"/>
  <c r="E80" i="13" s="1"/>
  <c r="F80" i="13" s="1"/>
  <c r="R79" i="4"/>
  <c r="D81" i="4"/>
  <c r="E81" i="4"/>
  <c r="F81" i="4"/>
  <c r="G81" i="4"/>
  <c r="H81" i="4"/>
  <c r="I81" i="4"/>
  <c r="J81" i="4"/>
  <c r="K81" i="4"/>
  <c r="L81" i="4"/>
  <c r="M81" i="4"/>
  <c r="N81" i="4"/>
  <c r="O81" i="4"/>
  <c r="P81" i="4"/>
  <c r="Q81" i="4"/>
  <c r="S81" i="4"/>
  <c r="E81" i="13" s="1"/>
  <c r="T81" i="4"/>
  <c r="H81" i="13"/>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F92" i="13" s="1"/>
  <c r="E89" i="13"/>
  <c r="F89" i="13" s="1"/>
  <c r="E87" i="13"/>
  <c r="E84" i="13"/>
  <c r="F84" i="13" s="1"/>
  <c r="E79" i="13"/>
  <c r="F79" i="13" s="1"/>
  <c r="E65" i="13"/>
  <c r="F65" i="13" s="1"/>
  <c r="E53" i="13"/>
  <c r="E51" i="13"/>
  <c r="F51" i="13" s="1"/>
  <c r="E50" i="13"/>
  <c r="F50" i="13" s="1"/>
  <c r="E49" i="13"/>
  <c r="F49" i="13" s="1"/>
  <c r="E48" i="13"/>
  <c r="E47" i="13"/>
  <c r="F47" i="13" s="1"/>
  <c r="E46" i="13"/>
  <c r="F46" i="13" s="1"/>
  <c r="E45" i="13"/>
  <c r="F45" i="13" s="1"/>
  <c r="E41" i="13"/>
  <c r="F41" i="13" s="1"/>
  <c r="E40" i="13"/>
  <c r="F40" i="13" s="1"/>
  <c r="E37" i="13"/>
  <c r="F37" i="13" s="1"/>
  <c r="E35" i="13"/>
  <c r="E34" i="13"/>
  <c r="E33" i="13"/>
  <c r="E32" i="13"/>
  <c r="E31" i="13"/>
  <c r="E30" i="13"/>
  <c r="F30" i="13" s="1"/>
  <c r="E29" i="13"/>
  <c r="E27" i="13"/>
  <c r="E25" i="13"/>
  <c r="E23" i="13"/>
  <c r="E22" i="13"/>
  <c r="E21" i="13"/>
  <c r="E20" i="13"/>
  <c r="E19" i="13"/>
  <c r="E18" i="13"/>
  <c r="E17" i="13"/>
  <c r="E15" i="13"/>
  <c r="E14" i="13"/>
  <c r="E13" i="13"/>
  <c r="F13" i="13" s="1"/>
  <c r="E10" i="13"/>
  <c r="B99" i="13"/>
  <c r="C99" i="13" s="1"/>
  <c r="C104" i="13" s="1"/>
  <c r="B95" i="13"/>
  <c r="B94" i="13"/>
  <c r="B93" i="13"/>
  <c r="C93" i="13" s="1"/>
  <c r="B92" i="13"/>
  <c r="C92" i="13" s="1"/>
  <c r="B91" i="13"/>
  <c r="C91" i="13" s="1"/>
  <c r="B90" i="13"/>
  <c r="C90" i="13" s="1"/>
  <c r="B89" i="13"/>
  <c r="C89" i="13" s="1"/>
  <c r="B88" i="13"/>
  <c r="C88" i="13" s="1"/>
  <c r="B87" i="13"/>
  <c r="B86" i="13"/>
  <c r="C86" i="13" s="1"/>
  <c r="B85" i="13"/>
  <c r="C85" i="13" s="1"/>
  <c r="C96" i="13" s="1"/>
  <c r="B84" i="13"/>
  <c r="C84" i="13" s="1"/>
  <c r="B83" i="13"/>
  <c r="C83" i="13" s="1"/>
  <c r="B79" i="13"/>
  <c r="C79" i="13" s="1"/>
  <c r="C81" i="13" s="1"/>
  <c r="B76" i="13"/>
  <c r="C76" i="13" s="1"/>
  <c r="B75" i="13"/>
  <c r="C75" i="13" s="1"/>
  <c r="C77" i="13" s="1"/>
  <c r="B74" i="13"/>
  <c r="B73" i="13"/>
  <c r="B72" i="13"/>
  <c r="B65" i="13"/>
  <c r="C65" i="13" s="1"/>
  <c r="B61" i="13"/>
  <c r="B60" i="13"/>
  <c r="B59" i="13"/>
  <c r="B58" i="13"/>
  <c r="C58" i="13" s="1"/>
  <c r="B57" i="13"/>
  <c r="B56" i="13"/>
  <c r="C56" i="13" s="1"/>
  <c r="B53" i="13"/>
  <c r="C53" i="13" s="1"/>
  <c r="B52" i="13"/>
  <c r="C52" i="13" s="1"/>
  <c r="B51" i="13"/>
  <c r="C51" i="13" s="1"/>
  <c r="B50" i="13"/>
  <c r="C50" i="13" s="1"/>
  <c r="B49" i="13"/>
  <c r="C49" i="13" s="1"/>
  <c r="C54" i="13" s="1"/>
  <c r="B48" i="13"/>
  <c r="B47" i="13"/>
  <c r="C47" i="13" s="1"/>
  <c r="B46" i="13"/>
  <c r="C46" i="13" s="1"/>
  <c r="B45" i="13"/>
  <c r="C45" i="13" s="1"/>
  <c r="B43" i="13"/>
  <c r="C43" i="13" s="1"/>
  <c r="C42" i="4"/>
  <c r="B41" i="13"/>
  <c r="C41" i="13" s="1"/>
  <c r="B40" i="13"/>
  <c r="C40" i="13" s="1"/>
  <c r="C42" i="13" s="1"/>
  <c r="B37" i="13"/>
  <c r="C37" i="13" s="1"/>
  <c r="B35" i="13"/>
  <c r="B34" i="13"/>
  <c r="B33" i="13"/>
  <c r="B32" i="13"/>
  <c r="B31" i="13"/>
  <c r="B30" i="13"/>
  <c r="C30" i="13" s="1"/>
  <c r="C38" i="13" s="1"/>
  <c r="B29" i="13"/>
  <c r="B27" i="13"/>
  <c r="B25" i="13"/>
  <c r="B23" i="13"/>
  <c r="B22" i="13"/>
  <c r="B21" i="13"/>
  <c r="B20" i="13"/>
  <c r="B19" i="13"/>
  <c r="B18" i="13"/>
  <c r="B17" i="13"/>
  <c r="B5" i="13"/>
  <c r="B6" i="13"/>
  <c r="B7" i="13"/>
  <c r="C8" i="4"/>
  <c r="B8" i="13" s="1"/>
  <c r="B9" i="13"/>
  <c r="D9" i="13" s="1"/>
  <c r="D11" i="13" s="1"/>
  <c r="B10" i="13"/>
  <c r="B13" i="13"/>
  <c r="C13" i="13" s="1"/>
  <c r="B14" i="13"/>
  <c r="B15" i="13"/>
  <c r="B4" i="13"/>
  <c r="D4" i="13" s="1"/>
  <c r="J104" i="13"/>
  <c r="I104" i="13"/>
  <c r="G104" i="13"/>
  <c r="D104" i="13"/>
  <c r="G96" i="13"/>
  <c r="D96" i="13"/>
  <c r="D77" i="13"/>
  <c r="J70" i="13"/>
  <c r="I70" i="13"/>
  <c r="G70" i="13"/>
  <c r="D70" i="13"/>
  <c r="C70" i="13"/>
  <c r="D62" i="13"/>
  <c r="C62" i="13"/>
  <c r="J54" i="13"/>
  <c r="I54" i="13"/>
  <c r="G54" i="13"/>
  <c r="D54" i="13"/>
  <c r="J42" i="13"/>
  <c r="I42" i="13"/>
  <c r="G42" i="13"/>
  <c r="F42" i="13"/>
  <c r="F26" i="13"/>
  <c r="F38" i="13"/>
  <c r="D42" i="13"/>
  <c r="J38" i="13"/>
  <c r="I38" i="13"/>
  <c r="G38" i="13"/>
  <c r="D38" i="13"/>
  <c r="J26" i="13"/>
  <c r="I26" i="13"/>
  <c r="G26" i="13"/>
  <c r="D26" i="13"/>
  <c r="C26" i="13"/>
  <c r="J11" i="13"/>
  <c r="C11" i="13"/>
  <c r="C8" i="13"/>
  <c r="D8" i="13"/>
  <c r="T104" i="4"/>
  <c r="H104" i="13"/>
  <c r="R103" i="4"/>
  <c r="R102" i="4"/>
  <c r="R101" i="4"/>
  <c r="R99" i="4"/>
  <c r="S99" i="4" s="1"/>
  <c r="E99" i="13" s="1"/>
  <c r="F99" i="13" s="1"/>
  <c r="F104" i="13" s="1"/>
  <c r="R95" i="4"/>
  <c r="R94" i="4"/>
  <c r="R93" i="4"/>
  <c r="R92" i="4"/>
  <c r="S92" i="4" s="1"/>
  <c r="R90" i="4"/>
  <c r="S90" i="4" s="1"/>
  <c r="E90" i="13" s="1"/>
  <c r="F90" i="13" s="1"/>
  <c r="R89" i="4"/>
  <c r="S89" i="4" s="1"/>
  <c r="R88" i="4"/>
  <c r="R87" i="4"/>
  <c r="R86" i="4"/>
  <c r="S86" i="4" s="1"/>
  <c r="E86" i="13" s="1"/>
  <c r="F86" i="13" s="1"/>
  <c r="R85" i="4"/>
  <c r="S85" i="4" s="1"/>
  <c r="E85" i="13" s="1"/>
  <c r="F85" i="13" s="1"/>
  <c r="R83" i="4"/>
  <c r="R76" i="4"/>
  <c r="R75" i="4"/>
  <c r="R72" i="4"/>
  <c r="R73" i="4"/>
  <c r="R74" i="4"/>
  <c r="R69" i="4"/>
  <c r="S69" i="4" s="1"/>
  <c r="E69" i="13" s="1"/>
  <c r="F69" i="13" s="1"/>
  <c r="R65" i="4"/>
  <c r="R61" i="4"/>
  <c r="R60" i="4"/>
  <c r="R59" i="4"/>
  <c r="R58" i="4"/>
  <c r="R57" i="4"/>
  <c r="R56" i="4"/>
  <c r="R53" i="4"/>
  <c r="R52" i="4"/>
  <c r="S52" i="4" s="1"/>
  <c r="E52" i="13" s="1"/>
  <c r="F52" i="13" s="1"/>
  <c r="R51" i="4"/>
  <c r="R50" i="4"/>
  <c r="R48" i="4"/>
  <c r="R47" i="4"/>
  <c r="R46" i="4"/>
  <c r="R45" i="4"/>
  <c r="S45" i="4" s="1"/>
  <c r="R43" i="4"/>
  <c r="S43" i="4" s="1"/>
  <c r="E43" i="13" s="1"/>
  <c r="F43" i="13" s="1"/>
  <c r="R41" i="4"/>
  <c r="R42" i="4" s="1"/>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D6" i="11" s="1"/>
  <c r="B7" i="11"/>
  <c r="C7" i="11"/>
  <c r="D7" i="11" s="1"/>
  <c r="C8" i="11"/>
  <c r="B8" i="11"/>
  <c r="B10" i="11"/>
  <c r="B12" i="11" s="1"/>
  <c r="B11" i="11"/>
  <c r="C10" i="11"/>
  <c r="C12" i="11" s="1"/>
  <c r="C11" i="11"/>
  <c r="B14" i="11"/>
  <c r="C14" i="11"/>
  <c r="B15" i="11"/>
  <c r="C15" i="11"/>
  <c r="D15" i="11" s="1"/>
  <c r="B16" i="11"/>
  <c r="C16" i="11"/>
  <c r="D16" i="11" s="1"/>
  <c r="B18" i="11"/>
  <c r="C18" i="11"/>
  <c r="B19" i="11"/>
  <c r="C19" i="11"/>
  <c r="B20" i="11"/>
  <c r="C20" i="11"/>
  <c r="D20" i="11" s="1"/>
  <c r="B21" i="11"/>
  <c r="C21" i="11"/>
  <c r="D21" i="11" s="1"/>
  <c r="B22" i="11"/>
  <c r="C22" i="11"/>
  <c r="D22" i="11" s="1"/>
  <c r="B23" i="11"/>
  <c r="C23" i="11"/>
  <c r="B24" i="11"/>
  <c r="B28" i="11"/>
  <c r="C28" i="11"/>
  <c r="D28" i="11" s="1"/>
  <c r="B30" i="11"/>
  <c r="C30" i="11"/>
  <c r="D34" i="11"/>
  <c r="B41" i="11"/>
  <c r="B43" i="11" s="1"/>
  <c r="C41" i="11"/>
  <c r="C43" i="11" s="1"/>
  <c r="C42" i="11"/>
  <c r="B42" i="11"/>
  <c r="B44" i="11"/>
  <c r="C44" i="11"/>
  <c r="B46" i="11"/>
  <c r="C46" i="11"/>
  <c r="B47" i="11"/>
  <c r="C47" i="11"/>
  <c r="B48" i="11"/>
  <c r="B49" i="11"/>
  <c r="D49" i="11" s="1"/>
  <c r="B50" i="11"/>
  <c r="B51" i="11"/>
  <c r="B52" i="11"/>
  <c r="B53" i="11"/>
  <c r="C48" i="11"/>
  <c r="C49" i="11"/>
  <c r="C50" i="11"/>
  <c r="D50" i="11" s="1"/>
  <c r="C51" i="11"/>
  <c r="D51" i="11" s="1"/>
  <c r="C52" i="11"/>
  <c r="C53" i="11"/>
  <c r="B57" i="11"/>
  <c r="C57" i="11"/>
  <c r="B58" i="11"/>
  <c r="C58" i="11"/>
  <c r="B59" i="11"/>
  <c r="C59" i="11"/>
  <c r="B60" i="11"/>
  <c r="C60" i="11"/>
  <c r="B61" i="11"/>
  <c r="C61" i="11"/>
  <c r="B62" i="11"/>
  <c r="C62" i="11"/>
  <c r="B66" i="11"/>
  <c r="C66" i="11"/>
  <c r="B73" i="11"/>
  <c r="C73" i="11"/>
  <c r="B74" i="11"/>
  <c r="C74" i="11"/>
  <c r="B75" i="11"/>
  <c r="C75" i="11"/>
  <c r="D75" i="11" s="1"/>
  <c r="B76" i="11"/>
  <c r="C76" i="11"/>
  <c r="D76" i="11" s="1"/>
  <c r="B77" i="11"/>
  <c r="C77" i="11"/>
  <c r="B84" i="11"/>
  <c r="C84" i="11"/>
  <c r="D84" i="11" s="1"/>
  <c r="B100" i="11"/>
  <c r="C100" i="11"/>
  <c r="A4" i="8"/>
  <c r="D4" i="8"/>
  <c r="A5" i="8"/>
  <c r="D5" i="8"/>
  <c r="A6" i="8"/>
  <c r="D6" i="8"/>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T70" i="4"/>
  <c r="H70" i="13"/>
  <c r="T96" i="4"/>
  <c r="H96" i="13"/>
  <c r="C11" i="4"/>
  <c r="B11" i="13" s="1"/>
  <c r="C38" i="4"/>
  <c r="B38" i="4" s="1"/>
  <c r="C54" i="4"/>
  <c r="B54" i="4" s="1"/>
  <c r="C62" i="4"/>
  <c r="B62" i="4" s="1"/>
  <c r="C77" i="4"/>
  <c r="C96" i="4"/>
  <c r="B96" i="13" s="1"/>
  <c r="D8" i="4"/>
  <c r="D11" i="4"/>
  <c r="D26" i="4"/>
  <c r="D38" i="4"/>
  <c r="D42" i="4"/>
  <c r="D54" i="4"/>
  <c r="D62" i="4"/>
  <c r="D77" i="4"/>
  <c r="D96" i="4"/>
  <c r="D104" i="4"/>
  <c r="E26" i="13"/>
  <c r="S38" i="4"/>
  <c r="S42" i="4"/>
  <c r="E42" i="13" s="1"/>
  <c r="S54" i="4"/>
  <c r="E54" i="13" s="1"/>
  <c r="F2" i="4"/>
  <c r="G2" i="4"/>
  <c r="H2" i="4"/>
  <c r="I2" i="4"/>
  <c r="J2" i="4"/>
  <c r="K2" i="4"/>
  <c r="L2" i="4"/>
  <c r="M2" i="4"/>
  <c r="N2" i="4"/>
  <c r="O2" i="4"/>
  <c r="P2" i="4"/>
  <c r="Q2" i="4"/>
  <c r="B4" i="4"/>
  <c r="B5" i="4"/>
  <c r="B6" i="4"/>
  <c r="B7" i="4"/>
  <c r="E8" i="4"/>
  <c r="F8" i="4"/>
  <c r="G8" i="4"/>
  <c r="G11" i="4"/>
  <c r="H8" i="4"/>
  <c r="H63" i="4" s="1"/>
  <c r="H97" i="4" s="1"/>
  <c r="H11" i="4"/>
  <c r="I8" i="4"/>
  <c r="I63" i="4" s="1"/>
  <c r="I97" i="4" s="1"/>
  <c r="I105" i="4" s="1"/>
  <c r="I11" i="4"/>
  <c r="J8" i="4"/>
  <c r="J11" i="4"/>
  <c r="J26" i="4"/>
  <c r="J38" i="4"/>
  <c r="J42" i="4"/>
  <c r="J54" i="4"/>
  <c r="J62" i="4"/>
  <c r="J70" i="4"/>
  <c r="J77" i="4"/>
  <c r="J96" i="4"/>
  <c r="J104" i="4"/>
  <c r="K8" i="4"/>
  <c r="K63" i="4" s="1"/>
  <c r="K11" i="4"/>
  <c r="L8" i="4"/>
  <c r="L11" i="4"/>
  <c r="L63" i="4" s="1"/>
  <c r="L97" i="4" s="1"/>
  <c r="L105" i="4" s="1"/>
  <c r="M8" i="4"/>
  <c r="M11" i="4"/>
  <c r="N8" i="4"/>
  <c r="O8" i="4"/>
  <c r="O12" i="4" s="1"/>
  <c r="Q8" i="4"/>
  <c r="Q12" i="4" s="1"/>
  <c r="Q11" i="4"/>
  <c r="B9" i="4"/>
  <c r="B10" i="4"/>
  <c r="E11" i="4"/>
  <c r="F11" i="4"/>
  <c r="F26" i="4"/>
  <c r="F38"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63" i="4" s="1"/>
  <c r="M42" i="4"/>
  <c r="M54" i="4"/>
  <c r="M62" i="4"/>
  <c r="M70" i="4"/>
  <c r="M77" i="4"/>
  <c r="M96" i="4"/>
  <c r="M104" i="4"/>
  <c r="N26" i="4"/>
  <c r="N38" i="4"/>
  <c r="N42" i="4"/>
  <c r="N63" i="4" s="1"/>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AH721" i="3" s="1"/>
  <c r="X722" i="3"/>
  <c r="AH722" i="3" s="1"/>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54" i="11"/>
  <c r="J63" i="13"/>
  <c r="J97" i="13" s="1"/>
  <c r="J105" i="13" s="1"/>
  <c r="J107" i="13" s="1"/>
  <c r="D93" i="11"/>
  <c r="D18" i="11"/>
  <c r="D36" i="11"/>
  <c r="D61" i="11"/>
  <c r="D57" i="11"/>
  <c r="D85" i="11"/>
  <c r="D94" i="11"/>
  <c r="C12" i="13"/>
  <c r="J12" i="4"/>
  <c r="D95" i="11"/>
  <c r="B82" i="11"/>
  <c r="R77" i="4"/>
  <c r="H12" i="4"/>
  <c r="D23" i="11"/>
  <c r="D19" i="11"/>
  <c r="D73" i="11"/>
  <c r="D35" i="11"/>
  <c r="N12" i="4"/>
  <c r="M12" i="4"/>
  <c r="D74" i="11"/>
  <c r="P63" i="4"/>
  <c r="P97" i="4" s="1"/>
  <c r="P105" i="4" s="1"/>
  <c r="D58" i="11"/>
  <c r="D62" i="11"/>
  <c r="R26" i="4"/>
  <c r="J63" i="4"/>
  <c r="J97" i="4" s="1"/>
  <c r="J105" i="4" s="1"/>
  <c r="E12" i="4"/>
  <c r="D11" i="11"/>
  <c r="D96" i="11"/>
  <c r="K53" i="7" l="1"/>
  <c r="I58" i="7"/>
  <c r="G58" i="7"/>
  <c r="D92" i="11"/>
  <c r="D10" i="11"/>
  <c r="G63" i="13"/>
  <c r="F81" i="13"/>
  <c r="D12" i="13"/>
  <c r="R11" i="4"/>
  <c r="T9" i="4"/>
  <c r="B9" i="11"/>
  <c r="B8" i="4"/>
  <c r="N187" i="27" s="1"/>
  <c r="N193" i="27" s="1"/>
  <c r="D5" i="11"/>
  <c r="F70" i="13"/>
  <c r="S96" i="4"/>
  <c r="E96" i="13" s="1"/>
  <c r="F96" i="13"/>
  <c r="R96" i="4"/>
  <c r="R104" i="4"/>
  <c r="D100" i="11"/>
  <c r="S104" i="4"/>
  <c r="E104" i="13" s="1"/>
  <c r="D44" i="11"/>
  <c r="S70" i="4"/>
  <c r="E70" i="13" s="1"/>
  <c r="B70" i="4"/>
  <c r="F54" i="13"/>
  <c r="F63" i="13" s="1"/>
  <c r="R81" i="4"/>
  <c r="AH720" i="3"/>
  <c r="AH719" i="3"/>
  <c r="C63" i="13"/>
  <c r="C97" i="13" s="1"/>
  <c r="C105" i="13" s="1"/>
  <c r="S63" i="4"/>
  <c r="E38" i="13"/>
  <c r="R38" i="4"/>
  <c r="R62" i="4"/>
  <c r="C105" i="11"/>
  <c r="D12" i="4"/>
  <c r="I12" i="4"/>
  <c r="B77" i="4"/>
  <c r="H54" i="13"/>
  <c r="D63" i="4"/>
  <c r="D97" i="4" s="1"/>
  <c r="D105" i="4" s="1"/>
  <c r="B104" i="4"/>
  <c r="D63" i="13"/>
  <c r="D97" i="13" s="1"/>
  <c r="D105" i="13" s="1"/>
  <c r="K97" i="4"/>
  <c r="K105" i="4" s="1"/>
  <c r="C63" i="11"/>
  <c r="D25" i="11"/>
  <c r="C55" i="11"/>
  <c r="B42" i="4"/>
  <c r="D88" i="11"/>
  <c r="D8" i="11"/>
  <c r="M97" i="4"/>
  <c r="M105" i="4" s="1"/>
  <c r="R70" i="4"/>
  <c r="O63" i="4"/>
  <c r="O97" i="4" s="1"/>
  <c r="O105" i="4" s="1"/>
  <c r="C12" i="4"/>
  <c r="B12" i="13" s="1"/>
  <c r="D87" i="11"/>
  <c r="D101" i="11"/>
  <c r="B13" i="11"/>
  <c r="L12" i="4"/>
  <c r="G97" i="13"/>
  <c r="G105" i="13" s="1"/>
  <c r="G107" i="13" s="1"/>
  <c r="K12" i="4"/>
  <c r="N97" i="4"/>
  <c r="N105" i="4" s="1"/>
  <c r="D60" i="11"/>
  <c r="B97" i="11"/>
  <c r="G63" i="4"/>
  <c r="G97" i="4" s="1"/>
  <c r="G105" i="4" s="1"/>
  <c r="D53" i="11"/>
  <c r="E63" i="4"/>
  <c r="E97" i="4" s="1"/>
  <c r="E105" i="4" s="1"/>
  <c r="F12" i="4"/>
  <c r="R8" i="4"/>
  <c r="AB48" i="15"/>
  <c r="D43" i="11"/>
  <c r="C27" i="11"/>
  <c r="D90" i="11"/>
  <c r="B63" i="11"/>
  <c r="D63" i="11" s="1"/>
  <c r="D48" i="11"/>
  <c r="B105" i="11"/>
  <c r="C78" i="11"/>
  <c r="D66" i="11"/>
  <c r="D14" i="11"/>
  <c r="D12" i="11"/>
  <c r="H105" i="4"/>
  <c r="D52" i="11"/>
  <c r="D41" i="11"/>
  <c r="D81" i="11"/>
  <c r="D47" i="11"/>
  <c r="B96" i="4"/>
  <c r="C97" i="11"/>
  <c r="C39" i="11"/>
  <c r="B39" i="11"/>
  <c r="D39" i="11" s="1"/>
  <c r="D30" i="11"/>
  <c r="B38" i="13"/>
  <c r="B81" i="4"/>
  <c r="B78" i="11"/>
  <c r="D78" i="11" s="1"/>
  <c r="B77" i="13"/>
  <c r="D77" i="11"/>
  <c r="C71" i="11"/>
  <c r="D71" i="11" s="1"/>
  <c r="B62" i="13"/>
  <c r="D59" i="11"/>
  <c r="B54" i="13"/>
  <c r="B55" i="11"/>
  <c r="D46" i="11"/>
  <c r="D42" i="11"/>
  <c r="B42" i="13"/>
  <c r="F63" i="4"/>
  <c r="F97" i="4" s="1"/>
  <c r="F105" i="4" s="1"/>
  <c r="G12" i="4"/>
  <c r="C9" i="11"/>
  <c r="D9" i="11" s="1"/>
  <c r="C13" i="11"/>
  <c r="B11"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AB229" i="20" s="1"/>
  <c r="AB236" i="20" s="1"/>
  <c r="G53" i="21"/>
  <c r="E24" i="21"/>
  <c r="E22" i="21"/>
  <c r="F22" i="21" s="1"/>
  <c r="G40" i="8"/>
  <c r="I15" i="7"/>
  <c r="E26" i="21"/>
  <c r="E23" i="21"/>
  <c r="F23" i="21" s="1"/>
  <c r="G23" i="21" s="1"/>
  <c r="M53" i="7" l="1"/>
  <c r="K58" i="7"/>
  <c r="AB239" i="20"/>
  <c r="AB241" i="20" s="1"/>
  <c r="AB243" i="20" s="1"/>
  <c r="AB249" i="20" s="1"/>
  <c r="AD198" i="20" s="1"/>
  <c r="AD200" i="20" s="1"/>
  <c r="T11" i="4"/>
  <c r="H9" i="13"/>
  <c r="I9" i="13" s="1"/>
  <c r="I11" i="13" s="1"/>
  <c r="I63" i="13" s="1"/>
  <c r="I97" i="13" s="1"/>
  <c r="I105" i="13" s="1"/>
  <c r="I107" i="13" s="1"/>
  <c r="R12" i="4"/>
  <c r="B12" i="4"/>
  <c r="S97" i="4"/>
  <c r="E97" i="13" s="1"/>
  <c r="F97" i="13"/>
  <c r="F105" i="13" s="1"/>
  <c r="F107" i="13" s="1"/>
  <c r="D105" i="11"/>
  <c r="D55" i="11"/>
  <c r="AJ610" i="20"/>
  <c r="AK783" i="20" s="1"/>
  <c r="T808" i="20" s="1"/>
  <c r="AF808" i="20" s="1"/>
  <c r="G62" i="21"/>
  <c r="AS349" i="20"/>
  <c r="E63" i="13"/>
  <c r="D13" i="11"/>
  <c r="C64" i="11"/>
  <c r="C98" i="11" s="1"/>
  <c r="D97" i="11"/>
  <c r="B64" i="11"/>
  <c r="B98" i="11" s="1"/>
  <c r="B106" i="11" s="1"/>
  <c r="C97" i="4"/>
  <c r="C105" i="4" s="1"/>
  <c r="AC455" i="3" s="1"/>
  <c r="B63" i="4"/>
  <c r="AY1004" i="3"/>
  <c r="DX635" i="3"/>
  <c r="BH702" i="3"/>
  <c r="BH701" i="3"/>
  <c r="BI701" i="3" s="1"/>
  <c r="BU669" i="3"/>
  <c r="BV669" i="3" s="1"/>
  <c r="BU677" i="3"/>
  <c r="BU685" i="3"/>
  <c r="BV685" i="3" s="1"/>
  <c r="BU693" i="3"/>
  <c r="BV693" i="3" s="1"/>
  <c r="BU702" i="3"/>
  <c r="BV702" i="3" s="1"/>
  <c r="BU670" i="3"/>
  <c r="BV670" i="3" s="1"/>
  <c r="BU678" i="3"/>
  <c r="BV678" i="3" s="1"/>
  <c r="BU686" i="3"/>
  <c r="BV686" i="3" s="1"/>
  <c r="BU694" i="3"/>
  <c r="BV694" i="3" s="1"/>
  <c r="BU668" i="3"/>
  <c r="BU671" i="3"/>
  <c r="BV671" i="3" s="1"/>
  <c r="BU679" i="3"/>
  <c r="BU687" i="3"/>
  <c r="BV687" i="3" s="1"/>
  <c r="BU695" i="3"/>
  <c r="BV695" i="3" s="1"/>
  <c r="BU681" i="3"/>
  <c r="BV681" i="3" s="1"/>
  <c r="BU689" i="3"/>
  <c r="BV689" i="3" s="1"/>
  <c r="BU698" i="3"/>
  <c r="BV698" i="3" s="1"/>
  <c r="BU684" i="3"/>
  <c r="BU700" i="3"/>
  <c r="BV700" i="3" s="1"/>
  <c r="BU672" i="3"/>
  <c r="BV672" i="3" s="1"/>
  <c r="BU680" i="3"/>
  <c r="BV680" i="3" s="1"/>
  <c r="BU688" i="3"/>
  <c r="BV688" i="3" s="1"/>
  <c r="BU696" i="3"/>
  <c r="BV696" i="3" s="1"/>
  <c r="BU673" i="3"/>
  <c r="BV673" i="3" s="1"/>
  <c r="BU697" i="3"/>
  <c r="BV697" i="3" s="1"/>
  <c r="BU674" i="3"/>
  <c r="BV674" i="3" s="1"/>
  <c r="BU682" i="3"/>
  <c r="BU690" i="3"/>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I702" i="3"/>
  <c r="AX683" i="20"/>
  <c r="AY684" i="20" s="1"/>
  <c r="I14" i="21"/>
  <c r="AS351" i="20"/>
  <c r="AS347"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4" i="3"/>
  <c r="BV677" i="3"/>
  <c r="BV676"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O53" i="7" l="1"/>
  <c r="M58" i="7"/>
  <c r="H11" i="13"/>
  <c r="T63" i="4"/>
  <c r="S105" i="4"/>
  <c r="S107" i="4" s="1"/>
  <c r="AK458" i="20"/>
  <c r="T806" i="20" s="1"/>
  <c r="AF806" i="20" s="1"/>
  <c r="D64" i="11"/>
  <c r="B105" i="13"/>
  <c r="B97" i="13"/>
  <c r="B105" i="4"/>
  <c r="AC454" i="3" s="1"/>
  <c r="F457" i="3" s="1"/>
  <c r="AG258" i="20"/>
  <c r="B97" i="4"/>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3" i="7"/>
  <c r="E105" i="13"/>
  <c r="H63" i="13"/>
  <c r="T97" i="4"/>
  <c r="AD11" i="15"/>
  <c r="AD23" i="15" s="1"/>
  <c r="AD26" i="15" s="1"/>
  <c r="AD28" i="15" s="1"/>
  <c r="E107" i="13"/>
  <c r="AB255" i="20"/>
  <c r="AG257" i="20" s="1"/>
  <c r="AG259" i="20" s="1"/>
  <c r="AK262" i="20" s="1"/>
  <c r="T801" i="20" s="1"/>
  <c r="AF801" i="20" s="1"/>
  <c r="AB47" i="15"/>
  <c r="AB49" i="15" s="1"/>
  <c r="AB54" i="15" s="1"/>
  <c r="AB55" i="15" s="1"/>
  <c r="N183" i="27"/>
  <c r="N184" i="27" s="1"/>
  <c r="G38" i="21"/>
  <c r="G40" i="21" s="1"/>
  <c r="E10" i="21" s="1"/>
  <c r="AP694" i="20"/>
  <c r="AP695" i="20"/>
  <c r="I4" i="7"/>
  <c r="I5" i="7" s="1"/>
  <c r="K9" i="7"/>
  <c r="E11" i="7"/>
  <c r="E37" i="7" s="1"/>
  <c r="E49" i="7" s="1"/>
  <c r="AJ991" i="3"/>
  <c r="AJ1028" i="3" s="1"/>
  <c r="E132" i="20"/>
  <c r="E133" i="20" s="1"/>
  <c r="AK137" i="20" s="1"/>
  <c r="T796" i="20" s="1"/>
  <c r="AF796" i="20" s="1"/>
  <c r="AB990" i="3"/>
  <c r="CS660" i="3"/>
  <c r="U362" i="20" s="1"/>
  <c r="P421" i="3"/>
  <c r="I6" i="7"/>
  <c r="G7" i="7"/>
  <c r="G11" i="7" s="1"/>
  <c r="G37" i="7" s="1"/>
  <c r="M22" i="7"/>
  <c r="M35" i="7" s="1"/>
  <c r="O15" i="7"/>
  <c r="M9" i="7"/>
  <c r="O8" i="7"/>
  <c r="G25" i="21"/>
  <c r="F24" i="21"/>
  <c r="S53" i="7" l="1"/>
  <c r="Q58" i="7"/>
  <c r="AZ846" i="3"/>
  <c r="AZ843" i="3"/>
  <c r="AZ851" i="3" s="1"/>
  <c r="H97" i="13"/>
  <c r="T105" i="4"/>
  <c r="AJ1019" i="3"/>
  <c r="B1059" i="3" s="1"/>
  <c r="AJ1040" i="3"/>
  <c r="T11" i="15"/>
  <c r="T23" i="15" s="1"/>
  <c r="Y11" i="15"/>
  <c r="Y23" i="15" s="1"/>
  <c r="Y26" i="15" s="1"/>
  <c r="Y28" i="15" s="1"/>
  <c r="N194" i="27"/>
  <c r="AJ1048" i="3"/>
  <c r="AP542" i="20" s="1"/>
  <c r="AP539" i="20"/>
  <c r="K4" i="7"/>
  <c r="M4" i="7" s="1"/>
  <c r="E45" i="7"/>
  <c r="E48" i="7" s="1"/>
  <c r="G45" i="7"/>
  <c r="G49" i="7"/>
  <c r="K6" i="7"/>
  <c r="I7" i="7"/>
  <c r="I11" i="7" s="1"/>
  <c r="I37" i="7" s="1"/>
  <c r="G24" i="21"/>
  <c r="F27" i="21"/>
  <c r="G27" i="21"/>
  <c r="O22" i="7"/>
  <c r="O35" i="7" s="1"/>
  <c r="Q15" i="7"/>
  <c r="O9" i="7"/>
  <c r="Q8" i="7"/>
  <c r="U53" i="7" l="1"/>
  <c r="S58" i="7"/>
  <c r="AP543" i="20"/>
  <c r="H105" i="13"/>
  <c r="T107" i="4"/>
  <c r="AJ1052" i="3"/>
  <c r="T24" i="15" s="1"/>
  <c r="T26" i="15"/>
  <c r="T28" i="15" s="1"/>
  <c r="Y64" i="15"/>
  <c r="Y68" i="15" s="1"/>
  <c r="Y69" i="15"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W53" i="7" l="1"/>
  <c r="U58" i="7"/>
  <c r="H107" i="13"/>
  <c r="AI11" i="15" s="1"/>
  <c r="AI23" i="15" s="1"/>
  <c r="AI26" i="15" s="1"/>
  <c r="AI28" i="15" s="1"/>
  <c r="T29" i="15" s="1"/>
  <c r="AF540" i="20"/>
  <c r="AC456" i="3"/>
  <c r="AP546" i="20"/>
  <c r="AP545" i="20" s="1"/>
  <c r="AP548" i="20" s="1"/>
  <c r="AF541" i="20" s="1"/>
  <c r="K11" i="7"/>
  <c r="K37" i="7" s="1"/>
  <c r="K45" i="7" s="1"/>
  <c r="E66" i="7"/>
  <c r="O5" i="7"/>
  <c r="Q4" i="7"/>
  <c r="M7" i="7"/>
  <c r="M11" i="7" s="1"/>
  <c r="M37" i="7" s="1"/>
  <c r="O6" i="7"/>
  <c r="G62" i="7"/>
  <c r="G66" i="7"/>
  <c r="I48" i="7"/>
  <c r="I60" i="7"/>
  <c r="I47" i="7"/>
  <c r="G69" i="21"/>
  <c r="G81" i="21"/>
  <c r="G65" i="21"/>
  <c r="S22" i="7"/>
  <c r="S35" i="7" s="1"/>
  <c r="U15" i="7"/>
  <c r="E14" i="21"/>
  <c r="E15" i="21" s="1"/>
  <c r="U8" i="7"/>
  <c r="S9" i="7"/>
  <c r="W58" i="7" l="1"/>
  <c r="Y53" i="7"/>
  <c r="Y38" i="15"/>
  <c r="Y40" i="15" s="1"/>
  <c r="AF542" i="20"/>
  <c r="AK548" i="20" s="1"/>
  <c r="T807" i="20" s="1"/>
  <c r="AF807" i="20" s="1"/>
  <c r="AD38" i="15"/>
  <c r="AD40" i="15" s="1"/>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Y41" i="15"/>
  <c r="AB56" i="15" s="1"/>
  <c r="M26" i="3" s="1"/>
  <c r="P204" i="3" s="1"/>
  <c r="U4" i="7"/>
  <c r="S5" i="7"/>
  <c r="M48" i="7"/>
  <c r="M47" i="7"/>
  <c r="M60" i="7"/>
  <c r="O45" i="7"/>
  <c r="O49" i="7"/>
  <c r="K66" i="7"/>
  <c r="K62" i="7"/>
  <c r="Q7" i="7"/>
  <c r="Q11" i="7" s="1"/>
  <c r="Q37" i="7" s="1"/>
  <c r="S6" i="7"/>
  <c r="I70" i="7"/>
  <c r="I72" i="7" s="1"/>
  <c r="W22" i="7"/>
  <c r="W35" i="7" s="1"/>
  <c r="Y15" i="7"/>
  <c r="W9" i="7"/>
  <c r="Y8" i="7"/>
  <c r="AB57" i="15" l="1"/>
  <c r="AB59" i="15" s="1"/>
  <c r="AB77" i="15" s="1"/>
  <c r="AA58" i="7"/>
  <c r="AC53" i="7"/>
  <c r="U5" i="7"/>
  <c r="W4" i="7"/>
  <c r="Q49" i="7"/>
  <c r="Q45" i="7"/>
  <c r="M62" i="7"/>
  <c r="M66" i="7"/>
  <c r="O47" i="7"/>
  <c r="O48" i="7"/>
  <c r="O60" i="7"/>
  <c r="K70" i="7"/>
  <c r="K72" i="7" s="1"/>
  <c r="S7" i="7"/>
  <c r="S11" i="7" s="1"/>
  <c r="S37" i="7" s="1"/>
  <c r="U6" i="7"/>
  <c r="Y22" i="7"/>
  <c r="Y35" i="7" s="1"/>
  <c r="AA15" i="7"/>
  <c r="Y9" i="7"/>
  <c r="AA8" i="7"/>
  <c r="AE53" i="7" l="1"/>
  <c r="AC58" i="7"/>
  <c r="AB78" i="15"/>
  <c r="AB79" i="15" s="1"/>
  <c r="AB81" i="15" s="1"/>
  <c r="J82" i="15" s="1"/>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E97" i="20"/>
  <c r="E100" i="20" s="1"/>
  <c r="AP100" i="20" s="1"/>
  <c r="AK103" i="20" s="1"/>
  <c r="T795" i="20" s="1"/>
  <c r="AF795" i="20" s="1"/>
  <c r="AF810" i="20" s="1"/>
  <c r="R49" i="4"/>
  <c r="R54" i="4" s="1"/>
  <c r="R63" i="4" s="1"/>
  <c r="R97" i="4" s="1"/>
  <c r="R105" i="4" s="1"/>
  <c r="Q54" i="4"/>
  <c r="Q63" i="4"/>
  <c r="Q97" i="4" s="1"/>
  <c r="Q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color rgb="FF000000"/>
            <rFont val="Arial"/>
            <family val="2"/>
          </rPr>
          <t>130% adjustment only for sites located in a DDA/QCT.</t>
        </r>
      </text>
    </comment>
    <comment ref="Y25" authorId="2" shapeId="0" xr:uid="{00000000-0006-0000-0A00-000005000000}">
      <text>
        <r>
          <rPr>
            <sz val="10"/>
            <color rgb="FF00000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<sst xmlns="http://schemas.openxmlformats.org/spreadsheetml/2006/main" count="5315" uniqueCount="2774">
  <si>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</si>
  <si>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</si>
  <si>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</si>
  <si>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</si>
  <si>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</si>
  <si>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</si>
  <si>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</si>
  <si>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</si>
  <si>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</si>
  <si>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</si>
  <si>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</si>
  <si>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</si>
  <si>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</si>
  <si>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</si>
  <si>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</si>
  <si>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</si>
  <si>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</si>
  <si>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</si>
  <si>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</si>
  <si>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</si>
  <si>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</si>
  <si>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</si>
  <si>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</si>
  <si>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</si>
  <si>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</si>
  <si>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</si>
  <si>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</si>
  <si>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</si>
  <si>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</si>
  <si>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</si>
  <si>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</si>
  <si>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</si>
  <si>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</si>
  <si>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</si>
  <si>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</si>
  <si>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</si>
  <si>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</si>
  <si>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</si>
  <si>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</si>
  <si>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</si>
  <si>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</si>
  <si>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</si>
  <si>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</si>
  <si>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</si>
  <si>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</si>
  <si>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</si>
  <si>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</si>
  <si>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</si>
  <si>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</si>
  <si>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</si>
  <si>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</si>
  <si>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</si>
  <si>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</si>
  <si>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</si>
  <si>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</si>
  <si>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</si>
  <si>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</si>
  <si>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</si>
  <si>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</si>
  <si>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</si>
  <si>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</si>
  <si>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</si>
  <si>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</si>
  <si>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</si>
  <si>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</si>
  <si>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</si>
  <si>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</si>
  <si>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</si>
  <si>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</si>
  <si>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</si>
  <si>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</si>
  <si>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</si>
  <si>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</si>
  <si>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</si>
  <si>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</si>
  <si>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</si>
  <si>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</si>
  <si>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</si>
  <si>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</si>
  <si>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</si>
  <si>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</si>
  <si>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</si>
  <si>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</si>
  <si>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</si>
  <si>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</si>
  <si>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</si>
  <si>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</si>
  <si>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</si>
  <si>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</si>
  <si>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</si>
  <si>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</si>
  <si>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</si>
  <si>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</si>
  <si>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</si>
  <si>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</si>
  <si>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</si>
  <si>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</si>
  <si>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</si>
  <si>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</si>
  <si>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</si>
  <si>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</si>
  <si>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</si>
  <si>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</si>
  <si>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</si>
  <si>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</si>
  <si>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</si>
  <si>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</si>
  <si>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</si>
  <si>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</si>
  <si>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</si>
  <si>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</si>
  <si>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</si>
  <si>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</si>
  <si>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</si>
  <si>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</si>
  <si>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</si>
  <si>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</si>
  <si>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</si>
  <si>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</si>
  <si>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</si>
  <si>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</si>
  <si>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</si>
  <si>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</si>
  <si>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</si>
  <si>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</si>
  <si>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</si>
  <si>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</si>
  <si>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</si>
  <si>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</si>
  <si>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</si>
  <si>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</si>
  <si>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</si>
  <si>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</si>
  <si>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</si>
  <si>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</si>
  <si>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</si>
  <si>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</si>
  <si>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</si>
  <si>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</si>
  <si>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</si>
  <si>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</si>
  <si>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</si>
  <si>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</si>
  <si>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</si>
  <si>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</si>
  <si>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</si>
  <si>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</si>
  <si>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</si>
  <si>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</si>
  <si>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</si>
  <si>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</si>
  <si>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</si>
  <si>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</si>
  <si>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</si>
  <si>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</si>
  <si>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</si>
  <si>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</si>
  <si>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</si>
  <si>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</si>
  <si>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</si>
  <si>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</si>
  <si>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</si>
  <si>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</si>
  <si>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</si>
  <si>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</si>
  <si>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</si>
  <si>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</si>
  <si>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</si>
  <si>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</si>
  <si>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</si>
  <si>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</si>
  <si>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</si>
  <si>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</si>
  <si>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</si>
  <si>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</si>
  <si>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</si>
  <si>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</si>
  <si>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</si>
  <si>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</si>
  <si>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</si>
  <si>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</si>
  <si>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</si>
  <si>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</si>
  <si>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</si>
  <si>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</si>
  <si>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</si>
  <si>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</si>
  <si>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</si>
  <si>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</si>
  <si>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</si>
  <si>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</si>
  <si>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</si>
  <si>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</si>
  <si>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</si>
  <si>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</si>
  <si>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</si>
  <si>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</si>
  <si>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</si>
  <si>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</si>
  <si>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</si>
  <si>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</si>
  <si>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</si>
  <si>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</si>
  <si>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</si>
  <si>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</si>
  <si>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</si>
  <si>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</si>
  <si>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</si>
  <si>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</si>
  <si>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</si>
  <si>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</si>
  <si>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</si>
  <si>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</si>
  <si>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</si>
  <si>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</si>
  <si>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</si>
  <si>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</si>
  <si>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</si>
  <si>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</si>
  <si>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</si>
  <si>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</si>
  <si>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</si>
  <si>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</si>
  <si>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</si>
  <si>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</si>
  <si>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</si>
  <si>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</si>
  <si>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</si>
  <si>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</si>
  <si>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</si>
  <si>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</si>
  <si>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</si>
  <si>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</si>
  <si>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</si>
  <si>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</si>
  <si>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</si>
  <si>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</si>
  <si>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</si>
  <si>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</si>
  <si>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</si>
  <si>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</si>
  <si>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</si>
  <si>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</si>
  <si>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</si>
  <si>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</si>
  <si>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</si>
  <si>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</si>
  <si>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</si>
  <si>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</si>
  <si>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</si>
  <si>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</si>
  <si>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</si>
  <si>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</si>
  <si>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</si>
  <si>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</si>
  <si>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</si>
  <si>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</si>
  <si>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</si>
  <si>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</si>
  <si>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</si>
  <si>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</si>
  <si>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</si>
  <si>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</si>
  <si>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</si>
  <si>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</si>
  <si>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</si>
  <si>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</si>
  <si>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</si>
  <si>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</si>
  <si>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</si>
  <si>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</si>
  <si>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</si>
  <si>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</si>
  <si>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</si>
  <si>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</si>
  <si>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</si>
  <si>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</si>
  <si>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</si>
  <si>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</si>
  <si>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</si>
  <si>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</si>
  <si>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</si>
  <si>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</si>
  <si>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</si>
  <si>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</si>
  <si>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</si>
  <si>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</si>
  <si>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</si>
  <si>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</si>
  <si>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</si>
  <si>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</si>
  <si>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</si>
  <si>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</si>
  <si>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</si>
  <si>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</si>
  <si>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</si>
  <si>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</si>
  <si>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</si>
  <si>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</si>
  <si>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</si>
  <si>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</si>
  <si>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</si>
  <si>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</si>
  <si>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</si>
  <si>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</si>
  <si>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</si>
  <si>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</si>
  <si>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</si>
  <si>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</si>
  <si>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</si>
  <si>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</si>
  <si>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</si>
  <si>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</si>
  <si>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</si>
  <si>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</si>
  <si>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</si>
  <si>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</si>
  <si>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</si>
  <si>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</si>
  <si>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</si>
  <si>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</si>
  <si>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</si>
  <si>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</si>
  <si>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</si>
  <si>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</si>
  <si>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</si>
  <si>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</si>
  <si>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</si>
  <si>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</si>
  <si>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</si>
  <si>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</si>
  <si>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</si>
  <si>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</si>
  <si>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</si>
  <si>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</si>
  <si>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</si>
  <si>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</si>
  <si>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</si>
  <si>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</si>
  <si>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</si>
  <si>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</si>
  <si>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</si>
  <si>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</si>
  <si>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</si>
  <si>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</si>
  <si>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</si>
  <si>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</si>
  <si>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</si>
  <si>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</si>
  <si>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</si>
  <si>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</si>
  <si>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</si>
  <si>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</si>
  <si>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</si>
  <si>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</si>
  <si>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</si>
  <si>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</si>
  <si>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</si>
  <si>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</si>
  <si>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</si>
  <si>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</si>
  <si>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</si>
  <si>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</si>
  <si>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</si>
  <si>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</si>
  <si>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</si>
  <si>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</si>
  <si>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</si>
  <si>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</si>
  <si>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</si>
  <si>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</si>
  <si>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</si>
  <si>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</si>
  <si>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</si>
  <si>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</si>
  <si>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</si>
  <si>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</si>
  <si>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</si>
  <si>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</si>
  <si>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</si>
  <si>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</si>
  <si>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</si>
  <si>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</si>
  <si>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</si>
  <si>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</si>
  <si>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</si>
  <si>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</si>
  <si>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</si>
  <si>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</si>
  <si>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</si>
  <si>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</si>
  <si>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</si>
  <si>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</si>
  <si>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</si>
  <si>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</si>
  <si>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</si>
  <si>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</si>
  <si>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</si>
  <si>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</si>
  <si>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</si>
  <si>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</si>
  <si>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</si>
  <si>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</si>
  <si>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</si>
  <si>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</si>
  <si>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</si>
  <si>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</si>
  <si>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</si>
  <si>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</si>
  <si>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</si>
  <si>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</si>
  <si>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</si>
  <si>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</si>
  <si>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</si>
  <si>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</si>
  <si>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</si>
  <si>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</si>
  <si>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</si>
  <si>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</si>
  <si>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</si>
  <si>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</si>
  <si>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</si>
  <si>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</si>
  <si>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</si>
  <si>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</si>
  <si>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</si>
  <si>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</si>
  <si>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</si>
  <si>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</si>
  <si>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</si>
  <si>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</si>
  <si>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</si>
  <si>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</si>
  <si>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</si>
  <si>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</si>
  <si>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</si>
  <si>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</si>
  <si>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</si>
  <si>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</si>
  <si>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</si>
  <si>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</si>
  <si>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</si>
  <si>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</si>
  <si>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</si>
  <si>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</si>
  <si>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</si>
  <si>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</si>
  <si>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</si>
  <si>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</si>
  <si>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</si>
  <si>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</si>
  <si>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</si>
  <si>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</si>
  <si>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</si>
  <si>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</si>
  <si>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</si>
  <si>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</si>
  <si>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</si>
  <si>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</si>
  <si>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</si>
  <si>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</si>
  <si>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</si>
  <si>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</si>
  <si>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</si>
  <si>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</si>
  <si>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</si>
  <si>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</si>
  <si>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</si>
  <si>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</si>
  <si>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</si>
  <si>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</si>
  <si>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</si>
  <si>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</si>
  <si>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</si>
  <si>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</si>
  <si>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</si>
  <si>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</si>
  <si>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</si>
  <si>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</si>
  <si>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</si>
  <si>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</si>
  <si>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</si>
  <si>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</si>
  <si>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</si>
  <si>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</si>
  <si>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</si>
  <si>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</si>
  <si>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</si>
  <si>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</si>
  <si>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</si>
  <si>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</si>
  <si>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</si>
  <si>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</si>
  <si>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</si>
  <si>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</si>
  <si>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</si>
  <si>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</si>
  <si>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</si>
  <si>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</si>
  <si>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</si>
  <si>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</si>
  <si>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</si>
  <si>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</si>
  <si>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</si>
  <si>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</si>
  <si>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</si>
  <si>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</si>
  <si>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</si>
  <si>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</si>
  <si>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</si>
  <si>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</si>
  <si>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</si>
  <si>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</si>
  <si>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</si>
  <si>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</si>
  <si>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</si>
  <si>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</si>
  <si>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</si>
  <si>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</si>
  <si>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</si>
  <si>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</si>
  <si>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</si>
  <si>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</si>
  <si>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</si>
  <si>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</si>
  <si>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</si>
  <si>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</si>
  <si>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</si>
  <si>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</si>
  <si>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</si>
  <si>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</si>
  <si>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</si>
  <si>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</si>
  <si>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</si>
  <si>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</si>
  <si>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</si>
  <si>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</si>
  <si>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</si>
  <si>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</si>
  <si>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</si>
  <si>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</si>
  <si>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</si>
  <si>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</si>
  <si>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</si>
  <si>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</si>
  <si>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</si>
  <si>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</si>
  <si>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</si>
  <si>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</si>
  <si>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</si>
  <si>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</si>
  <si>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</si>
  <si>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</si>
  <si>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</si>
  <si>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</si>
  <si>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</si>
  <si>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</si>
  <si>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</si>
  <si>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</si>
  <si>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</si>
  <si>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</si>
  <si>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</si>
  <si>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</si>
  <si>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</si>
  <si>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</si>
  <si>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</si>
  <si>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</si>
  <si>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</si>
  <si>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</si>
  <si>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</si>
  <si>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</si>
  <si>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</si>
  <si>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</si>
  <si>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</si>
  <si>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</si>
  <si>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</si>
  <si>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</si>
  <si>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</si>
  <si>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</si>
  <si>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</si>
  <si>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</si>
  <si>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</si>
  <si>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</si>
  <si>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</si>
  <si>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</si>
  <si>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</si>
  <si>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</si>
  <si>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</si>
  <si>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</si>
  <si>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</si>
  <si>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</si>
  <si>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</si>
  <si>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</si>
  <si>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</si>
  <si>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</si>
  <si>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</si>
  <si>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</si>
  <si>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</si>
  <si>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</si>
  <si>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</si>
  <si>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</si>
  <si>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</si>
  <si>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</si>
  <si>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</si>
  <si>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</si>
  <si>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</si>
  <si>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</si>
  <si>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</si>
  <si>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</si>
  <si>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</si>
  <si>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</si>
  <si>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</si>
  <si>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</si>
  <si>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</si>
  <si>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</si>
  <si>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</si>
  <si>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</si>
  <si>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</si>
  <si>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</si>
  <si>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</si>
  <si>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</si>
  <si>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</si>
  <si>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</si>
  <si>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</si>
  <si>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</si>
  <si>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</si>
  <si>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</si>
  <si>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</si>
  <si>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</si>
  <si>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</si>
  <si>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</si>
  <si>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</si>
  <si>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</si>
  <si>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</si>
  <si>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</si>
  <si>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</si>
  <si>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</si>
  <si>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</si>
  <si>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</si>
  <si>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</si>
  <si>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</si>
  <si>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</si>
  <si>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</si>
  <si>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</si>
  <si>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</si>
  <si>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</si>
  <si>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</si>
  <si>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</si>
  <si>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</si>
  <si>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</si>
  <si>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</si>
  <si>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</si>
  <si>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</si>
  <si>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</si>
  <si>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</si>
  <si>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</si>
  <si>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</si>
  <si>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</si>
  <si>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</si>
  <si>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</si>
  <si>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</si>
  <si>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</si>
  <si>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</si>
  <si>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</si>
  <si>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</si>
  <si>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</si>
  <si>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</si>
  <si>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</si>
  <si>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</si>
  <si>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</si>
  <si>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</si>
  <si>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</si>
  <si>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</si>
  <si>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</si>
  <si>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</si>
  <si>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</si>
  <si>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</si>
  <si>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</si>
  <si>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</si>
  <si>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</si>
  <si>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</si>
  <si>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</si>
  <si>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</si>
  <si>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</si>
  <si>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</si>
  <si>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</si>
  <si>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</si>
  <si>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</si>
  <si>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</si>
  <si>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</si>
  <si>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</si>
  <si>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</si>
  <si>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</si>
  <si>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</si>
  <si>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</si>
  <si>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</si>
  <si>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</si>
  <si>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</si>
  <si>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</si>
  <si>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</si>
  <si>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</si>
  <si>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</si>
  <si>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</si>
  <si>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</si>
  <si>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</si>
  <si>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</si>
  <si>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</si>
  <si>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</si>
  <si>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</si>
  <si>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</si>
  <si>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</si>
  <si>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</si>
  <si>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</si>
  <si>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</si>
  <si>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</si>
  <si>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</si>
  <si>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</si>
  <si>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</si>
  <si>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</si>
  <si>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</si>
  <si>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</si>
  <si>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</si>
  <si>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</si>
  <si>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</si>
  <si>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</si>
  <si>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</si>
  <si>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</si>
  <si>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</si>
  <si>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</si>
  <si>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</si>
  <si>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</si>
  <si>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</si>
  <si>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</si>
  <si>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</si>
  <si>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</si>
  <si>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</si>
  <si>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</si>
  <si>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</si>
  <si>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</si>
  <si>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</si>
  <si>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</si>
  <si>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</si>
  <si>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</si>
  <si>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</si>
  <si>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</si>
  <si>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</si>
  <si>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</si>
  <si>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</si>
  <si>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</si>
  <si>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</si>
  <si>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</si>
  <si>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</si>
  <si>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</si>
  <si>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</si>
  <si>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</si>
  <si>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</si>
  <si>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</si>
  <si>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</si>
  <si>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</si>
  <si>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</si>
  <si>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</si>
  <si>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</si>
  <si>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</si>
  <si>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</si>
  <si>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</si>
  <si>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</si>
  <si>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</si>
  <si>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</si>
  <si>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</si>
  <si>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</si>
  <si>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</si>
  <si>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</si>
  <si>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</si>
  <si>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</si>
  <si>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</si>
  <si>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</si>
  <si>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</si>
  <si>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</si>
  <si>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</si>
  <si>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</si>
  <si>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</si>
  <si>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</si>
  <si>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</si>
  <si>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</si>
  <si>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</si>
  <si>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</si>
  <si>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</si>
  <si>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</si>
  <si>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</si>
  <si>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</si>
  <si>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</si>
  <si>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</si>
  <si>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</si>
  <si>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</si>
  <si>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</si>
  <si>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</si>
  <si>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</si>
  <si>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</si>
  <si>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</si>
  <si>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</si>
  <si>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</si>
  <si>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</si>
  <si>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</si>
  <si>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</si>
  <si>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</si>
  <si>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</si>
  <si>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</si>
  <si>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</si>
  <si>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</si>
  <si>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</si>
  <si>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</si>
  <si>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</si>
  <si>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</si>
  <si>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</si>
  <si>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</si>
  <si>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</si>
  <si>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</si>
  <si>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</si>
  <si>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</si>
  <si>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</si>
  <si>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</si>
  <si>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</si>
  <si>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</si>
  <si>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</si>
  <si>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</si>
  <si>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</si>
  <si>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</si>
  <si>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</si>
  <si>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</si>
  <si>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</si>
  <si>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</si>
  <si>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</si>
  <si>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</si>
  <si>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</si>
  <si>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</si>
  <si>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</si>
  <si>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</si>
  <si>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</si>
  <si>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</si>
  <si>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</si>
  <si>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</si>
  <si>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</si>
  <si>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</si>
  <si>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</si>
  <si>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</si>
  <si>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</si>
  <si>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</si>
  <si>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</si>
  <si>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</si>
  <si>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</si>
  <si>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</si>
  <si>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</si>
  <si>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</si>
  <si>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</si>
  <si>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</si>
  <si>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</si>
  <si>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</si>
  <si>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</si>
  <si>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</si>
  <si>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</si>
  <si>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</si>
  <si>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</si>
  <si>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</si>
  <si>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</si>
  <si>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</si>
  <si>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</si>
  <si>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</si>
  <si>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</si>
  <si>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</si>
  <si>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</si>
  <si>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</si>
  <si>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</si>
  <si>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</si>
  <si>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</si>
  <si>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</si>
  <si>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</si>
  <si>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</si>
  <si>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</si>
  <si>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</si>
  <si>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</si>
  <si>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</si>
  <si>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</si>
  <si>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</si>
  <si>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</si>
  <si>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</si>
  <si>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</si>
  <si>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</si>
  <si>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</si>
  <si>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</si>
  <si>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</si>
  <si>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</si>
  <si>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</si>
  <si>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</si>
  <si>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</si>
  <si>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</si>
  <si>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</si>
  <si>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</si>
  <si>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</si>
  <si>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</si>
  <si>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</si>
  <si>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</si>
  <si>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</si>
  <si>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</si>
  <si>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</si>
  <si>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</si>
  <si>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</si>
  <si>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</si>
  <si>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</si>
  <si>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</si>
  <si>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</si>
  <si>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</si>
  <si>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</si>
  <si>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</si>
  <si>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</si>
  <si>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</si>
  <si>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</si>
  <si>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</si>
  <si>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</si>
  <si>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</si>
  <si>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</si>
  <si>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</si>
  <si>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</si>
  <si>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</si>
  <si>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</si>
  <si>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</si>
  <si>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</si>
  <si>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</si>
  <si>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</si>
  <si>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</si>
  <si>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</si>
  <si>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</si>
  <si>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</si>
  <si>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</si>
  <si>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</si>
  <si>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</si>
  <si>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</si>
  <si>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</si>
  <si>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</si>
  <si>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</si>
  <si>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</si>
  <si>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</si>
  <si>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</si>
  <si>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</si>
  <si>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</si>
  <si>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</si>
  <si>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</si>
  <si>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</si>
  <si>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</si>
  <si>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</si>
  <si>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</si>
  <si>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</si>
  <si>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</si>
  <si>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</si>
  <si>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</si>
  <si>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</si>
  <si>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</si>
  <si>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</si>
  <si>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</si>
  <si>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</si>
  <si>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</si>
  <si>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</si>
  <si>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</si>
  <si>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</si>
  <si>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</si>
  <si>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</si>
  <si>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</si>
  <si>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</si>
  <si>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</si>
  <si>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</si>
  <si>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</si>
  <si>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</si>
  <si>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</si>
  <si>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</si>
  <si>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</si>
  <si>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</si>
  <si>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</si>
  <si>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</si>
  <si>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</si>
  <si>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</si>
  <si>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</si>
  <si>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</si>
  <si>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</si>
  <si>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</si>
  <si>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</si>
  <si>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</si>
  <si>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</si>
  <si>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</si>
  <si>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</si>
  <si>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</si>
  <si>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</si>
  <si>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</si>
  <si>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</si>
  <si>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</si>
  <si>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</si>
  <si>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</si>
  <si>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</si>
  <si>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</si>
  <si>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</si>
  <si>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</si>
  <si>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</si>
  <si>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</si>
  <si>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</si>
  <si>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</si>
  <si>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</si>
  <si>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</si>
  <si>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</si>
  <si>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</si>
  <si>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</si>
  <si>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</si>
  <si>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</si>
  <si>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</si>
  <si>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</si>
  <si>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</si>
  <si>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</si>
  <si>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</si>
  <si>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</si>
  <si>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</si>
  <si>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</si>
  <si>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</si>
  <si>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</si>
  <si>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</si>
  <si>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</si>
  <si>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</si>
  <si>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</si>
  <si>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</si>
  <si>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</si>
  <si>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</si>
  <si>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</si>
  <si>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</si>
  <si>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</si>
  <si>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</si>
  <si>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</si>
  <si>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</si>
  <si>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</si>
  <si>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</si>
  <si>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</si>
  <si>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</si>
  <si>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</si>
  <si>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</si>
  <si>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</si>
  <si>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</si>
  <si>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</si>
  <si>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</si>
  <si>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</si>
  <si>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</si>
  <si>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</si>
  <si>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</si>
  <si>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</si>
  <si>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</si>
  <si>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</si>
  <si>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</si>
  <si>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</si>
  <si>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</si>
  <si>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</si>
  <si>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</si>
  <si>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</si>
  <si>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</si>
  <si>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</si>
  <si>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</si>
  <si>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</si>
  <si>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</si>
  <si>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</si>
  <si>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</si>
  <si>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</si>
  <si>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</si>
  <si>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</si>
  <si>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</si>
  <si>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</si>
  <si>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</si>
  <si>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</si>
  <si>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</si>
  <si>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</si>
  <si>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</si>
  <si>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</si>
  <si>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</si>
  <si>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</si>
  <si>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</si>
  <si>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</si>
  <si>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</si>
  <si>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</si>
  <si>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</si>
  <si>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</si>
  <si>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</si>
  <si>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</si>
  <si>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</si>
  <si>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</si>
  <si>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</si>
  <si>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</si>
  <si>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</si>
  <si>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</si>
  <si>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</si>
  <si>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</si>
  <si>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</si>
  <si>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</si>
  <si>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</si>
  <si>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</si>
  <si>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</si>
  <si>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</si>
  <si>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</si>
  <si>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</si>
  <si>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</si>
  <si>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</si>
  <si>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</si>
  <si>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</si>
  <si>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</si>
  <si>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</si>
  <si>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</si>
  <si>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</si>
  <si>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</si>
  <si>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</si>
  <si>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</si>
  <si>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</si>
  <si>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</si>
  <si>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</si>
  <si>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</si>
  <si>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</si>
  <si>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</si>
  <si>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</si>
  <si>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</si>
  <si>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</si>
  <si>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</si>
  <si>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</si>
  <si>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</si>
  <si>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</si>
  <si>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</si>
  <si>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</si>
  <si>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</si>
  <si>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</si>
  <si>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</si>
  <si>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</si>
  <si>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</si>
  <si>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</si>
  <si>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</si>
  <si>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</si>
  <si>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</si>
  <si>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</si>
  <si>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</si>
  <si>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</si>
  <si>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</si>
  <si>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</si>
  <si>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</si>
  <si>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</si>
  <si>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</si>
  <si>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</si>
  <si>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</si>
  <si>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</si>
  <si>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</si>
  <si>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</si>
  <si>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</si>
  <si>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</si>
  <si>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</si>
  <si>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</si>
  <si>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</si>
  <si>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</si>
  <si>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</si>
  <si>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</si>
  <si>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</si>
  <si>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</si>
  <si>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</si>
  <si>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</si>
  <si>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</si>
  <si>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</si>
  <si>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</si>
  <si>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</si>
  <si>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</si>
  <si>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</si>
  <si>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</si>
  <si>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</si>
  <si>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</si>
  <si>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</si>
  <si>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</si>
  <si>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</si>
  <si>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</si>
  <si>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</si>
  <si>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</si>
  <si>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</si>
  <si>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</si>
  <si>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</si>
  <si>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</si>
  <si>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</si>
  <si>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</si>
  <si>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</si>
  <si>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</si>
  <si>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</si>
  <si>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</si>
  <si>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</si>
  <si>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</si>
  <si>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</si>
  <si>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</si>
  <si>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</si>
  <si>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</si>
  <si>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</si>
  <si>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</si>
  <si>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</si>
  <si>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</si>
  <si>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</si>
  <si>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</si>
  <si>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</si>
  <si>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</si>
  <si>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</si>
  <si>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</si>
  <si>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</si>
  <si>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</si>
  <si>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</si>
  <si>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</si>
  <si>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</si>
  <si>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</si>
  <si>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</si>
  <si>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</si>
  <si>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</si>
  <si>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</si>
  <si>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</si>
  <si>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</si>
  <si>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</si>
  <si>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</si>
  <si>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</si>
  <si>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</si>
  <si>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</si>
  <si>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</si>
  <si>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</si>
  <si>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</si>
  <si>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</si>
  <si>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</si>
  <si>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</si>
  <si>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</si>
  <si>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</si>
  <si>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</si>
  <si>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</si>
  <si>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</si>
  <si>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</si>
  <si>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</si>
  <si>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</si>
  <si>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</si>
  <si>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</si>
  <si>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</si>
  <si>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</si>
  <si>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</si>
  <si>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</si>
  <si>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</si>
  <si>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</si>
  <si>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</si>
  <si>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</si>
  <si>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</si>
  <si>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</si>
  <si>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</si>
  <si>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</si>
  <si>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</si>
  <si>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</si>
  <si>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</si>
  <si>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</si>
  <si>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</si>
  <si>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</si>
  <si>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</si>
  <si>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</si>
  <si>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</si>
  <si>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</si>
  <si>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</si>
  <si>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</si>
  <si>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</si>
  <si>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</si>
  <si>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</si>
  <si>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</si>
  <si>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</si>
  <si>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</si>
  <si>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</si>
  <si>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</si>
  <si>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</si>
  <si>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</si>
  <si>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</si>
  <si>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</si>
  <si>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</si>
  <si>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</si>
  <si>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</si>
  <si>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</si>
  <si>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</si>
  <si>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</si>
  <si>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</si>
  <si>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</si>
  <si>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</si>
  <si>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</si>
  <si>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</si>
  <si>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</si>
  <si>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</si>
  <si>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</si>
  <si>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</si>
  <si>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</si>
  <si>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</si>
  <si>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</si>
  <si>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</si>
  <si>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</si>
  <si>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</si>
  <si>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</si>
  <si>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</si>
  <si>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</si>
  <si>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</si>
  <si>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</si>
  <si>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</si>
  <si>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</si>
  <si>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</si>
  <si>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</si>
  <si>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</si>
  <si>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</si>
  <si>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</si>
  <si>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</si>
  <si>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</si>
  <si>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</si>
  <si>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</si>
  <si>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</si>
  <si>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</si>
  <si>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</si>
  <si>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</si>
  <si>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</si>
  <si>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</si>
  <si>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</si>
  <si>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</si>
  <si>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</si>
  <si>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</si>
  <si>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</si>
  <si>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</si>
  <si>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</si>
  <si>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</si>
  <si>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</si>
  <si>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</si>
  <si>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</si>
  <si>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</si>
  <si>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</si>
  <si>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</si>
  <si>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</si>
  <si>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</si>
  <si>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</si>
  <si>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</si>
  <si>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</si>
  <si>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</si>
  <si>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</si>
  <si>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</si>
  <si>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</si>
  <si>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</si>
  <si>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</si>
  <si>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</si>
  <si>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</si>
  <si>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</si>
  <si>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</si>
  <si>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</si>
  <si>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</si>
  <si>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</si>
  <si>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</si>
  <si>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</si>
  <si>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</si>
  <si>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</si>
  <si>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</si>
  <si>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</si>
  <si>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</si>
  <si>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</si>
  <si>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</si>
  <si>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</si>
  <si>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</si>
  <si>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</si>
  <si>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</si>
  <si>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</si>
  <si>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</si>
  <si>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</si>
  <si>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</si>
  <si>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</si>
  <si>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</si>
  <si>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</si>
  <si>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</si>
  <si>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</si>
  <si>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</si>
  <si>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</si>
  <si>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</si>
  <si>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</si>
  <si>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</si>
  <si>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</si>
  <si>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</si>
  <si>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</si>
  <si>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</si>
  <si>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</si>
  <si>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</si>
  <si>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</si>
  <si>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</si>
  <si>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</si>
  <si>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</si>
  <si>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</si>
  <si>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</si>
  <si>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</si>
  <si>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</si>
  <si>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</si>
  <si>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</si>
  <si>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</si>
  <si>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</si>
  <si>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</si>
  <si>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</si>
  <si>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</si>
  <si>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</si>
  <si>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</si>
  <si>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</si>
  <si>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</si>
  <si>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</si>
  <si>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</si>
  <si>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</si>
  <si>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</si>
  <si>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</si>
  <si>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</si>
  <si>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</si>
  <si>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</si>
  <si>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</si>
  <si>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</si>
  <si>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</si>
  <si>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</si>
  <si>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</si>
  <si>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</si>
  <si>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</si>
  <si>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</si>
  <si>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</si>
  <si>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</si>
  <si>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</si>
  <si>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</si>
  <si>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</si>
  <si>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</si>
  <si>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</si>
  <si>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</si>
  <si>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</si>
  <si>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</si>
  <si>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</si>
  <si>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</si>
  <si>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</si>
  <si>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</si>
  <si>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</si>
  <si>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</si>
  <si>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</si>
  <si>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</si>
  <si>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</si>
  <si>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</si>
  <si>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</si>
  <si>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</si>
  <si>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</si>
  <si>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</si>
  <si>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</si>
  <si>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</si>
  <si>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</si>
  <si>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</si>
  <si>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</si>
  <si>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</si>
  <si>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</si>
  <si>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</si>
  <si>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</si>
  <si>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</si>
  <si>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</si>
  <si>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</si>
  <si>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</si>
  <si>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</si>
  <si>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</si>
  <si>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</si>
  <si>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</si>
  <si>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</si>
  <si>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</si>
  <si>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</si>
  <si>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</si>
  <si>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</si>
  <si>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</si>
  <si>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</si>
  <si>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</si>
  <si>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</si>
  <si>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</si>
  <si>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</si>
  <si>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</si>
  <si>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</si>
  <si>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</si>
  <si>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</si>
  <si>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</si>
  <si>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</si>
  <si>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</si>
  <si>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</si>
  <si>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</si>
  <si>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</si>
  <si>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</si>
  <si>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</si>
  <si>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</si>
  <si>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</si>
  <si>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</si>
  <si>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</si>
  <si>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</si>
  <si>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</si>
  <si>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</si>
  <si>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</si>
  <si>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</si>
  <si>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</si>
  <si>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</si>
  <si>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</si>
  <si>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</si>
  <si>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</si>
  <si>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</si>
  <si>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</si>
  <si>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</si>
  <si>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</si>
  <si>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</si>
  <si>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</si>
  <si>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</si>
  <si>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</si>
  <si>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</si>
  <si>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</si>
  <si>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</si>
  <si>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</si>
  <si>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</si>
  <si>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</si>
  <si>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</si>
  <si>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</si>
  <si>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</si>
  <si>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</si>
  <si>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</si>
  <si>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</si>
  <si>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</si>
  <si>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</si>
  <si>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</si>
  <si>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</si>
  <si>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</si>
  <si>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</si>
  <si>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</si>
  <si>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</si>
  <si>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</si>
  <si>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</si>
  <si>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</si>
  <si>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</si>
  <si>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</si>
  <si>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</si>
  <si>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</si>
  <si>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</si>
  <si>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</si>
  <si>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</si>
  <si>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</si>
  <si>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</si>
  <si>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</si>
  <si>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</si>
  <si>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</si>
  <si>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</si>
  <si>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</si>
  <si>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</si>
  <si>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</si>
  <si>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</si>
  <si>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</si>
  <si>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</si>
  <si>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</si>
  <si>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</si>
  <si>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</si>
  <si>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</si>
  <si>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</si>
  <si>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</si>
  <si>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</si>
  <si>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</si>
  <si>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</si>
  <si>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</si>
  <si>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</si>
  <si>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</si>
  <si>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</si>
  <si>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</si>
  <si>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</si>
  <si>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</si>
  <si>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</si>
  <si>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</si>
  <si>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</si>
  <si>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</si>
  <si>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</si>
  <si>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</si>
  <si>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</si>
  <si>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</si>
  <si>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</si>
  <si>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</si>
  <si>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</si>
  <si>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</si>
  <si>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</si>
  <si>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</si>
  <si>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</si>
  <si>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</si>
  <si>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</si>
  <si>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</si>
  <si>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</si>
  <si>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</si>
  <si>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</si>
  <si>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</si>
  <si>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</si>
  <si>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</si>
  <si>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</si>
  <si>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</si>
  <si>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</si>
  <si>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</si>
  <si>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</si>
  <si>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</si>
  <si>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</si>
  <si>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</si>
  <si>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</si>
  <si>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</si>
  <si>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</si>
  <si>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</si>
  <si>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</si>
  <si>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</si>
  <si>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</si>
  <si>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</si>
  <si>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</si>
  <si>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</si>
  <si>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</si>
  <si>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</si>
  <si>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</si>
  <si>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</si>
  <si>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</si>
  <si>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</si>
  <si>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</si>
  <si>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</si>
  <si>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</si>
  <si>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</si>
  <si>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</si>
  <si>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</si>
  <si>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</si>
  <si>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</si>
  <si>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</si>
  <si>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</si>
  <si>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</si>
  <si>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</si>
  <si>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</si>
  <si>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</si>
  <si>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</si>
  <si>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</si>
  <si>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</si>
  <si>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</si>
  <si>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</si>
  <si>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</si>
  <si>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</si>
  <si>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</si>
  <si>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</si>
  <si>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</si>
  <si>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</si>
  <si>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</si>
  <si>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</si>
  <si>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</si>
  <si>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</si>
  <si>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</si>
  <si>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</si>
  <si>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</si>
  <si>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</si>
  <si>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</si>
  <si>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</si>
  <si>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</si>
  <si>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</si>
  <si>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</si>
  <si>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</si>
  <si>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</si>
  <si>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</si>
  <si>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</si>
  <si>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</si>
  <si>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</si>
  <si>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</si>
  <si>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</si>
  <si>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</si>
  <si>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</si>
  <si>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</si>
  <si>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</si>
  <si>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</si>
  <si>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</si>
  <si>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</si>
  <si>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</si>
  <si>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</si>
  <si>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</si>
  <si>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</si>
  <si>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</si>
  <si>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</si>
  <si>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</si>
  <si>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</si>
  <si>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</si>
  <si>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</si>
  <si>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</si>
  <si>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</si>
  <si>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</si>
  <si>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</si>
  <si>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</si>
  <si>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</si>
  <si>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</si>
  <si>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</si>
  <si>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</si>
  <si>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</si>
  <si>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</si>
  <si>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</si>
  <si>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</si>
  <si>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</si>
  <si>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</si>
  <si>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</si>
  <si>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</si>
  <si>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</si>
  <si>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</si>
  <si>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</si>
  <si>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</si>
  <si>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</si>
  <si>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</si>
  <si>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</si>
  <si>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</si>
  <si>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</si>
  <si>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</si>
  <si>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</si>
  <si>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</si>
  <si>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</si>
  <si>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</si>
  <si>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</si>
  <si>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</si>
  <si>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</si>
  <si>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</si>
  <si>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</si>
  <si>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</si>
  <si>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</si>
  <si>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</si>
  <si>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</si>
  <si>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</si>
  <si>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</si>
  <si>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</si>
  <si>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</si>
  <si>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</si>
  <si>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</si>
  <si>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</si>
  <si>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</si>
  <si>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</si>
  <si>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</si>
  <si>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</si>
  <si>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</si>
  <si>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</si>
  <si>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</si>
  <si>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</si>
  <si>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</si>
  <si>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</si>
  <si>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</si>
  <si>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</si>
  <si>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</si>
  <si>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</si>
  <si>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</si>
  <si>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</si>
  <si>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</si>
  <si>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</si>
  <si>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</si>
  <si>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</si>
  <si>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</si>
  <si>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</si>
  <si>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</si>
  <si>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</si>
  <si>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</si>
  <si>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</si>
  <si>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</si>
  <si>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</si>
  <si>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</si>
  <si>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</si>
  <si>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</si>
  <si>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</si>
  <si>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</si>
  <si>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</si>
  <si>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</si>
  <si>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</si>
  <si>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</si>
  <si>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</si>
  <si>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</si>
  <si>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</si>
  <si>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</si>
  <si>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</si>
  <si>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</si>
  <si>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</si>
  <si>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</si>
  <si>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</si>
  <si>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</si>
  <si>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</si>
  <si>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</si>
  <si>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</si>
  <si>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</si>
  <si>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</si>
  <si>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</si>
  <si>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</si>
  <si>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</si>
  <si>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</si>
  <si>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</si>
  <si>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</si>
  <si>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</si>
  <si>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</si>
  <si>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</si>
  <si>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</si>
  <si>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</si>
  <si>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</si>
  <si>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</si>
  <si>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</si>
  <si>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</si>
  <si>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</si>
  <si>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</si>
  <si>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</si>
  <si>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</si>
  <si>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</si>
  <si>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</si>
  <si>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</si>
  <si>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</si>
  <si>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</si>
  <si>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</si>
  <si>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</si>
  <si>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</si>
  <si>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</si>
  <si>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</si>
  <si>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</si>
  <si>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</si>
  <si>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</si>
  <si>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</si>
  <si>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</si>
  <si>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</si>
  <si>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</si>
  <si>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</si>
  <si>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</si>
  <si>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</si>
  <si>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</si>
  <si>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</si>
  <si>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</si>
  <si>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</si>
  <si>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</si>
  <si>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</si>
  <si>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</si>
  <si>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</si>
  <si>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</si>
  <si>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</si>
  <si>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</si>
  <si>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</si>
  <si>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</si>
  <si>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</si>
  <si>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</si>
  <si>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</si>
  <si>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</si>
  <si>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</si>
  <si>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</si>
  <si>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</si>
  <si>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</si>
  <si>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</si>
  <si>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</si>
  <si>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</si>
  <si>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</si>
  <si>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</si>
  <si>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</si>
  <si>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</si>
  <si>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</si>
  <si>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</si>
  <si>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</si>
  <si>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</si>
  <si>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</si>
  <si>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</si>
  <si>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</si>
  <si>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</si>
  <si>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</si>
  <si>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</si>
  <si>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</si>
  <si>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</si>
  <si>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</si>
  <si>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</si>
  <si>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</si>
  <si>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</si>
  <si>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</si>
  <si>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</si>
  <si>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</si>
  <si>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</si>
  <si>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</si>
  <si>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</si>
  <si>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</si>
  <si>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</si>
  <si>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</si>
  <si>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</si>
  <si>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</si>
  <si>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</si>
  <si>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</si>
  <si>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</si>
  <si>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</si>
  <si>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</si>
  <si>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</si>
  <si>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</si>
  <si>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</si>
  <si>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</si>
  <si>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</si>
  <si>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</si>
  <si>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</si>
  <si>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</si>
  <si>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</si>
  <si>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</si>
  <si>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</si>
  <si>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</si>
  <si>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</si>
  <si>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</si>
  <si>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</si>
  <si>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</si>
  <si>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</si>
  <si>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</si>
  <si>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</si>
  <si>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</si>
  <si>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</si>
  <si>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</si>
  <si>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</si>
  <si>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</si>
  <si>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</si>
  <si>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</si>
  <si>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</si>
  <si>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</si>
  <si>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</si>
  <si>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</si>
  <si>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</si>
  <si>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</si>
  <si>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</si>
  <si>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</si>
  <si>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</si>
  <si>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</si>
  <si>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</si>
  <si>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</si>
  <si>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</si>
  <si>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</si>
  <si>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</si>
  <si>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</si>
  <si>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</si>
  <si>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</si>
  <si>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</si>
  <si>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</si>
  <si>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</si>
  <si>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</si>
  <si>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</si>
  <si>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</si>
  <si>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</si>
  <si>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</si>
  <si>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</si>
  <si>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</si>
  <si>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</si>
  <si>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</si>
  <si>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</si>
  <si>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</si>
  <si>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</si>
  <si>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</si>
  <si>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</si>
  <si>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</si>
  <si>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</si>
  <si>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</si>
  <si>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</si>
  <si>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</si>
  <si>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</si>
  <si>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</si>
  <si>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</si>
  <si>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</si>
  <si>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</si>
  <si>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</si>
  <si>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</si>
  <si>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</si>
  <si>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</si>
  <si>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</si>
  <si>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</si>
  <si>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</si>
  <si>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</si>
  <si>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</si>
  <si>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</si>
  <si>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</si>
  <si>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</si>
  <si>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</si>
  <si>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</si>
  <si>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</si>
  <si>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</si>
  <si>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</si>
  <si>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</si>
  <si>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</si>
  <si>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</si>
  <si>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</si>
  <si>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</si>
  <si>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</si>
  <si>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</si>
  <si>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</si>
  <si>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</si>
  <si>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</si>
  <si>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</si>
  <si>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</si>
  <si>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</si>
  <si>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</si>
  <si>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</si>
  <si>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</si>
  <si>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</si>
  <si>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</si>
  <si>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</si>
  <si>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</si>
  <si>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</si>
  <si>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</si>
  <si>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</si>
  <si>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</si>
  <si>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</si>
  <si>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</si>
  <si>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</si>
  <si>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</si>
  <si>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</si>
  <si>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</si>
  <si>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</si>
  <si>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</si>
  <si>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</si>
  <si>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</si>
  <si>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</si>
  <si>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</si>
  <si>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</si>
  <si>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</si>
  <si>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</si>
  <si>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</si>
  <si>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</si>
  <si>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</si>
  <si>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</si>
  <si>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</si>
  <si>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</si>
  <si>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</si>
  <si>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</si>
  <si>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</si>
  <si>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</si>
  <si>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</si>
  <si>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</si>
  <si>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</si>
  <si>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</si>
  <si>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</si>
  <si>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</si>
  <si>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</si>
  <si>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</si>
  <si>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</si>
  <si>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</si>
  <si>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</si>
  <si>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</si>
  <si>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</si>
  <si>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</si>
  <si>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</si>
  <si>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</si>
  <si>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</si>
  <si>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</si>
  <si>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</si>
  <si>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</si>
  <si>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</si>
  <si>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</si>
  <si>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</si>
  <si>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</si>
  <si>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</si>
  <si>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</si>
  <si>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</si>
  <si>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</si>
  <si>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</si>
  <si>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</si>
  <si>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</si>
  <si>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</si>
  <si>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</si>
  <si>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</si>
  <si>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</si>
  <si>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</si>
  <si>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</si>
  <si>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</si>
  <si>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</si>
  <si>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</si>
  <si>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</si>
  <si>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</si>
  <si>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</si>
  <si>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</si>
  <si>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</si>
  <si>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</si>
  <si>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</si>
  <si>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</si>
  <si>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</si>
  <si>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</si>
  <si>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</si>
  <si>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</si>
  <si>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</si>
  <si>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</si>
  <si>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</si>
  <si>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</si>
  <si>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</si>
  <si>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</si>
  <si>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</si>
  <si>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</si>
  <si>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</si>
  <si>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</si>
  <si>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</si>
  <si>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</si>
  <si>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</si>
  <si>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</si>
  <si>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</si>
  <si>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</si>
  <si>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</si>
  <si>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</si>
  <si>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</si>
  <si>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</si>
  <si>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</si>
  <si>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</si>
  <si>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</si>
  <si>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</si>
  <si>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</si>
  <si>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</si>
  <si>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</si>
  <si>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</si>
  <si>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</si>
  <si>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</si>
  <si>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</si>
  <si>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</si>
  <si>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</si>
  <si>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</si>
  <si>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</si>
  <si>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</si>
  <si>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</si>
  <si>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</si>
  <si>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</si>
  <si>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</si>
  <si>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</si>
  <si>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</si>
  <si>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</si>
  <si>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</si>
  <si>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</si>
  <si>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</si>
  <si>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</si>
  <si>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</si>
  <si>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</si>
  <si>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</si>
  <si>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</si>
  <si>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</si>
  <si>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</si>
  <si>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</si>
  <si>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</si>
  <si>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</si>
  <si>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</si>
  <si>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</si>
  <si>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</si>
  <si>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</si>
  <si>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</si>
  <si>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</si>
  <si>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</si>
  <si>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</si>
  <si>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</si>
  <si>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</si>
  <si>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</si>
  <si>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</si>
  <si>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</si>
  <si>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</si>
  <si>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</si>
  <si>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</si>
  <si>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</si>
  <si>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</si>
  <si>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</si>
  <si>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</si>
  <si>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</si>
  <si>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</si>
  <si>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</si>
  <si>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</si>
  <si>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</si>
  <si>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</si>
  <si>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</si>
  <si>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</si>
  <si>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</si>
  <si>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</si>
  <si>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</si>
  <si>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</si>
  <si>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</si>
  <si>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</si>
  <si>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</si>
  <si>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</si>
  <si>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</si>
  <si>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</si>
  <si>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</si>
  <si>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</si>
  <si>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</si>
  <si>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</si>
  <si>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</si>
  <si>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</si>
  <si>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</si>
  <si>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</si>
  <si>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</si>
  <si>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</si>
  <si>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</si>
  <si>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</si>
  <si>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</si>
  <si>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</si>
  <si>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</si>
  <si>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</si>
  <si>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</si>
  <si>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</si>
  <si>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</si>
  <si>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</si>
  <si>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</si>
  <si>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</si>
  <si>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</si>
  <si>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</si>
  <si>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</si>
  <si>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</si>
  <si>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</si>
  <si>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</si>
  <si>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</si>
  <si>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</si>
  <si>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</si>
  <si>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</si>
  <si>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</si>
  <si>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</si>
  <si>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</si>
  <si>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</si>
  <si>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</si>
  <si>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</si>
  <si>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</si>
  <si>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</si>
  <si>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</si>
  <si>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</si>
  <si>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</si>
  <si>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</si>
  <si>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</si>
  <si>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</si>
  <si>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</si>
  <si>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</si>
  <si>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</si>
  <si>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</si>
  <si>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</si>
  <si>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</si>
  <si>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</si>
  <si>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</si>
  <si>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</si>
  <si>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</si>
  <si>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</si>
  <si>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</si>
  <si>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</si>
  <si>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</si>
  <si>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</si>
  <si>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</si>
  <si>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</si>
  <si>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</si>
  <si>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</si>
  <si>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</si>
  <si>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</si>
  <si>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</si>
  <si>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</si>
  <si>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</si>
  <si>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</si>
  <si>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</si>
  <si>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</si>
  <si>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</si>
  <si>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</si>
  <si>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</si>
  <si>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</si>
  <si>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</si>
  <si>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</si>
  <si>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</si>
  <si>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</si>
  <si>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</si>
  <si>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</si>
  <si>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</si>
  <si>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</si>
  <si>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</si>
  <si>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</si>
  <si>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</si>
  <si>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</si>
  <si>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</si>
  <si>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</si>
  <si>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</si>
  <si>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</si>
  <si>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</si>
  <si>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</si>
  <si>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</si>
  <si>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</si>
  <si>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</si>
  <si>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</si>
  <si>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</si>
  <si>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</si>
  <si>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</si>
  <si>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</si>
  <si>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</si>
  <si>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</si>
  <si>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</si>
  <si>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</si>
  <si>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</si>
  <si>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</si>
  <si>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</si>
  <si>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</si>
  <si>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</si>
  <si>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</si>
  <si>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</si>
  <si>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</si>
  <si>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</si>
  <si>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</si>
  <si>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</si>
  <si>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</si>
  <si>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</si>
  <si>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</si>
  <si>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</si>
  <si>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</si>
  <si>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</si>
  <si>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</si>
  <si>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</si>
  <si>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</si>
  <si>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</si>
  <si>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</si>
  <si>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</si>
  <si>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</si>
  <si>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</si>
  <si>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</si>
  <si>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</si>
  <si>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</si>
  <si>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</si>
  <si>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</si>
  <si>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</si>
  <si>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</si>
  <si>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</si>
  <si>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</si>
  <si>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</si>
  <si>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</si>
  <si>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</si>
  <si>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</si>
  <si>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</si>
  <si>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</si>
  <si>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</si>
  <si>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</si>
  <si>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</si>
  <si>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</si>
  <si>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</si>
  <si>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</si>
  <si>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</si>
  <si>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</si>
  <si>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</si>
  <si>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</si>
  <si>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</si>
  <si>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</si>
  <si>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</si>
  <si>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</si>
  <si>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</si>
  <si>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</si>
  <si>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</si>
  <si>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</si>
  <si>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</si>
  <si>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</si>
  <si>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</si>
  <si>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</si>
  <si>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</si>
  <si>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</si>
  <si>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</si>
  <si>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</si>
  <si>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</si>
  <si>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</si>
  <si>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</si>
  <si>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</si>
  <si>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</si>
  <si>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</si>
  <si>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</si>
  <si>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</si>
  <si>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</si>
  <si>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</si>
  <si>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</si>
  <si>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</si>
  <si>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</si>
  <si>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</si>
  <si>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</si>
  <si>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</si>
  <si>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</si>
  <si>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</si>
  <si>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</si>
  <si>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</si>
  <si>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</si>
  <si>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</si>
  <si>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</si>
  <si>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</si>
  <si>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</si>
  <si>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</si>
  <si>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</si>
  <si>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</si>
  <si>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</si>
  <si>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</si>
  <si>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</si>
  <si>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</si>
  <si>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</si>
  <si>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</si>
  <si>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</si>
  <si>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</si>
  <si>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</si>
  <si>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</si>
  <si>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</si>
  <si>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</si>
  <si>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</si>
  <si>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</si>
  <si>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</si>
  <si>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</si>
  <si>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</si>
  <si>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</si>
  <si>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</si>
  <si>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</si>
  <si>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</si>
  <si>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</si>
  <si>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</si>
  <si>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</si>
  <si>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</si>
  <si>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</si>
  <si>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</si>
  <si>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</si>
  <si>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</si>
  <si>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</si>
  <si>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</si>
  <si>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</si>
  <si>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</si>
  <si>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</si>
  <si>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</si>
  <si>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</si>
  <si>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</si>
  <si>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</si>
  <si>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</si>
  <si>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</si>
  <si>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</si>
  <si>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</si>
  <si>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</si>
  <si>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</si>
  <si>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</si>
  <si>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</si>
  <si>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</si>
  <si>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</si>
  <si>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</si>
  <si>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</si>
  <si>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</si>
  <si>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</si>
  <si>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</si>
  <si>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</si>
  <si>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</si>
  <si>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</si>
  <si>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</si>
  <si>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</si>
  <si>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</si>
  <si>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</si>
  <si>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</si>
  <si>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</si>
  <si>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</si>
  <si>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</si>
  <si>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</si>
  <si>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</si>
  <si>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</si>
  <si>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</si>
  <si>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</si>
  <si>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</si>
  <si>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</si>
  <si>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</si>
  <si>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</si>
  <si>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</si>
  <si>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</si>
  <si>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</si>
  <si>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</si>
  <si>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</si>
  <si>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</si>
  <si>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</si>
  <si>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</si>
  <si>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</si>
  <si>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</si>
  <si>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</si>
  <si>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</si>
  <si>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</si>
  <si>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</si>
  <si>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</si>
  <si>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</si>
  <si>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</si>
  <si>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</si>
  <si>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</si>
  <si>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</si>
  <si>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</si>
  <si>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</si>
  <si>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</si>
  <si>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</si>
  <si>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</si>
  <si>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</si>
  <si>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</si>
  <si>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</si>
  <si>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</si>
  <si>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</si>
  <si>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</si>
  <si>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</si>
  <si>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</si>
  <si>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</si>
  <si>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</si>
  <si>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</si>
  <si>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</si>
  <si>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</si>
  <si>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</si>
  <si>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</si>
  <si>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</si>
  <si>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</si>
  <si>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</si>
  <si>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</si>
  <si>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</si>
  <si>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</si>
  <si>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</si>
  <si>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</si>
  <si>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</si>
  <si>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</si>
  <si>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</si>
  <si>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</si>
  <si>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</si>
  <si>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</si>
  <si>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</si>
  <si>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</si>
  <si>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</si>
  <si>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</si>
  <si>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</si>
  <si>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</si>
  <si>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</si>
  <si>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</si>
  <si>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</si>
  <si>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</si>
  <si>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</si>
  <si>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</si>
  <si>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</si>
  <si>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</si>
  <si>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</si>
  <si>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</si>
  <si>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</si>
  <si>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</si>
  <si>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</si>
  <si>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</si>
  <si>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</si>
  <si>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</si>
  <si>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</si>
  <si>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</si>
  <si>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</si>
  <si>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</si>
  <si>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</si>
  <si>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</si>
  <si>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</si>
  <si>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</si>
  <si>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</si>
  <si>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</si>
  <si>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</si>
  <si>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</si>
  <si>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</si>
  <si>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</si>
  <si>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</si>
  <si>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</si>
  <si>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</si>
  <si>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</si>
  <si>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</si>
  <si>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</si>
  <si>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</si>
  <si>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</si>
  <si>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</si>
  <si>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</si>
  <si>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</si>
  <si>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</si>
  <si>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</si>
  <si>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</si>
  <si>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</si>
  <si>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</si>
  <si>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</si>
  <si>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</si>
  <si>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</si>
  <si>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</si>
  <si>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</si>
  <si>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</si>
  <si>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</si>
  <si>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</si>
  <si>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</si>
  <si>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</si>
  <si>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</si>
  <si>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</si>
  <si>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</si>
  <si>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</si>
  <si>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</si>
  <si>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</si>
  <si>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</si>
  <si>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</si>
  <si>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</si>
  <si>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</si>
  <si>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</si>
  <si>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</si>
  <si>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</si>
  <si>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</si>
  <si>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</si>
  <si>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</si>
  <si>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</si>
  <si>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</si>
  <si>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</si>
  <si>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</si>
  <si>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</si>
  <si>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</si>
  <si>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</si>
  <si>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</si>
  <si>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</si>
  <si>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</si>
  <si>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</si>
  <si>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</si>
  <si>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</si>
  <si>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</si>
  <si>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</si>
  <si>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</si>
  <si>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</si>
  <si>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</si>
  <si>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</si>
  <si>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</si>
  <si>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</si>
  <si>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</si>
  <si>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</si>
  <si>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</si>
  <si>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</si>
  <si>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</si>
  <si>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</si>
  <si>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</si>
  <si>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</si>
  <si>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</si>
  <si>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</si>
  <si>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</si>
  <si>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</si>
  <si>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</si>
  <si>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</si>
  <si>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</si>
  <si>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</si>
  <si>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</si>
  <si>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</si>
  <si>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</si>
  <si>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</si>
  <si>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</si>
  <si>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</si>
  <si>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</si>
  <si>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</si>
  <si>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</si>
  <si>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</si>
  <si>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</si>
  <si>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</si>
  <si>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</si>
  <si>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</si>
  <si>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</si>
  <si>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</si>
  <si>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</si>
  <si>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</si>
  <si>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</si>
  <si>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</si>
  <si>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</si>
  <si>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</si>
  <si>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</si>
  <si>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</si>
  <si>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</si>
  <si>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</si>
  <si>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</si>
  <si>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</si>
  <si>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</si>
  <si>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</si>
  <si>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</si>
  <si>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</si>
  <si>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</si>
  <si>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</si>
  <si>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</si>
  <si>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</si>
  <si>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</si>
  <si>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</si>
  <si>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</si>
  <si>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</si>
  <si>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</si>
  <si>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</si>
  <si>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</si>
  <si>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</si>
  <si>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</si>
  <si>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</si>
  <si>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</si>
  <si>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</si>
  <si>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</si>
  <si>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Oaks on Balboa</t>
  </si>
  <si>
    <t>Timothy Elliott</t>
  </si>
  <si>
    <t>Community Housing Program Manager</t>
  </si>
  <si>
    <t>1200 W. 7th Street, 8th Floor</t>
  </si>
  <si>
    <t>(213) 808-8596</t>
  </si>
  <si>
    <t>timothy.elliott@lacity.org</t>
  </si>
  <si>
    <t>5435 - 5445 Balboa Boulevard</t>
  </si>
  <si>
    <t>5435 Balboa, LP</t>
  </si>
  <si>
    <t>CA</t>
  </si>
  <si>
    <t>Las Palmas Housing and Development Corporation</t>
  </si>
  <si>
    <t>Elysian Balboa, LLC</t>
  </si>
  <si>
    <t>Administrative GP</t>
  </si>
  <si>
    <t>Managing GP</t>
  </si>
  <si>
    <t>531 Encinitas Boulevard, Suite 206</t>
  </si>
  <si>
    <t xml:space="preserve">Encinitas </t>
  </si>
  <si>
    <t>Los Angeles, CA 90004</t>
  </si>
  <si>
    <t>Sabelhaus &amp; Strain PC</t>
  </si>
  <si>
    <t>1724 10th Street, Suite 110</t>
  </si>
  <si>
    <t>Sacramento, CA 95811</t>
  </si>
  <si>
    <t>Stephen A. Strain</t>
  </si>
  <si>
    <t>(916) 444-0286</t>
  </si>
  <si>
    <t>Bernard E. Rea, CPA</t>
  </si>
  <si>
    <t>P.O. Box 492</t>
  </si>
  <si>
    <t>Aubrey, TX 76227</t>
  </si>
  <si>
    <t>Bernie Rea</t>
  </si>
  <si>
    <t>(209) 933-9113</t>
  </si>
  <si>
    <t>(209) 933-9115</t>
  </si>
  <si>
    <t>breacoa@aol.com</t>
  </si>
  <si>
    <t>California Municipal Finance Agency</t>
  </si>
  <si>
    <t>2111 Palomar Airport Road, Suite 320</t>
  </si>
  <si>
    <t>Carlsbad, CA 92011</t>
  </si>
  <si>
    <t xml:space="preserve">Anthony Stubbs </t>
  </si>
  <si>
    <t>(760) 930-1333</t>
  </si>
  <si>
    <t>(760) 683-3390</t>
  </si>
  <si>
    <t>astubbs@cmfa-ca.com</t>
  </si>
  <si>
    <t>TPC Management</t>
  </si>
  <si>
    <t>2116 Arlington Avenue, Suite 100</t>
  </si>
  <si>
    <t>Los Angeles, CA 90018</t>
  </si>
  <si>
    <t>Corey Reed</t>
  </si>
  <si>
    <t>(323) 719-2206</t>
  </si>
  <si>
    <t>creed@thepeopleconcern.org</t>
  </si>
  <si>
    <t>(Q)C4-1VLD, (Q)CR-1VLD</t>
  </si>
  <si>
    <t>General Commercial</t>
  </si>
  <si>
    <t>45 feet</t>
  </si>
  <si>
    <t>James G. Palmer Appraisals Inc.</t>
  </si>
  <si>
    <t>5132 N. Palm #86</t>
  </si>
  <si>
    <t>Fresno, CA 93704</t>
  </si>
  <si>
    <t>Gregg Palmer, MAI</t>
  </si>
  <si>
    <t>(559) 549-7320</t>
  </si>
  <si>
    <t>gregg@jgpinc.com</t>
  </si>
  <si>
    <t>Provided</t>
  </si>
  <si>
    <t>Not Applicable</t>
  </si>
  <si>
    <t>40%/60% Average Income</t>
  </si>
  <si>
    <t>Brian Mikail</t>
  </si>
  <si>
    <t>310-666-6860</t>
  </si>
  <si>
    <t>Noami Pines</t>
  </si>
  <si>
    <t>bmikail@capstoneequities.com</t>
  </si>
  <si>
    <t>R4 Capital</t>
  </si>
  <si>
    <t>FSY Architects</t>
  </si>
  <si>
    <t>Appraisal</t>
  </si>
  <si>
    <t>Office Building</t>
  </si>
  <si>
    <t>David Lee</t>
  </si>
  <si>
    <t>Inner City Infill Site</t>
  </si>
  <si>
    <t>Cory Bannister</t>
  </si>
  <si>
    <t>Michael Reynolds</t>
  </si>
  <si>
    <t>5435 Balboa LLC // Thousand Gold Balboa LLC</t>
  </si>
  <si>
    <t>Director</t>
  </si>
  <si>
    <t>In Young Kim</t>
  </si>
  <si>
    <t>Manager</t>
  </si>
  <si>
    <t>Seller Note</t>
  </si>
  <si>
    <t>DHS FHSP</t>
  </si>
  <si>
    <t>Fixed</t>
  </si>
  <si>
    <t>5435 Balboa LLC Seller Note</t>
  </si>
  <si>
    <t>Mike Hemmens</t>
  </si>
  <si>
    <t>Tax Credit Equity</t>
  </si>
  <si>
    <t>Los Angeles, CA</t>
  </si>
  <si>
    <t>310-660-6860</t>
  </si>
  <si>
    <t>Citibank, N.A - Tax Exempt</t>
  </si>
  <si>
    <t>Citibank, N.A - Recycled</t>
  </si>
  <si>
    <t>Citibank, N.A - Taxable</t>
  </si>
  <si>
    <t>Seller Financing</t>
  </si>
  <si>
    <t>Citibank, N.A. - Tax Exempt</t>
  </si>
  <si>
    <t>Deferred Costs</t>
  </si>
  <si>
    <t>Attorney</t>
  </si>
  <si>
    <t>Steve Strain</t>
  </si>
  <si>
    <t>916-444-0286</t>
  </si>
  <si>
    <t>sstrain@sabelhauslaw.com</t>
  </si>
  <si>
    <t>Cell Tower Income</t>
  </si>
  <si>
    <t>Housing Authority of the City of Los Angeles</t>
  </si>
  <si>
    <t>Telephone // Software // Admin</t>
  </si>
  <si>
    <t>Cleaning</t>
  </si>
  <si>
    <t>CMFA Recycled Bonds</t>
  </si>
  <si>
    <t>LADHS FHSP</t>
  </si>
  <si>
    <t>Seismic Upgrading</t>
  </si>
  <si>
    <t>Other: Utility Hookups</t>
  </si>
  <si>
    <t>Borrower Legal</t>
  </si>
  <si>
    <t>Other: Relocation</t>
  </si>
  <si>
    <t>1 bedroom</t>
  </si>
  <si>
    <t>55+</t>
  </si>
  <si>
    <t>npines@laspalmashousing.com</t>
  </si>
  <si>
    <t>760-944-9050</t>
  </si>
  <si>
    <t>2902 Knox Avenue, #200</t>
  </si>
  <si>
    <t>Los Angeles, CA 90039</t>
  </si>
  <si>
    <t>Vijay Sehgal</t>
  </si>
  <si>
    <t>323-255-4343</t>
  </si>
  <si>
    <t>vsehgal@fsyarchitects.com</t>
  </si>
  <si>
    <t>cbannister@r4cap.com</t>
  </si>
  <si>
    <t>949-438-1055</t>
  </si>
  <si>
    <t>895 Dove Street, Suite 450</t>
  </si>
  <si>
    <t>Newport Beach, CA 92660</t>
  </si>
  <si>
    <t>The Concord Group</t>
  </si>
  <si>
    <t>140 Newport Center Dr., Suite 210</t>
  </si>
  <si>
    <t>949-717-6450</t>
  </si>
  <si>
    <t>mdr@theconcordgroup.com</t>
  </si>
  <si>
    <t>3470 Wilshire Blvd</t>
  </si>
  <si>
    <t>Los Angeles, CA 90010</t>
  </si>
  <si>
    <t>3967 E. Thousand Oaks Blvd, Suite A</t>
  </si>
  <si>
    <t>Westlake Village, CA 91362</t>
  </si>
  <si>
    <t>805-413-4160</t>
  </si>
  <si>
    <t>Tax Exempt Construction Loan</t>
  </si>
  <si>
    <t>Taxable Construction Loan</t>
  </si>
  <si>
    <t>LIHTC Equity</t>
  </si>
  <si>
    <t>213-365-5000</t>
  </si>
  <si>
    <t>Tax Exempt Hard Pay Debt</t>
  </si>
  <si>
    <t>A/C</t>
  </si>
  <si>
    <t>Encinitas, CA 92024</t>
  </si>
  <si>
    <t>TBD</t>
  </si>
  <si>
    <t>5455 Wilshire Blvd, Suite 1012</t>
  </si>
  <si>
    <t>Senior (55+)</t>
  </si>
  <si>
    <t>2258-027-015</t>
  </si>
  <si>
    <t>Of the 58 senior, 29 are deemed accessible</t>
  </si>
  <si>
    <t>Above residual receipts line for cash flow</t>
  </si>
  <si>
    <t>Seller Note Deferred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</si>
</sst>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
      <sz val="10"/>
      <color rgb="FF000000"/>
      <name val="Arial"/>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68">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3" fontId="14" fillId="8" borderId="0"/>
  </cellStyleXfs>
  <cellXfs count="2681">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23" fillId="0" borderId="11" xfId="0" applyFont="1" applyBorder="1" applyAlignment="1">
      <alignment horizontal="center" vertical="top" wrapText="1"/>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0" fontId="21" fillId="0" borderId="0" xfId="0" applyFont="1" applyAlignment="1">
      <alignment horizontal="center" vertical="center"/>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3" fillId="0" borderId="11"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6" fontId="14" fillId="5" borderId="4" xfId="0" applyNumberFormat="1"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0" fontId="14"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0" fontId="20" fillId="3" borderId="0" xfId="0" applyFont="1" applyFill="1" applyAlignment="1">
      <alignment horizontal="center" vertic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4" xfId="0"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42" fillId="10" borderId="0" xfId="543" applyNumberFormat="1" applyFont="1" applyFill="1" applyAlignment="1">
      <alignment horizontal="left" vertical="center" wrapText="1"/>
    </xf>
    <xf numFmtId="168" fontId="170" fillId="0" borderId="0" xfId="0" applyNumberFormat="1" applyFont="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23" fillId="5" borderId="6" xfId="0" applyFont="1" applyFill="1" applyBorder="1" applyAlignment="1" applyProtection="1">
      <alignment horizontal="left"/>
      <protection locked="0"/>
    </xf>
    <xf numFmtId="168" fontId="23" fillId="0" borderId="6" xfId="0" applyNumberFormat="1" applyFont="1" applyBorder="1" applyAlignment="1">
      <alignment horizontal="center"/>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0" fontId="22" fillId="0" borderId="0" xfId="0" applyFont="1" applyAlignment="1">
      <alignment horizontal="center"/>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0" fontId="23" fillId="5" borderId="4" xfId="0" applyFont="1" applyFill="1" applyBorder="1" applyAlignment="1" applyProtection="1">
      <alignment wrapText="1"/>
      <protection locked="0"/>
    </xf>
    <xf numFmtId="0" fontId="23" fillId="5" borderId="4" xfId="0" applyFont="1" applyFill="1" applyBorder="1" applyAlignment="1" applyProtection="1">
      <alignment horizontal="left"/>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14"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14" fillId="5" borderId="4" xfId="0" applyFont="1" applyFill="1" applyBorder="1" applyAlignment="1" applyProtection="1">
      <alignment horizontal="left"/>
      <protection locked="0"/>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23" fillId="45" borderId="11" xfId="0" applyFont="1" applyFill="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72" fontId="21" fillId="0" borderId="11" xfId="0" applyNumberFormat="1" applyFont="1" applyBorder="1" applyAlignment="1">
      <alignment horizontal="center" vertical="center" wrapText="1"/>
    </xf>
    <xf numFmtId="0" fontId="21" fillId="0" borderId="11" xfId="0" applyFont="1" applyBorder="1" applyAlignment="1">
      <alignment horizontal="center" vertical="center"/>
    </xf>
    <xf numFmtId="0" fontId="23" fillId="0" borderId="3" xfId="0" applyFont="1" applyBorder="1" applyAlignment="1">
      <alignment horizontal="left"/>
    </xf>
    <xf numFmtId="168" fontId="14" fillId="5" borderId="3" xfId="0" applyNumberFormat="1"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14" fillId="43" borderId="11" xfId="0" applyFont="1" applyFill="1" applyBorder="1" applyAlignment="1" applyProtection="1">
      <alignment horizontal="center"/>
      <protection locked="0"/>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14" fillId="0" borderId="0" xfId="543" applyAlignment="1">
      <alignment horizontal="center"/>
    </xf>
    <xf numFmtId="2" fontId="14"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21" fillId="0" borderId="11" xfId="0" applyFont="1" applyBorder="1" applyAlignment="1">
      <alignment horizontal="center"/>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80" fontId="0" fillId="0" borderId="6" xfId="0" applyNumberFormat="1" applyBorder="1" applyAlignment="1">
      <alignment horizontal="center"/>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14"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49" fontId="0" fillId="5" borderId="6" xfId="0" applyNumberFormat="1"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14" fillId="5" borderId="11" xfId="0" applyFont="1" applyFill="1" applyBorder="1" applyAlignment="1" applyProtection="1">
      <alignment horizontal="left" vertical="center" wrapText="1"/>
      <protection locked="0"/>
    </xf>
    <xf numFmtId="0" fontId="0" fillId="0" borderId="12" xfId="0"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4" xfId="0" applyFill="1" applyBorder="1" applyAlignment="1" applyProtection="1">
      <alignment horizontal="center"/>
      <protection locked="0"/>
    </xf>
    <xf numFmtId="0" fontId="14" fillId="5" borderId="4" xfId="0" applyFont="1" applyFill="1" applyBorder="1" applyAlignment="1" applyProtection="1">
      <alignment wrapText="1"/>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9" fontId="0" fillId="5" borderId="3" xfId="0" applyNumberFormat="1" applyFill="1" applyBorder="1" applyAlignment="1" applyProtection="1">
      <alignment horizontal="right"/>
      <protection locked="0"/>
    </xf>
    <xf numFmtId="171" fontId="14" fillId="0" borderId="0" xfId="543" applyNumberFormat="1" applyAlignment="1">
      <alignment horizontal="right"/>
    </xf>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0" fontId="14" fillId="0" borderId="3" xfId="0" applyFont="1" applyBorder="1"/>
    <xf numFmtId="0" fontId="14" fillId="0" borderId="4" xfId="0" applyFont="1" applyBorder="1"/>
    <xf numFmtId="0" fontId="14" fillId="0" borderId="5" xfId="0" applyFont="1" applyBorder="1"/>
    <xf numFmtId="168" fontId="0" fillId="0" borderId="11" xfId="0" applyNumberFormat="1" applyBorder="1"/>
    <xf numFmtId="0" fontId="21" fillId="0" borderId="6" xfId="0" applyFont="1" applyBorder="1" applyAlignment="1">
      <alignment horizontal="center"/>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quotePrefix="1" applyFill="1" applyBorder="1" applyAlignment="1" applyProtection="1">
      <alignment horizontal="right"/>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1" fillId="0" borderId="7" xfId="0" applyFont="1" applyBorder="1" applyAlignment="1">
      <alignment horizontal="center" wrapText="1"/>
    </xf>
    <xf numFmtId="0" fontId="21" fillId="5" borderId="11" xfId="0" applyFont="1" applyFill="1" applyBorder="1" applyAlignment="1" applyProtection="1">
      <alignment horizontal="center"/>
      <protection locked="0"/>
    </xf>
    <xf numFmtId="0" fontId="23" fillId="5" borderId="6" xfId="271" applyFill="1" applyBorder="1" applyProtection="1">
      <protection locked="0"/>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6" fontId="14" fillId="5" borderId="6" xfId="0" applyNumberFormat="1" applyFont="1" applyFill="1" applyBorder="1" applyAlignment="1" applyProtection="1">
      <alignment horizontal="left"/>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5" borderId="6" xfId="244" applyFont="1" applyFill="1" applyBorder="1" applyAlignment="1" applyProtection="1">
      <alignment horizontal="left"/>
      <protection locked="0"/>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4"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166" fontId="23" fillId="5" borderId="6" xfId="271" applyNumberFormat="1" applyFill="1" applyBorder="1" applyAlignment="1" applyProtection="1">
      <alignment horizontal="left"/>
      <protection locked="0"/>
    </xf>
    <xf numFmtId="0" fontId="23" fillId="0" borderId="6" xfId="0" applyFont="1" applyBorder="1" applyAlignment="1">
      <alignment horizontal="left"/>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14" fillId="43" borderId="6" xfId="0" applyFont="1" applyFill="1" applyBorder="1" applyAlignment="1" applyProtection="1">
      <alignment vertical="center"/>
      <protection locked="0"/>
    </xf>
    <xf numFmtId="0" fontId="14" fillId="5" borderId="0" xfId="244" applyFon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 fontId="0" fillId="5" borderId="6" xfId="0" applyNumberFormat="1" applyFill="1" applyBorder="1" applyAlignment="1" applyProtection="1">
      <alignment horizontal="center"/>
      <protection locked="0"/>
    </xf>
    <xf numFmtId="168" fontId="23" fillId="5" borderId="6" xfId="0" applyNumberFormat="1" applyFont="1" applyFill="1" applyBorder="1" applyAlignment="1" applyProtection="1">
      <alignment horizontal="right"/>
      <protection locked="0"/>
    </xf>
    <xf numFmtId="178" fontId="23" fillId="5" borderId="4" xfId="0" applyNumberFormat="1" applyFont="1" applyFill="1" applyBorder="1" applyAlignment="1" applyProtection="1">
      <alignment horizontal="right"/>
      <protection locked="0"/>
    </xf>
    <xf numFmtId="168" fontId="14" fillId="0" borderId="3" xfId="0" applyNumberFormat="1" applyFont="1" applyBorder="1" applyAlignment="1">
      <alignment horizontal="left" vertical="top"/>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2" fontId="0" fillId="0" borderId="6" xfId="0" applyNumberFormat="1" applyBorder="1" applyAlignment="1">
      <alignment horizontal="center"/>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3" fillId="5" borderId="4" xfId="0" applyNumberFormat="1" applyFont="1" applyFill="1" applyBorder="1" applyAlignment="1" applyProtection="1">
      <alignment horizontal="right"/>
      <protection locked="0"/>
    </xf>
    <xf numFmtId="10" fontId="23" fillId="5" borderId="4" xfId="0" applyNumberFormat="1" applyFont="1" applyFill="1" applyBorder="1" applyAlignment="1" applyProtection="1">
      <alignment horizontal="right"/>
      <protection locked="0"/>
    </xf>
    <xf numFmtId="0" fontId="14" fillId="5" borderId="3" xfId="0"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vertical="center" wrapText="1"/>
      <protection locked="0"/>
    </xf>
    <xf numFmtId="0" fontId="14" fillId="5" borderId="5" xfId="0" applyFont="1" applyFill="1" applyBorder="1" applyAlignment="1" applyProtection="1">
      <alignment horizontal="left" vertical="center" wrapText="1"/>
      <protection locked="0"/>
    </xf>
    <xf numFmtId="3" fontId="23" fillId="5" borderId="11" xfId="0" applyNumberFormat="1" applyFont="1" applyFill="1" applyBorder="1" applyAlignment="1" applyProtection="1">
      <alignment horizontal="center"/>
      <protection locked="0"/>
    </xf>
    <xf numFmtId="168" fontId="23" fillId="0" borderId="11" xfId="0" applyNumberFormat="1" applyFont="1" applyBorder="1" applyAlignment="1">
      <alignment horizontal="center"/>
    </xf>
    <xf numFmtId="0" fontId="0" fillId="43" borderId="10" xfId="0"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0" fontId="21" fillId="0" borderId="9" xfId="0" applyFont="1" applyBorder="1" applyAlignment="1">
      <alignment horizontal="center"/>
    </xf>
    <xf numFmtId="1" fontId="23"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4" fillId="5" borderId="4" xfId="0" applyFont="1" applyFill="1" applyBorder="1" applyAlignment="1" applyProtection="1">
      <alignment horizontal="center"/>
      <protection locked="0"/>
    </xf>
    <xf numFmtId="10" fontId="23" fillId="0" borderId="11" xfId="0" applyNumberFormat="1" applyFont="1" applyBorder="1" applyAlignment="1">
      <alignment horizontal="center"/>
    </xf>
    <xf numFmtId="1" fontId="23" fillId="5" borderId="11" xfId="0" quotePrefix="1" applyNumberFormat="1" applyFont="1" applyFill="1" applyBorder="1" applyAlignment="1" applyProtection="1">
      <alignment horizontal="center"/>
      <protection locked="0"/>
    </xf>
    <xf numFmtId="0" fontId="14" fillId="43" borderId="4" xfId="0" applyFont="1" applyFill="1" applyBorder="1" applyAlignment="1" applyProtection="1">
      <alignment horizontal="left" wrapText="1"/>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3" fillId="0" borderId="11" xfId="0" applyNumberFormat="1" applyFon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0" fontId="14" fillId="5" borderId="0" xfId="0" applyFont="1" applyFill="1" applyAlignment="1" applyProtection="1">
      <alignment horizontal="left" vertical="top" wrapText="1"/>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3" fontId="0" fillId="0" borderId="6" xfId="0" applyNumberFormat="1" applyBorder="1" applyAlignment="1">
      <alignment horizontal="righ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3" fillId="5" borderId="11" xfId="0" applyFont="1" applyFill="1" applyBorder="1" applyAlignment="1" applyProtection="1">
      <alignment horizontal="center"/>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1" fillId="0" borderId="10"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cellXfs>
  <cellStyles count="17168">
    <cellStyle name="20% - Accent1" xfId="1" builtinId="30" customBuiltin="1"/>
    <cellStyle name="20% - Accent1 10" xfId="4505" xr:uid="{00000000-0005-0000-0000-000001000000}"/>
    <cellStyle name="20% - Accent1 10 2" xfId="12947" xr:uid="{B1A2A078-8018-42FB-8884-B867D723F457}"/>
    <cellStyle name="20% - Accent1 11" xfId="8729" xr:uid="{90CB938E-2C2E-4E3C-BCF2-470E59CA6CC1}"/>
    <cellStyle name="20% - Accent1 2" xfId="2" xr:uid="{00000000-0005-0000-0000-000002000000}"/>
    <cellStyle name="20% - Accent1 2 10" xfId="8730" xr:uid="{BBAAAA68-4B33-4873-ACEC-F8FD875B5CF3}"/>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498C4D29-EA7C-4F1E-A609-FEBC3FCDA5CF}"/>
    <cellStyle name="20% - Accent1 2 2 2 2 2 3" xfId="11291" xr:uid="{71D1854D-BCF2-4DBA-9E40-1E0087B5C1A9}"/>
    <cellStyle name="20% - Accent1 2 2 2 2 3" xfId="4922" xr:uid="{00000000-0005-0000-0000-000008000000}"/>
    <cellStyle name="20% - Accent1 2 2 2 2 3 2" xfId="13364" xr:uid="{569A86C7-12C1-44BC-A99E-6C6B3904A28A}"/>
    <cellStyle name="20% - Accent1 2 2 2 2 4" xfId="9146" xr:uid="{3B6167FA-37DC-4DE6-8518-76DF52A64C3F}"/>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1F69D481-0765-4141-A73E-1FA99264BA3C}"/>
    <cellStyle name="20% - Accent1 2 2 2 3 2 3" xfId="11704" xr:uid="{A83A0953-7D70-40D7-BE34-F99C3F0FCDC6}"/>
    <cellStyle name="20% - Accent1 2 2 2 3 3" xfId="5335" xr:uid="{00000000-0005-0000-0000-00000C000000}"/>
    <cellStyle name="20% - Accent1 2 2 2 3 3 2" xfId="13777" xr:uid="{780AB681-A382-475C-B7F6-57352EA2B7FF}"/>
    <cellStyle name="20% - Accent1 2 2 2 3 4" xfId="9559" xr:uid="{3BF80300-8D94-4C40-A44E-74521C4C3DA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68BF4BCE-96A1-4376-977D-6BC94CEB4A20}"/>
    <cellStyle name="20% - Accent1 2 2 2 4 2 3" xfId="12117" xr:uid="{8CCDC54B-1F7E-4B34-B29D-CBF2A56EAFAC}"/>
    <cellStyle name="20% - Accent1 2 2 2 4 3" xfId="5748" xr:uid="{00000000-0005-0000-0000-000010000000}"/>
    <cellStyle name="20% - Accent1 2 2 2 4 3 2" xfId="14190" xr:uid="{95937718-FC15-43E4-8807-12AA010FDEB3}"/>
    <cellStyle name="20% - Accent1 2 2 2 4 4" xfId="9972" xr:uid="{F6AE0CD2-1C46-4582-955F-C69BA36E6097}"/>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15AD0554-A00E-411D-B329-F7163502FD70}"/>
    <cellStyle name="20% - Accent1 2 2 2 5 2 3" xfId="12530" xr:uid="{AB36CDB5-8DAF-48CC-BBC8-954F5FFDCE8B}"/>
    <cellStyle name="20% - Accent1 2 2 2 5 3" xfId="6161" xr:uid="{00000000-0005-0000-0000-000014000000}"/>
    <cellStyle name="20% - Accent1 2 2 2 5 3 2" xfId="14603" xr:uid="{EFFF9EFC-6E4A-4B23-AC55-0B0E46A4C69F}"/>
    <cellStyle name="20% - Accent1 2 2 2 5 4" xfId="10385" xr:uid="{8111C8E0-010C-4E02-8032-2E4E7F67C9F3}"/>
    <cellStyle name="20% - Accent1 2 2 2 6" xfId="2267" xr:uid="{00000000-0005-0000-0000-000015000000}"/>
    <cellStyle name="20% - Accent1 2 2 2 6 2" xfId="6574" xr:uid="{00000000-0005-0000-0000-000016000000}"/>
    <cellStyle name="20% - Accent1 2 2 2 6 2 2" xfId="15016" xr:uid="{C95597F3-2C58-4E39-82AC-36F5C8612464}"/>
    <cellStyle name="20% - Accent1 2 2 2 6 3" xfId="10798" xr:uid="{BD3CE3F8-FCEC-496E-9917-480A47FF6C3F}"/>
    <cellStyle name="20% - Accent1 2 2 2 7" xfId="4508" xr:uid="{00000000-0005-0000-0000-000017000000}"/>
    <cellStyle name="20% - Accent1 2 2 2 7 2" xfId="12950" xr:uid="{3DEEC0D5-A52C-4678-B61F-7D5F4C2FD082}"/>
    <cellStyle name="20% - Accent1 2 2 2 8" xfId="8732" xr:uid="{29001EFB-5622-479E-9341-2F8BED18C290}"/>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D0A38AA7-6943-46B0-8541-53BA911FFAFA}"/>
    <cellStyle name="20% - Accent1 2 2 3 2 3" xfId="11290" xr:uid="{EC6DDAF1-4C5F-446D-AA5E-3038C014452E}"/>
    <cellStyle name="20% - Accent1 2 2 3 3" xfId="4921" xr:uid="{00000000-0005-0000-0000-00001B000000}"/>
    <cellStyle name="20% - Accent1 2 2 3 3 2" xfId="13363" xr:uid="{2C1D8C88-D898-4073-AF48-0007ED32D16E}"/>
    <cellStyle name="20% - Accent1 2 2 3 4" xfId="9145" xr:uid="{1023A92B-779C-4A50-A9D0-EA7120E17D88}"/>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9339E5D3-FE8C-4B15-8871-21B6D6C68574}"/>
    <cellStyle name="20% - Accent1 2 2 4 2 3" xfId="11703" xr:uid="{BBF8BD46-2464-4174-ACF6-3F7E0A49F53E}"/>
    <cellStyle name="20% - Accent1 2 2 4 3" xfId="5334" xr:uid="{00000000-0005-0000-0000-00001F000000}"/>
    <cellStyle name="20% - Accent1 2 2 4 3 2" xfId="13776" xr:uid="{FCF5F1B3-C260-445A-A7EE-A31BB8AEA485}"/>
    <cellStyle name="20% - Accent1 2 2 4 4" xfId="9558" xr:uid="{14E9264C-0C62-4F8C-8047-04F3F2376685}"/>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587FDCF3-FE0C-4E80-9795-6BE4924B8268}"/>
    <cellStyle name="20% - Accent1 2 2 5 2 3" xfId="12116" xr:uid="{C13A3D8A-A16C-4346-B5A6-16E41E13BA36}"/>
    <cellStyle name="20% - Accent1 2 2 5 3" xfId="5747" xr:uid="{00000000-0005-0000-0000-000023000000}"/>
    <cellStyle name="20% - Accent1 2 2 5 3 2" xfId="14189" xr:uid="{8367804D-6901-4E7E-95A0-DF83B73DA93A}"/>
    <cellStyle name="20% - Accent1 2 2 5 4" xfId="9971" xr:uid="{5C692FE4-B4A8-461F-887F-6DD0197ECECB}"/>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600C8F26-1FF5-4260-9C39-34D6C350102E}"/>
    <cellStyle name="20% - Accent1 2 2 6 2 3" xfId="12529" xr:uid="{B4CB3BCA-CAEB-43D4-B528-19613ADA3AEF}"/>
    <cellStyle name="20% - Accent1 2 2 6 3" xfId="6160" xr:uid="{00000000-0005-0000-0000-000027000000}"/>
    <cellStyle name="20% - Accent1 2 2 6 3 2" xfId="14602" xr:uid="{1FD90592-C01C-4761-94C3-CE3DC275BC4C}"/>
    <cellStyle name="20% - Accent1 2 2 6 4" xfId="10384" xr:uid="{7DD6FD96-2FB4-424B-A5E7-D4D50646F0FA}"/>
    <cellStyle name="20% - Accent1 2 2 7" xfId="2266" xr:uid="{00000000-0005-0000-0000-000028000000}"/>
    <cellStyle name="20% - Accent1 2 2 7 2" xfId="6573" xr:uid="{00000000-0005-0000-0000-000029000000}"/>
    <cellStyle name="20% - Accent1 2 2 7 2 2" xfId="15015" xr:uid="{8E27CB4A-1D4D-4241-9FDD-226605E0AC37}"/>
    <cellStyle name="20% - Accent1 2 2 7 3" xfId="10797" xr:uid="{A403EBA7-833F-495B-A108-778DFB417930}"/>
    <cellStyle name="20% - Accent1 2 2 8" xfId="4507" xr:uid="{00000000-0005-0000-0000-00002A000000}"/>
    <cellStyle name="20% - Accent1 2 2 8 2" xfId="12949" xr:uid="{19610652-CB4E-4DFF-8711-F59E03B09F52}"/>
    <cellStyle name="20% - Accent1 2 2 9" xfId="8731" xr:uid="{61975741-E6C5-4071-BEBE-F946D8819BE1}"/>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917B8D24-D0DE-4F19-B00E-46B118A09B85}"/>
    <cellStyle name="20% - Accent1 2 3 2 2 3" xfId="11292" xr:uid="{DA4B5811-07D9-46CD-8086-17C11B2E445E}"/>
    <cellStyle name="20% - Accent1 2 3 2 3" xfId="4923" xr:uid="{00000000-0005-0000-0000-00002F000000}"/>
    <cellStyle name="20% - Accent1 2 3 2 3 2" xfId="13365" xr:uid="{0FD1178E-8E94-4B62-9A84-0229153CD001}"/>
    <cellStyle name="20% - Accent1 2 3 2 4" xfId="9147" xr:uid="{D256EA7E-3657-498F-BF08-338341DDCA18}"/>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4BF15B44-F272-43AF-9C0B-BC764C46A3CD}"/>
    <cellStyle name="20% - Accent1 2 3 3 2 3" xfId="11705" xr:uid="{A534D0FE-9F05-4113-83AE-F3603504A3C6}"/>
    <cellStyle name="20% - Accent1 2 3 3 3" xfId="5336" xr:uid="{00000000-0005-0000-0000-000033000000}"/>
    <cellStyle name="20% - Accent1 2 3 3 3 2" xfId="13778" xr:uid="{3BDF2302-1FEE-4800-A9E2-B8925D8052B2}"/>
    <cellStyle name="20% - Accent1 2 3 3 4" xfId="9560" xr:uid="{4BC6A937-4869-4A65-B95A-2555AA7EAE0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48799797-0AC0-4206-A029-53D6AA658363}"/>
    <cellStyle name="20% - Accent1 2 3 4 2 3" xfId="12118" xr:uid="{6540082D-150C-454C-9116-9085DD4FEF27}"/>
    <cellStyle name="20% - Accent1 2 3 4 3" xfId="5749" xr:uid="{00000000-0005-0000-0000-000037000000}"/>
    <cellStyle name="20% - Accent1 2 3 4 3 2" xfId="14191" xr:uid="{122FD6D6-48BA-4DAD-8696-5C3219433FA7}"/>
    <cellStyle name="20% - Accent1 2 3 4 4" xfId="9973" xr:uid="{3CC55F90-0D9B-4BD1-8B5D-BAE72F05A53A}"/>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7E39EB15-4619-4FE3-AE0D-C6DBF166B99A}"/>
    <cellStyle name="20% - Accent1 2 3 5 2 3" xfId="12531" xr:uid="{19DC32FA-1167-4FB8-955A-A27204706A9E}"/>
    <cellStyle name="20% - Accent1 2 3 5 3" xfId="6162" xr:uid="{00000000-0005-0000-0000-00003B000000}"/>
    <cellStyle name="20% - Accent1 2 3 5 3 2" xfId="14604" xr:uid="{E6639004-ED19-471C-AF27-1F34344E43CE}"/>
    <cellStyle name="20% - Accent1 2 3 5 4" xfId="10386" xr:uid="{35A50E0E-CD91-4D06-913C-94D79C1B6D24}"/>
    <cellStyle name="20% - Accent1 2 3 6" xfId="2268" xr:uid="{00000000-0005-0000-0000-00003C000000}"/>
    <cellStyle name="20% - Accent1 2 3 6 2" xfId="6575" xr:uid="{00000000-0005-0000-0000-00003D000000}"/>
    <cellStyle name="20% - Accent1 2 3 6 2 2" xfId="15017" xr:uid="{37BDC274-84DE-451A-A263-A3DF14649FF6}"/>
    <cellStyle name="20% - Accent1 2 3 6 3" xfId="10799" xr:uid="{7D1DC206-00EB-44C5-8E2A-D2F74388CAD9}"/>
    <cellStyle name="20% - Accent1 2 3 7" xfId="4509" xr:uid="{00000000-0005-0000-0000-00003E000000}"/>
    <cellStyle name="20% - Accent1 2 3 7 2" xfId="12951" xr:uid="{51FD364B-923C-478D-8686-8AA2919DC44A}"/>
    <cellStyle name="20% - Accent1 2 3 8" xfId="8733" xr:uid="{65D462A8-2AB4-4CD0-8B0D-D8972BD48441}"/>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FAD0216C-9B7A-471F-B546-40833320765C}"/>
    <cellStyle name="20% - Accent1 2 4 2 3" xfId="11289" xr:uid="{ED2DF7A4-70FF-4D64-9345-4A75BBA0A824}"/>
    <cellStyle name="20% - Accent1 2 4 3" xfId="4920" xr:uid="{00000000-0005-0000-0000-000042000000}"/>
    <cellStyle name="20% - Accent1 2 4 3 2" xfId="13362" xr:uid="{5BCC3AA6-F3EB-4ED0-9B30-092519CF3CA5}"/>
    <cellStyle name="20% - Accent1 2 4 4" xfId="9144" xr:uid="{368FA3CF-5B4B-4D4C-ADA5-EB3700059917}"/>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EC64BBB4-A1C8-4539-A305-BB726BFA2D79}"/>
    <cellStyle name="20% - Accent1 2 5 2 3" xfId="11702" xr:uid="{60C7978A-B2D9-4262-B308-D202EC66A581}"/>
    <cellStyle name="20% - Accent1 2 5 3" xfId="5333" xr:uid="{00000000-0005-0000-0000-000046000000}"/>
    <cellStyle name="20% - Accent1 2 5 3 2" xfId="13775" xr:uid="{60EFCC4E-5A9E-495D-B592-B651B5AA0247}"/>
    <cellStyle name="20% - Accent1 2 5 4" xfId="9557" xr:uid="{0D7B8E57-CCF7-4A71-AD4C-398FA9A5A44A}"/>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F1C39431-ABEF-4650-BFCB-7C2BF84999F5}"/>
    <cellStyle name="20% - Accent1 2 6 2 3" xfId="12115" xr:uid="{B91311F9-B3FD-4C85-88F2-C36006950A17}"/>
    <cellStyle name="20% - Accent1 2 6 3" xfId="5746" xr:uid="{00000000-0005-0000-0000-00004A000000}"/>
    <cellStyle name="20% - Accent1 2 6 3 2" xfId="14188" xr:uid="{DCC977C7-74F0-468A-9F03-4838452CAB6F}"/>
    <cellStyle name="20% - Accent1 2 6 4" xfId="9970" xr:uid="{95CB1AD6-07C3-4AAE-9626-45A4759CCA26}"/>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2134F188-1F8F-4104-8BE8-7EC644A6D52D}"/>
    <cellStyle name="20% - Accent1 2 7 2 3" xfId="12528" xr:uid="{BC9ECCB8-2434-4004-AE43-74FFF1785488}"/>
    <cellStyle name="20% - Accent1 2 7 3" xfId="6159" xr:uid="{00000000-0005-0000-0000-00004E000000}"/>
    <cellStyle name="20% - Accent1 2 7 3 2" xfId="14601" xr:uid="{ACF0694D-E94C-4D66-8C86-082822233362}"/>
    <cellStyle name="20% - Accent1 2 7 4" xfId="10383" xr:uid="{8DE2D5DB-49BD-4F8D-8768-E44C2931D840}"/>
    <cellStyle name="20% - Accent1 2 8" xfId="2265" xr:uid="{00000000-0005-0000-0000-00004F000000}"/>
    <cellStyle name="20% - Accent1 2 8 2" xfId="6572" xr:uid="{00000000-0005-0000-0000-000050000000}"/>
    <cellStyle name="20% - Accent1 2 8 2 2" xfId="15014" xr:uid="{1B34E26E-0C20-4974-923B-5C2C045B1640}"/>
    <cellStyle name="20% - Accent1 2 8 3" xfId="10796" xr:uid="{1A884732-5B20-412B-8C81-CCBDD377F9AE}"/>
    <cellStyle name="20% - Accent1 2 9" xfId="4506" xr:uid="{00000000-0005-0000-0000-000051000000}"/>
    <cellStyle name="20% - Accent1 2 9 2" xfId="12948" xr:uid="{8B9F6905-1E75-47E5-A817-15140641820B}"/>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9249E3BA-36C9-446F-86C5-C41A40157905}"/>
    <cellStyle name="20% - Accent1 3 2 2 2 3" xfId="11294" xr:uid="{942148C4-EA53-42AF-A79B-AC8E9A7B2DC5}"/>
    <cellStyle name="20% - Accent1 3 2 2 3" xfId="4925" xr:uid="{00000000-0005-0000-0000-000057000000}"/>
    <cellStyle name="20% - Accent1 3 2 2 3 2" xfId="13367" xr:uid="{819CDA78-DADF-4C7C-BE5F-6909A30A3EA3}"/>
    <cellStyle name="20% - Accent1 3 2 2 4" xfId="9149" xr:uid="{3D423459-206D-4A85-9787-E1B0B870643C}"/>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0B00F5CB-DF7B-4166-AF76-EBAC85A57F1D}"/>
    <cellStyle name="20% - Accent1 3 2 3 2 3" xfId="11707" xr:uid="{D3F0719D-1352-4A03-8FFB-C9F80829AF3E}"/>
    <cellStyle name="20% - Accent1 3 2 3 3" xfId="5338" xr:uid="{00000000-0005-0000-0000-00005B000000}"/>
    <cellStyle name="20% - Accent1 3 2 3 3 2" xfId="13780" xr:uid="{1FA6999F-0EFC-469A-B738-397BFAAC738B}"/>
    <cellStyle name="20% - Accent1 3 2 3 4" xfId="9562" xr:uid="{4CB68746-BA19-4DBB-A0C6-1D1B65EEFA20}"/>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FC869728-E949-4017-B8F4-02761361EE73}"/>
    <cellStyle name="20% - Accent1 3 2 4 2 3" xfId="12120" xr:uid="{69DE396D-B711-4A02-9551-4BB95B7575C9}"/>
    <cellStyle name="20% - Accent1 3 2 4 3" xfId="5751" xr:uid="{00000000-0005-0000-0000-00005F000000}"/>
    <cellStyle name="20% - Accent1 3 2 4 3 2" xfId="14193" xr:uid="{64874B79-803A-44D6-9098-8E5B58987636}"/>
    <cellStyle name="20% - Accent1 3 2 4 4" xfId="9975" xr:uid="{D991DB1C-D0EB-4A4E-9290-FB620C0DC8A9}"/>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B9C9BA43-1C0F-45CC-BE0A-2229DF2698C2}"/>
    <cellStyle name="20% - Accent1 3 2 5 2 3" xfId="12533" xr:uid="{3A285CD3-2BCA-4CC4-8E2A-037D75913CB4}"/>
    <cellStyle name="20% - Accent1 3 2 5 3" xfId="6164" xr:uid="{00000000-0005-0000-0000-000063000000}"/>
    <cellStyle name="20% - Accent1 3 2 5 3 2" xfId="14606" xr:uid="{E3328B2D-4645-4E60-850C-40DA9CD5BCBC}"/>
    <cellStyle name="20% - Accent1 3 2 5 4" xfId="10388" xr:uid="{0522FBC0-1F47-450D-B939-51AF3A6B6F7D}"/>
    <cellStyle name="20% - Accent1 3 2 6" xfId="2270" xr:uid="{00000000-0005-0000-0000-000064000000}"/>
    <cellStyle name="20% - Accent1 3 2 6 2" xfId="6577" xr:uid="{00000000-0005-0000-0000-000065000000}"/>
    <cellStyle name="20% - Accent1 3 2 6 2 2" xfId="15019" xr:uid="{39E9F51D-C8CF-4ED3-967F-4462369AED4C}"/>
    <cellStyle name="20% - Accent1 3 2 6 3" xfId="10801" xr:uid="{57B04BB3-FEDB-41FE-90BB-3D4346A3248F}"/>
    <cellStyle name="20% - Accent1 3 2 7" xfId="4511" xr:uid="{00000000-0005-0000-0000-000066000000}"/>
    <cellStyle name="20% - Accent1 3 2 7 2" xfId="12953" xr:uid="{F8B239BA-01FB-492E-8B64-E464AF303451}"/>
    <cellStyle name="20% - Accent1 3 2 8" xfId="8735" xr:uid="{11684FC5-656E-4B61-9D93-496546CAEA2B}"/>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C2F9E29E-7B5F-4937-BAAF-2B90D63C796F}"/>
    <cellStyle name="20% - Accent1 3 3 2 3" xfId="11293" xr:uid="{FF2DC6AA-F4A3-43D9-90A6-27B78DF236C2}"/>
    <cellStyle name="20% - Accent1 3 3 3" xfId="4924" xr:uid="{00000000-0005-0000-0000-00006A000000}"/>
    <cellStyle name="20% - Accent1 3 3 3 2" xfId="13366" xr:uid="{C37EBFB4-69EE-4CB9-AF17-90C97E43151B}"/>
    <cellStyle name="20% - Accent1 3 3 4" xfId="9148" xr:uid="{33CC1FEE-1F18-4E9F-A192-65D3A966A729}"/>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AEECBC33-E25D-4F43-A1B6-EA5E7EFA2E00}"/>
    <cellStyle name="20% - Accent1 3 4 2 3" xfId="11706" xr:uid="{D2716987-8FD1-47E5-94AE-9334E25F4FD8}"/>
    <cellStyle name="20% - Accent1 3 4 3" xfId="5337" xr:uid="{00000000-0005-0000-0000-00006E000000}"/>
    <cellStyle name="20% - Accent1 3 4 3 2" xfId="13779" xr:uid="{222FC877-8F99-4EA0-B419-6CE9391413DD}"/>
    <cellStyle name="20% - Accent1 3 4 4" xfId="9561" xr:uid="{F15DA8C5-0BDF-4F22-8ADD-2AAC7B841152}"/>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7F64AD48-E1DF-447A-9F3E-4582827437C3}"/>
    <cellStyle name="20% - Accent1 3 5 2 3" xfId="12119" xr:uid="{566E5355-B020-45B2-93AE-869D3EAD323D}"/>
    <cellStyle name="20% - Accent1 3 5 3" xfId="5750" xr:uid="{00000000-0005-0000-0000-000072000000}"/>
    <cellStyle name="20% - Accent1 3 5 3 2" xfId="14192" xr:uid="{7C320559-45F0-4C7D-A3C8-EAA3DD26F170}"/>
    <cellStyle name="20% - Accent1 3 5 4" xfId="9974" xr:uid="{A6A9C7D3-8EEF-4D8A-882E-6C08B8D9B544}"/>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40416517-78EE-4509-B17C-5AAC3B14A17C}"/>
    <cellStyle name="20% - Accent1 3 6 2 3" xfId="12532" xr:uid="{09358DEA-85C5-4665-A122-6555CF3849AD}"/>
    <cellStyle name="20% - Accent1 3 6 3" xfId="6163" xr:uid="{00000000-0005-0000-0000-000076000000}"/>
    <cellStyle name="20% - Accent1 3 6 3 2" xfId="14605" xr:uid="{4CBE987C-A40C-4E45-BBC9-C0EC99E3FEDA}"/>
    <cellStyle name="20% - Accent1 3 6 4" xfId="10387" xr:uid="{C911528F-01BC-464A-9C46-06057030FED2}"/>
    <cellStyle name="20% - Accent1 3 7" xfId="2269" xr:uid="{00000000-0005-0000-0000-000077000000}"/>
    <cellStyle name="20% - Accent1 3 7 2" xfId="6576" xr:uid="{00000000-0005-0000-0000-000078000000}"/>
    <cellStyle name="20% - Accent1 3 7 2 2" xfId="15018" xr:uid="{A406EC28-1C5E-4A08-8E7C-E99A8F040B01}"/>
    <cellStyle name="20% - Accent1 3 7 3" xfId="10800" xr:uid="{6420CAD2-5A4D-4720-9C4A-86C0E5729365}"/>
    <cellStyle name="20% - Accent1 3 8" xfId="4510" xr:uid="{00000000-0005-0000-0000-000079000000}"/>
    <cellStyle name="20% - Accent1 3 8 2" xfId="12952" xr:uid="{23E972F2-1655-4EE9-980E-8D2D6E87E4E2}"/>
    <cellStyle name="20% - Accent1 3 9" xfId="8734" xr:uid="{87C8A1F7-6DA6-4F92-90D7-E75B13F8462C}"/>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461FF9E4-4250-4F8B-843B-62DAEC72D8D2}"/>
    <cellStyle name="20% - Accent1 4 2 2 3" xfId="11295" xr:uid="{48B7C2C4-69A9-4D4E-A6FE-93BC61359EE0}"/>
    <cellStyle name="20% - Accent1 4 2 3" xfId="4926" xr:uid="{00000000-0005-0000-0000-00007E000000}"/>
    <cellStyle name="20% - Accent1 4 2 3 2" xfId="13368" xr:uid="{0DCB3A87-A0C1-4826-AE69-803426267877}"/>
    <cellStyle name="20% - Accent1 4 2 4" xfId="9150" xr:uid="{445872A8-FF85-41EE-BE60-B9AFEF352B78}"/>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3C2C5B3A-1C01-47BC-9DEF-E03454ADADA1}"/>
    <cellStyle name="20% - Accent1 4 3 2 3" xfId="11708" xr:uid="{80B6AB75-A7F5-4C99-8A40-01C650DA0C2C}"/>
    <cellStyle name="20% - Accent1 4 3 3" xfId="5339" xr:uid="{00000000-0005-0000-0000-000082000000}"/>
    <cellStyle name="20% - Accent1 4 3 3 2" xfId="13781" xr:uid="{38F4F11C-22E4-40E6-8184-56751FD24AA4}"/>
    <cellStyle name="20% - Accent1 4 3 4" xfId="9563" xr:uid="{7139C955-C646-4AED-A2C6-EC03DC946119}"/>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64B68784-B8E4-4BF7-8615-90886CC45E1D}"/>
    <cellStyle name="20% - Accent1 4 4 2 3" xfId="12121" xr:uid="{4BAFDDB6-59F8-474A-A45D-E33F7DD887C3}"/>
    <cellStyle name="20% - Accent1 4 4 3" xfId="5752" xr:uid="{00000000-0005-0000-0000-000086000000}"/>
    <cellStyle name="20% - Accent1 4 4 3 2" xfId="14194" xr:uid="{A7BDC090-0AA5-4FF5-8DC9-94CE04821223}"/>
    <cellStyle name="20% - Accent1 4 4 4" xfId="9976" xr:uid="{218B9E4B-C586-4268-94C0-91F32E00F3C7}"/>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0230A4D0-BE21-4B21-A9D1-A937D242CD4B}"/>
    <cellStyle name="20% - Accent1 4 5 2 3" xfId="12534" xr:uid="{BB758371-58F3-46CE-8222-3054404847FC}"/>
    <cellStyle name="20% - Accent1 4 5 3" xfId="6165" xr:uid="{00000000-0005-0000-0000-00008A000000}"/>
    <cellStyle name="20% - Accent1 4 5 3 2" xfId="14607" xr:uid="{D43BCD5E-7BE3-4407-98D1-18D8BCDD81BD}"/>
    <cellStyle name="20% - Accent1 4 5 4" xfId="10389" xr:uid="{B2C0D8D4-E7C1-4D59-8B0E-13BD1D928C23}"/>
    <cellStyle name="20% - Accent1 4 6" xfId="2271" xr:uid="{00000000-0005-0000-0000-00008B000000}"/>
    <cellStyle name="20% - Accent1 4 6 2" xfId="6578" xr:uid="{00000000-0005-0000-0000-00008C000000}"/>
    <cellStyle name="20% - Accent1 4 6 2 2" xfId="15020" xr:uid="{C90A96E0-920B-4A9C-88D6-E719FDAFA99E}"/>
    <cellStyle name="20% - Accent1 4 6 3" xfId="10802" xr:uid="{B4FC6C34-5141-4227-9E43-29752817F626}"/>
    <cellStyle name="20% - Accent1 4 7" xfId="4512" xr:uid="{00000000-0005-0000-0000-00008D000000}"/>
    <cellStyle name="20% - Accent1 4 7 2" xfId="12954" xr:uid="{EE0D0AB1-50E7-4994-8FCD-4FD9E783A86E}"/>
    <cellStyle name="20% - Accent1 4 8" xfId="8736" xr:uid="{DF2A5191-23AC-45A5-B182-1C448B99EAD1}"/>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5A16173C-B9F0-4ADA-89AE-73AF2DBD9B51}"/>
    <cellStyle name="20% - Accent1 5 2 3" xfId="11288" xr:uid="{4A8FB0F5-327C-4B8C-B7D6-4A0C0498AC59}"/>
    <cellStyle name="20% - Accent1 5 3" xfId="4919" xr:uid="{00000000-0005-0000-0000-000091000000}"/>
    <cellStyle name="20% - Accent1 5 3 2" xfId="13361" xr:uid="{082BB9EC-557E-4128-944E-B83AB80497FE}"/>
    <cellStyle name="20% - Accent1 5 4" xfId="9143" xr:uid="{2E31C532-AF55-4D59-858E-2FE66505A659}"/>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3E764A2B-6B71-4239-AA86-C1366AC2DB26}"/>
    <cellStyle name="20% - Accent1 6 2 3" xfId="11701" xr:uid="{26769598-5DFC-4084-B820-7507DC037374}"/>
    <cellStyle name="20% - Accent1 6 3" xfId="5332" xr:uid="{00000000-0005-0000-0000-000095000000}"/>
    <cellStyle name="20% - Accent1 6 3 2" xfId="13774" xr:uid="{644196AC-C441-4188-8F0E-0A36ED1BF3F9}"/>
    <cellStyle name="20% - Accent1 6 4" xfId="9556" xr:uid="{427EB52D-E277-408C-9853-377BB290EC02}"/>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FD5E0B4B-D8B8-4741-B1AC-C8E073AECA7C}"/>
    <cellStyle name="20% - Accent1 7 2 3" xfId="12114" xr:uid="{5D2F05D5-E342-499F-9CD8-A339F69D2213}"/>
    <cellStyle name="20% - Accent1 7 3" xfId="5745" xr:uid="{00000000-0005-0000-0000-000099000000}"/>
    <cellStyle name="20% - Accent1 7 3 2" xfId="14187" xr:uid="{0CE0BA4A-7247-47F3-94EF-E5EEE0D3043A}"/>
    <cellStyle name="20% - Accent1 7 4" xfId="9969" xr:uid="{58C92A28-9881-41A3-B003-F75AD2E717AA}"/>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BCB6B51E-98B6-4391-8D20-11BA1D5795D5}"/>
    <cellStyle name="20% - Accent1 8 2 3" xfId="12527" xr:uid="{C5C97002-7AF3-4314-857A-B12E5728F259}"/>
    <cellStyle name="20% - Accent1 8 3" xfId="6158" xr:uid="{00000000-0005-0000-0000-00009D000000}"/>
    <cellStyle name="20% - Accent1 8 3 2" xfId="14600" xr:uid="{B437A14E-47A1-46A4-A7AC-DF9FB2D363B5}"/>
    <cellStyle name="20% - Accent1 8 4" xfId="10382" xr:uid="{AA3D6AF1-4FA1-4184-8654-8EDC3FC6831B}"/>
    <cellStyle name="20% - Accent1 9" xfId="2264" xr:uid="{00000000-0005-0000-0000-00009E000000}"/>
    <cellStyle name="20% - Accent1 9 2" xfId="6571" xr:uid="{00000000-0005-0000-0000-00009F000000}"/>
    <cellStyle name="20% - Accent1 9 2 2" xfId="15013" xr:uid="{C9250BD7-8107-4C84-9B7C-2EC9A126B624}"/>
    <cellStyle name="20% - Accent1 9 3" xfId="10795" xr:uid="{19F23474-5F5B-4E96-8CB1-181CAD4001DC}"/>
    <cellStyle name="20% - Accent2" xfId="9" builtinId="34" customBuiltin="1"/>
    <cellStyle name="20% - Accent2 10" xfId="4513" xr:uid="{00000000-0005-0000-0000-0000A1000000}"/>
    <cellStyle name="20% - Accent2 10 2" xfId="12955" xr:uid="{10A66D96-3DE3-4510-9B95-3C0A672C900F}"/>
    <cellStyle name="20% - Accent2 11" xfId="8737" xr:uid="{E1EB54C7-B207-49BB-99AC-051977FDBB0C}"/>
    <cellStyle name="20% - Accent2 2" xfId="10" xr:uid="{00000000-0005-0000-0000-0000A2000000}"/>
    <cellStyle name="20% - Accent2 2 10" xfId="8738" xr:uid="{B204E862-ACB5-4A21-B3E2-08024D1FD8C4}"/>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7A928641-FB6E-4376-950E-7BACF681BF01}"/>
    <cellStyle name="20% - Accent2 2 2 2 2 2 3" xfId="11299" xr:uid="{37521653-285E-4078-82AA-29854C4F676C}"/>
    <cellStyle name="20% - Accent2 2 2 2 2 3" xfId="4930" xr:uid="{00000000-0005-0000-0000-0000A8000000}"/>
    <cellStyle name="20% - Accent2 2 2 2 2 3 2" xfId="13372" xr:uid="{9E49F7D7-ECED-425E-9813-D1296BA8891B}"/>
    <cellStyle name="20% - Accent2 2 2 2 2 4" xfId="9154" xr:uid="{78595660-E163-4027-953D-AF24AE44EB99}"/>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FEE866BC-B020-41A5-81F7-4EBAD969A322}"/>
    <cellStyle name="20% - Accent2 2 2 2 3 2 3" xfId="11712" xr:uid="{AA5BB0DF-AE2D-4E3E-A5B8-D20CE8ED36E7}"/>
    <cellStyle name="20% - Accent2 2 2 2 3 3" xfId="5343" xr:uid="{00000000-0005-0000-0000-0000AC000000}"/>
    <cellStyle name="20% - Accent2 2 2 2 3 3 2" xfId="13785" xr:uid="{B1662ADD-8DAB-4449-AF2C-7E65B28A6C96}"/>
    <cellStyle name="20% - Accent2 2 2 2 3 4" xfId="9567" xr:uid="{2F6AA35D-0922-4B2F-95BC-8CBA38167648}"/>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5CEF3549-1400-4409-9955-444ACF750623}"/>
    <cellStyle name="20% - Accent2 2 2 2 4 2 3" xfId="12125" xr:uid="{D3A8CAD1-BAC9-40F5-ADDD-D744595475BF}"/>
    <cellStyle name="20% - Accent2 2 2 2 4 3" xfId="5756" xr:uid="{00000000-0005-0000-0000-0000B0000000}"/>
    <cellStyle name="20% - Accent2 2 2 2 4 3 2" xfId="14198" xr:uid="{540B6CAB-6DC2-4976-BA57-9312A575B28F}"/>
    <cellStyle name="20% - Accent2 2 2 2 4 4" xfId="9980" xr:uid="{B5D29D65-AC20-408D-BC4C-5F2339156829}"/>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C1EB1BC0-5D35-4AF0-A000-30B75C82305C}"/>
    <cellStyle name="20% - Accent2 2 2 2 5 2 3" xfId="12538" xr:uid="{52716BBB-C9B2-4105-8A52-42029E13802A}"/>
    <cellStyle name="20% - Accent2 2 2 2 5 3" xfId="6169" xr:uid="{00000000-0005-0000-0000-0000B4000000}"/>
    <cellStyle name="20% - Accent2 2 2 2 5 3 2" xfId="14611" xr:uid="{F4E71B2F-BDDB-43A6-B9B1-A25AA910D53E}"/>
    <cellStyle name="20% - Accent2 2 2 2 5 4" xfId="10393" xr:uid="{C263EC0E-F426-4BEC-84A5-BE43632EE2FC}"/>
    <cellStyle name="20% - Accent2 2 2 2 6" xfId="2275" xr:uid="{00000000-0005-0000-0000-0000B5000000}"/>
    <cellStyle name="20% - Accent2 2 2 2 6 2" xfId="6582" xr:uid="{00000000-0005-0000-0000-0000B6000000}"/>
    <cellStyle name="20% - Accent2 2 2 2 6 2 2" xfId="15024" xr:uid="{D70A8779-C195-4667-A2ED-6FD214F10498}"/>
    <cellStyle name="20% - Accent2 2 2 2 6 3" xfId="10806" xr:uid="{5470719E-FBB4-4810-9653-6EFBB1D81C8A}"/>
    <cellStyle name="20% - Accent2 2 2 2 7" xfId="4516" xr:uid="{00000000-0005-0000-0000-0000B7000000}"/>
    <cellStyle name="20% - Accent2 2 2 2 7 2" xfId="12958" xr:uid="{8C3E7FE1-D041-4ED5-A239-C6D298C4BF82}"/>
    <cellStyle name="20% - Accent2 2 2 2 8" xfId="8740" xr:uid="{B696ACB6-E59A-4ECF-9E3A-2C502A92E3E8}"/>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E917B371-3E8C-4CAB-93D1-15FC36473DBA}"/>
    <cellStyle name="20% - Accent2 2 2 3 2 3" xfId="11298" xr:uid="{FBA83F7E-E2B2-4441-A63F-5F2C8A9CB8C8}"/>
    <cellStyle name="20% - Accent2 2 2 3 3" xfId="4929" xr:uid="{00000000-0005-0000-0000-0000BB000000}"/>
    <cellStyle name="20% - Accent2 2 2 3 3 2" xfId="13371" xr:uid="{FCB14607-5526-464E-899E-F584F9A3B78F}"/>
    <cellStyle name="20% - Accent2 2 2 3 4" xfId="9153" xr:uid="{9624621A-7887-4661-9367-C655FEB974B0}"/>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EA6135B1-0791-4527-8838-DD70E27215D4}"/>
    <cellStyle name="20% - Accent2 2 2 4 2 3" xfId="11711" xr:uid="{B94F9200-AC80-46BF-AAEF-908EF6892B7C}"/>
    <cellStyle name="20% - Accent2 2 2 4 3" xfId="5342" xr:uid="{00000000-0005-0000-0000-0000BF000000}"/>
    <cellStyle name="20% - Accent2 2 2 4 3 2" xfId="13784" xr:uid="{91ED6459-EB4C-4C46-9F16-ED09F2B7C0E9}"/>
    <cellStyle name="20% - Accent2 2 2 4 4" xfId="9566" xr:uid="{18266061-7620-418F-B55E-59DB3A24C963}"/>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4612AACA-59BD-4F17-9517-7E7FF5C7E14D}"/>
    <cellStyle name="20% - Accent2 2 2 5 2 3" xfId="12124" xr:uid="{715BBE41-A3C6-430F-8176-3D40ED62EB5F}"/>
    <cellStyle name="20% - Accent2 2 2 5 3" xfId="5755" xr:uid="{00000000-0005-0000-0000-0000C3000000}"/>
    <cellStyle name="20% - Accent2 2 2 5 3 2" xfId="14197" xr:uid="{AD336DB3-603C-4B73-B4C5-959CFCB80DE9}"/>
    <cellStyle name="20% - Accent2 2 2 5 4" xfId="9979" xr:uid="{EAB6AC47-4C79-4C3D-827B-6BDE4CF34ED4}"/>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D7F537E5-2578-4250-B016-D7D627A9D582}"/>
    <cellStyle name="20% - Accent2 2 2 6 2 3" xfId="12537" xr:uid="{8285E797-B870-43CA-8606-2C6C73085444}"/>
    <cellStyle name="20% - Accent2 2 2 6 3" xfId="6168" xr:uid="{00000000-0005-0000-0000-0000C7000000}"/>
    <cellStyle name="20% - Accent2 2 2 6 3 2" xfId="14610" xr:uid="{97060F0F-DD77-4107-8BF7-EA46567F656F}"/>
    <cellStyle name="20% - Accent2 2 2 6 4" xfId="10392" xr:uid="{CA920D80-E27F-4A52-84C7-6619BE7EE8DA}"/>
    <cellStyle name="20% - Accent2 2 2 7" xfId="2274" xr:uid="{00000000-0005-0000-0000-0000C8000000}"/>
    <cellStyle name="20% - Accent2 2 2 7 2" xfId="6581" xr:uid="{00000000-0005-0000-0000-0000C9000000}"/>
    <cellStyle name="20% - Accent2 2 2 7 2 2" xfId="15023" xr:uid="{1B22BF2F-896E-41F0-8CBC-569FCEE7D260}"/>
    <cellStyle name="20% - Accent2 2 2 7 3" xfId="10805" xr:uid="{4004D810-B4EF-4398-860E-FD4847F60A6A}"/>
    <cellStyle name="20% - Accent2 2 2 8" xfId="4515" xr:uid="{00000000-0005-0000-0000-0000CA000000}"/>
    <cellStyle name="20% - Accent2 2 2 8 2" xfId="12957" xr:uid="{94A951E0-9DB4-46C0-9727-72AF3DCB57AC}"/>
    <cellStyle name="20% - Accent2 2 2 9" xfId="8739" xr:uid="{8551FACB-1A00-4A9B-A7A5-538A1759E8FD}"/>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F5C54005-27BD-4599-AEBE-E05D32855553}"/>
    <cellStyle name="20% - Accent2 2 3 2 2 3" xfId="11300" xr:uid="{B3551E67-51F3-451A-B81C-29084BD4D339}"/>
    <cellStyle name="20% - Accent2 2 3 2 3" xfId="4931" xr:uid="{00000000-0005-0000-0000-0000CF000000}"/>
    <cellStyle name="20% - Accent2 2 3 2 3 2" xfId="13373" xr:uid="{796B37E3-2764-494D-AE2D-7084BDF656FE}"/>
    <cellStyle name="20% - Accent2 2 3 2 4" xfId="9155" xr:uid="{F94D877C-0DDB-49B1-92FA-2BE1722A0EC8}"/>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064B277B-0E1B-45F4-9B82-9C049949E705}"/>
    <cellStyle name="20% - Accent2 2 3 3 2 3" xfId="11713" xr:uid="{6997A12E-8643-4179-B199-67FF114ED0A9}"/>
    <cellStyle name="20% - Accent2 2 3 3 3" xfId="5344" xr:uid="{00000000-0005-0000-0000-0000D3000000}"/>
    <cellStyle name="20% - Accent2 2 3 3 3 2" xfId="13786" xr:uid="{881DE750-1474-4454-A96E-D83187AC9B9E}"/>
    <cellStyle name="20% - Accent2 2 3 3 4" xfId="9568" xr:uid="{E45CC3BF-2E7A-4CC5-BEA4-5A55E215BC54}"/>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F583CA55-8134-4598-9830-A913BEA76BEB}"/>
    <cellStyle name="20% - Accent2 2 3 4 2 3" xfId="12126" xr:uid="{11309313-C85E-4EA7-A8A6-01E4134A82DD}"/>
    <cellStyle name="20% - Accent2 2 3 4 3" xfId="5757" xr:uid="{00000000-0005-0000-0000-0000D7000000}"/>
    <cellStyle name="20% - Accent2 2 3 4 3 2" xfId="14199" xr:uid="{4CE8E073-C078-4B98-B54D-70EED3B6AF66}"/>
    <cellStyle name="20% - Accent2 2 3 4 4" xfId="9981" xr:uid="{62C84ACC-7C1D-4535-8C0E-015D6618D2A6}"/>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46FB5C12-9DE7-451B-B1D6-9FD577C36998}"/>
    <cellStyle name="20% - Accent2 2 3 5 2 3" xfId="12539" xr:uid="{B0D4867D-8FA6-488B-BE48-B6E3052454FB}"/>
    <cellStyle name="20% - Accent2 2 3 5 3" xfId="6170" xr:uid="{00000000-0005-0000-0000-0000DB000000}"/>
    <cellStyle name="20% - Accent2 2 3 5 3 2" xfId="14612" xr:uid="{9B1D275E-4B85-41E2-91A0-C9708F1C5CB6}"/>
    <cellStyle name="20% - Accent2 2 3 5 4" xfId="10394" xr:uid="{D96DF1A7-2FAF-4628-B4A5-278A2166E885}"/>
    <cellStyle name="20% - Accent2 2 3 6" xfId="2276" xr:uid="{00000000-0005-0000-0000-0000DC000000}"/>
    <cellStyle name="20% - Accent2 2 3 6 2" xfId="6583" xr:uid="{00000000-0005-0000-0000-0000DD000000}"/>
    <cellStyle name="20% - Accent2 2 3 6 2 2" xfId="15025" xr:uid="{90AFF294-51E4-45F0-9F61-A207CF07FCE3}"/>
    <cellStyle name="20% - Accent2 2 3 6 3" xfId="10807" xr:uid="{B7CFA208-D7F3-4D76-AD52-0D936892919D}"/>
    <cellStyle name="20% - Accent2 2 3 7" xfId="4517" xr:uid="{00000000-0005-0000-0000-0000DE000000}"/>
    <cellStyle name="20% - Accent2 2 3 7 2" xfId="12959" xr:uid="{6B090B69-65A0-4B79-8650-913A2A66340F}"/>
    <cellStyle name="20% - Accent2 2 3 8" xfId="8741" xr:uid="{227C6F05-F756-486F-80B2-04D0274CA8AC}"/>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83BB7BBD-2B0D-40E0-ACC3-17E97D6C70D1}"/>
    <cellStyle name="20% - Accent2 2 4 2 3" xfId="11297" xr:uid="{B58AC97C-ABC7-4094-A724-63F65C896AC1}"/>
    <cellStyle name="20% - Accent2 2 4 3" xfId="4928" xr:uid="{00000000-0005-0000-0000-0000E2000000}"/>
    <cellStyle name="20% - Accent2 2 4 3 2" xfId="13370" xr:uid="{BDAEB0DA-3261-48D2-BE51-93EE2AC68A83}"/>
    <cellStyle name="20% - Accent2 2 4 4" xfId="9152" xr:uid="{2C27C6C2-48C1-4649-823A-7A74C7EF3961}"/>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B9CC4C52-C3BA-46A4-B562-C897968E74A3}"/>
    <cellStyle name="20% - Accent2 2 5 2 3" xfId="11710" xr:uid="{7C676EAE-D7EA-4075-A134-92F43E97CF7D}"/>
    <cellStyle name="20% - Accent2 2 5 3" xfId="5341" xr:uid="{00000000-0005-0000-0000-0000E6000000}"/>
    <cellStyle name="20% - Accent2 2 5 3 2" xfId="13783" xr:uid="{B4594198-07FE-4DFC-BAA3-5874CC1EE84B}"/>
    <cellStyle name="20% - Accent2 2 5 4" xfId="9565" xr:uid="{55471BF3-AB69-41AA-8BCA-DB71DCBE4FF2}"/>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0B1E46C5-B06E-47E2-9B14-492BD32CFB06}"/>
    <cellStyle name="20% - Accent2 2 6 2 3" xfId="12123" xr:uid="{D8FF362A-F819-48C6-9841-0A57738E58C7}"/>
    <cellStyle name="20% - Accent2 2 6 3" xfId="5754" xr:uid="{00000000-0005-0000-0000-0000EA000000}"/>
    <cellStyle name="20% - Accent2 2 6 3 2" xfId="14196" xr:uid="{CD2E5BD6-C46C-443F-83FE-7B6DCCEB82D8}"/>
    <cellStyle name="20% - Accent2 2 6 4" xfId="9978" xr:uid="{1A0B48F7-DCDA-46FE-8FED-13A021AC5152}"/>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ECF39A5A-A3DA-4857-87CC-3AAD010D1146}"/>
    <cellStyle name="20% - Accent2 2 7 2 3" xfId="12536" xr:uid="{5DACD0E3-C860-425F-BAC8-4F4D623658D7}"/>
    <cellStyle name="20% - Accent2 2 7 3" xfId="6167" xr:uid="{00000000-0005-0000-0000-0000EE000000}"/>
    <cellStyle name="20% - Accent2 2 7 3 2" xfId="14609" xr:uid="{99B5AF2A-4684-4CEB-9429-B84E36148DDC}"/>
    <cellStyle name="20% - Accent2 2 7 4" xfId="10391" xr:uid="{03D8B23D-D73F-41A7-8ABF-BC7AD7A60BDA}"/>
    <cellStyle name="20% - Accent2 2 8" xfId="2273" xr:uid="{00000000-0005-0000-0000-0000EF000000}"/>
    <cellStyle name="20% - Accent2 2 8 2" xfId="6580" xr:uid="{00000000-0005-0000-0000-0000F0000000}"/>
    <cellStyle name="20% - Accent2 2 8 2 2" xfId="15022" xr:uid="{F7695CA6-7A5F-402F-87FC-FCCBF6921884}"/>
    <cellStyle name="20% - Accent2 2 8 3" xfId="10804" xr:uid="{B7517EC4-1D2B-4840-8E8D-723E67340135}"/>
    <cellStyle name="20% - Accent2 2 9" xfId="4514" xr:uid="{00000000-0005-0000-0000-0000F1000000}"/>
    <cellStyle name="20% - Accent2 2 9 2" xfId="12956" xr:uid="{1ABED075-1516-4C73-9127-83F50FCBC0A3}"/>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B661470D-81B6-4DB9-A618-436947C9EA3C}"/>
    <cellStyle name="20% - Accent2 3 2 2 2 3" xfId="11302" xr:uid="{A91729E2-1092-407D-8951-49812E0A8DCE}"/>
    <cellStyle name="20% - Accent2 3 2 2 3" xfId="4933" xr:uid="{00000000-0005-0000-0000-0000F7000000}"/>
    <cellStyle name="20% - Accent2 3 2 2 3 2" xfId="13375" xr:uid="{979A4E9A-168E-4911-BB51-37B2BBE9C483}"/>
    <cellStyle name="20% - Accent2 3 2 2 4" xfId="9157" xr:uid="{401B2865-307B-4EDB-A660-D3D041AC1FCB}"/>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C886FC57-89ED-48D5-8A7B-C21F2FBDB516}"/>
    <cellStyle name="20% - Accent2 3 2 3 2 3" xfId="11715" xr:uid="{4322E2E3-224D-4414-85B1-669F09F04B52}"/>
    <cellStyle name="20% - Accent2 3 2 3 3" xfId="5346" xr:uid="{00000000-0005-0000-0000-0000FB000000}"/>
    <cellStyle name="20% - Accent2 3 2 3 3 2" xfId="13788" xr:uid="{2B1150AA-9425-4855-9D7E-ECFE4DC923AE}"/>
    <cellStyle name="20% - Accent2 3 2 3 4" xfId="9570" xr:uid="{8F7DEB92-26B5-4FC9-81BE-EF39A1AEE995}"/>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4DC3C0A0-5326-4D02-B00F-E3768AF75525}"/>
    <cellStyle name="20% - Accent2 3 2 4 2 3" xfId="12128" xr:uid="{55954964-F99F-4542-AD63-1857F8953D5A}"/>
    <cellStyle name="20% - Accent2 3 2 4 3" xfId="5759" xr:uid="{00000000-0005-0000-0000-0000FF000000}"/>
    <cellStyle name="20% - Accent2 3 2 4 3 2" xfId="14201" xr:uid="{45F0605E-750A-4A92-AE1A-2B6F2B3A4556}"/>
    <cellStyle name="20% - Accent2 3 2 4 4" xfId="9983" xr:uid="{53D90767-88E4-4E1F-B96C-E264DB22F270}"/>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C53A7C51-25A5-4B25-BAFA-C0A45F6BB25B}"/>
    <cellStyle name="20% - Accent2 3 2 5 2 3" xfId="12541" xr:uid="{DE66636D-7E7A-44D9-BD20-883E5CD228A1}"/>
    <cellStyle name="20% - Accent2 3 2 5 3" xfId="6172" xr:uid="{00000000-0005-0000-0000-000003010000}"/>
    <cellStyle name="20% - Accent2 3 2 5 3 2" xfId="14614" xr:uid="{BBDDE32E-6CB5-4151-9655-0349CA74D285}"/>
    <cellStyle name="20% - Accent2 3 2 5 4" xfId="10396" xr:uid="{FACE725A-9D67-4F3F-B5E2-BF03DBF39156}"/>
    <cellStyle name="20% - Accent2 3 2 6" xfId="2278" xr:uid="{00000000-0005-0000-0000-000004010000}"/>
    <cellStyle name="20% - Accent2 3 2 6 2" xfId="6585" xr:uid="{00000000-0005-0000-0000-000005010000}"/>
    <cellStyle name="20% - Accent2 3 2 6 2 2" xfId="15027" xr:uid="{A52CA190-63A7-4CB2-971A-8AF60D9C0DD0}"/>
    <cellStyle name="20% - Accent2 3 2 6 3" xfId="10809" xr:uid="{298B72FB-499A-4F1C-9F4F-1547C68F399E}"/>
    <cellStyle name="20% - Accent2 3 2 7" xfId="4519" xr:uid="{00000000-0005-0000-0000-000006010000}"/>
    <cellStyle name="20% - Accent2 3 2 7 2" xfId="12961" xr:uid="{C3DA5538-D015-490B-B7D9-D31D16E18646}"/>
    <cellStyle name="20% - Accent2 3 2 8" xfId="8743" xr:uid="{30F1241C-F7F7-4B9F-8268-C78EC3DACA5F}"/>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B1946308-5D76-496C-A30B-C4C35328A8A1}"/>
    <cellStyle name="20% - Accent2 3 3 2 3" xfId="11301" xr:uid="{A6A28C25-C4F6-41FF-8DEA-B7A586644FA7}"/>
    <cellStyle name="20% - Accent2 3 3 3" xfId="4932" xr:uid="{00000000-0005-0000-0000-00000A010000}"/>
    <cellStyle name="20% - Accent2 3 3 3 2" xfId="13374" xr:uid="{9E2D5072-453C-4343-B50C-23CDD0DB040C}"/>
    <cellStyle name="20% - Accent2 3 3 4" xfId="9156" xr:uid="{A72067E4-5F1F-4DDA-A10C-34F8EE312079}"/>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154B20F7-3D3A-473F-B280-22273C7895E8}"/>
    <cellStyle name="20% - Accent2 3 4 2 3" xfId="11714" xr:uid="{74EF911F-D91E-4E34-A710-6E6E19C3A215}"/>
    <cellStyle name="20% - Accent2 3 4 3" xfId="5345" xr:uid="{00000000-0005-0000-0000-00000E010000}"/>
    <cellStyle name="20% - Accent2 3 4 3 2" xfId="13787" xr:uid="{706176CC-A998-4409-8778-0EBDF2123F13}"/>
    <cellStyle name="20% - Accent2 3 4 4" xfId="9569" xr:uid="{C68121DB-7276-4F2C-B3D1-696AA6A3F9D4}"/>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1538AA7E-EBB0-4D02-A3F6-9B590D362A41}"/>
    <cellStyle name="20% - Accent2 3 5 2 3" xfId="12127" xr:uid="{6F362BE1-E46B-4366-8A5A-4836E16C9A34}"/>
    <cellStyle name="20% - Accent2 3 5 3" xfId="5758" xr:uid="{00000000-0005-0000-0000-000012010000}"/>
    <cellStyle name="20% - Accent2 3 5 3 2" xfId="14200" xr:uid="{A21D76FF-1646-442F-B333-078D75653D6D}"/>
    <cellStyle name="20% - Accent2 3 5 4" xfId="9982" xr:uid="{84B85C57-4074-402D-BAFE-1DD043DC01C2}"/>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7DF1EE57-1A30-42EC-967C-54638D1B8F29}"/>
    <cellStyle name="20% - Accent2 3 6 2 3" xfId="12540" xr:uid="{DC0E2679-4EF2-4CFE-9975-51EC16E297D3}"/>
    <cellStyle name="20% - Accent2 3 6 3" xfId="6171" xr:uid="{00000000-0005-0000-0000-000016010000}"/>
    <cellStyle name="20% - Accent2 3 6 3 2" xfId="14613" xr:uid="{7414B9A0-F5E4-4B6B-BAE6-BC7E21E20BB5}"/>
    <cellStyle name="20% - Accent2 3 6 4" xfId="10395" xr:uid="{54C3428E-CD0F-4421-910C-39DCAA555DA7}"/>
    <cellStyle name="20% - Accent2 3 7" xfId="2277" xr:uid="{00000000-0005-0000-0000-000017010000}"/>
    <cellStyle name="20% - Accent2 3 7 2" xfId="6584" xr:uid="{00000000-0005-0000-0000-000018010000}"/>
    <cellStyle name="20% - Accent2 3 7 2 2" xfId="15026" xr:uid="{AB6FB5E3-33F7-45DD-B95B-6D5F7961E8DE}"/>
    <cellStyle name="20% - Accent2 3 7 3" xfId="10808" xr:uid="{1F845A92-BD01-40E3-B5E0-27D082E9FB57}"/>
    <cellStyle name="20% - Accent2 3 8" xfId="4518" xr:uid="{00000000-0005-0000-0000-000019010000}"/>
    <cellStyle name="20% - Accent2 3 8 2" xfId="12960" xr:uid="{FF7CEC2A-F6A8-4131-A602-AF6CABA52AAD}"/>
    <cellStyle name="20% - Accent2 3 9" xfId="8742" xr:uid="{D0BF9ED5-CA5E-4F4F-B52E-3AB7D12530CA}"/>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B0D47F00-F887-4E80-9F48-D162CFB82F72}"/>
    <cellStyle name="20% - Accent2 4 2 2 3" xfId="11303" xr:uid="{5D06D6FD-BFD5-44DE-B026-A34D0181CD78}"/>
    <cellStyle name="20% - Accent2 4 2 3" xfId="4934" xr:uid="{00000000-0005-0000-0000-00001E010000}"/>
    <cellStyle name="20% - Accent2 4 2 3 2" xfId="13376" xr:uid="{7D957AB9-4ADD-4B78-B505-A9F5C4AF512F}"/>
    <cellStyle name="20% - Accent2 4 2 4" xfId="9158" xr:uid="{8BAD2C58-C388-4ECE-8AA6-B5C2BAB2663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66C612A7-94FB-4783-B91E-B5B727C1D479}"/>
    <cellStyle name="20% - Accent2 4 3 2 3" xfId="11716" xr:uid="{95E86B92-7D97-4C61-9EAA-A44CCFBBA184}"/>
    <cellStyle name="20% - Accent2 4 3 3" xfId="5347" xr:uid="{00000000-0005-0000-0000-000022010000}"/>
    <cellStyle name="20% - Accent2 4 3 3 2" xfId="13789" xr:uid="{D523491D-AC0C-4A3E-A5B6-C8EDF36BAD95}"/>
    <cellStyle name="20% - Accent2 4 3 4" xfId="9571" xr:uid="{27A69FEE-C046-400A-8332-B926E015B49B}"/>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7990A0F1-B0E4-484A-94AC-C562A26A98BB}"/>
    <cellStyle name="20% - Accent2 4 4 2 3" xfId="12129" xr:uid="{EDAE1C1F-21FF-43C4-A32A-E5A1A0AFFB38}"/>
    <cellStyle name="20% - Accent2 4 4 3" xfId="5760" xr:uid="{00000000-0005-0000-0000-000026010000}"/>
    <cellStyle name="20% - Accent2 4 4 3 2" xfId="14202" xr:uid="{A7C8B033-7590-4C0D-BDDE-5098AFC981A6}"/>
    <cellStyle name="20% - Accent2 4 4 4" xfId="9984" xr:uid="{33B740C6-6525-4CBE-ADCB-BBFE65A3A1E4}"/>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E35C64C3-A54C-4E3F-ACF8-A2C25A3D135F}"/>
    <cellStyle name="20% - Accent2 4 5 2 3" xfId="12542" xr:uid="{364F9E29-7B00-4CEB-A6FB-8A548E9FEFCB}"/>
    <cellStyle name="20% - Accent2 4 5 3" xfId="6173" xr:uid="{00000000-0005-0000-0000-00002A010000}"/>
    <cellStyle name="20% - Accent2 4 5 3 2" xfId="14615" xr:uid="{C262B5F4-C5C5-4610-A411-1DEE28F2A0E4}"/>
    <cellStyle name="20% - Accent2 4 5 4" xfId="10397" xr:uid="{AA8C0638-C9E5-4CA0-A2D9-2E71951DE731}"/>
    <cellStyle name="20% - Accent2 4 6" xfId="2279" xr:uid="{00000000-0005-0000-0000-00002B010000}"/>
    <cellStyle name="20% - Accent2 4 6 2" xfId="6586" xr:uid="{00000000-0005-0000-0000-00002C010000}"/>
    <cellStyle name="20% - Accent2 4 6 2 2" xfId="15028" xr:uid="{321C7A40-B700-481F-9F23-ABA8D54F82F5}"/>
    <cellStyle name="20% - Accent2 4 6 3" xfId="10810" xr:uid="{CC620FEA-75B2-4075-83D2-ACA19E9D71D1}"/>
    <cellStyle name="20% - Accent2 4 7" xfId="4520" xr:uid="{00000000-0005-0000-0000-00002D010000}"/>
    <cellStyle name="20% - Accent2 4 7 2" xfId="12962" xr:uid="{B7CFB9EE-AAF9-4516-BAE9-8DCBA98CB367}"/>
    <cellStyle name="20% - Accent2 4 8" xfId="8744" xr:uid="{37A12F6B-B8D1-4DB8-8B9C-7CFC80B5EDC9}"/>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659BB469-4B84-4C7B-B7D8-4FF621B95897}"/>
    <cellStyle name="20% - Accent2 5 2 3" xfId="11296" xr:uid="{F3EB0299-8857-487F-B87D-EF1EF38157E6}"/>
    <cellStyle name="20% - Accent2 5 3" xfId="4927" xr:uid="{00000000-0005-0000-0000-000031010000}"/>
    <cellStyle name="20% - Accent2 5 3 2" xfId="13369" xr:uid="{ABFBF19E-02C1-4590-8390-958C66E921A4}"/>
    <cellStyle name="20% - Accent2 5 4" xfId="9151" xr:uid="{9E358A4D-C764-46AC-B0B0-1EF43E70CB03}"/>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85C7CE85-AF3B-454E-8920-B239C516F632}"/>
    <cellStyle name="20% - Accent2 6 2 3" xfId="11709" xr:uid="{121BFBB3-B709-496E-A0DE-2F63EBA61979}"/>
    <cellStyle name="20% - Accent2 6 3" xfId="5340" xr:uid="{00000000-0005-0000-0000-000035010000}"/>
    <cellStyle name="20% - Accent2 6 3 2" xfId="13782" xr:uid="{11F88952-190B-4801-B844-B55DAE080C02}"/>
    <cellStyle name="20% - Accent2 6 4" xfId="9564" xr:uid="{5C73680C-2B6F-4CC8-B0BF-76786FFD6051}"/>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301B3CA7-302A-4002-92F6-FCBF76D92BEF}"/>
    <cellStyle name="20% - Accent2 7 2 3" xfId="12122" xr:uid="{A5D30B9C-218C-4278-80CF-1EB2D2F31C76}"/>
    <cellStyle name="20% - Accent2 7 3" xfId="5753" xr:uid="{00000000-0005-0000-0000-000039010000}"/>
    <cellStyle name="20% - Accent2 7 3 2" xfId="14195" xr:uid="{E0CD78F4-E616-45BC-A9F5-6B4B8574FCF1}"/>
    <cellStyle name="20% - Accent2 7 4" xfId="9977" xr:uid="{27BE8B70-AF83-46B7-9BCC-2BCA78D86A23}"/>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D1BE7A5E-36DB-409C-8108-158079B2C0EC}"/>
    <cellStyle name="20% - Accent2 8 2 3" xfId="12535" xr:uid="{EA3D6B69-C030-4BD6-9606-E5DA1C1AFF8D}"/>
    <cellStyle name="20% - Accent2 8 3" xfId="6166" xr:uid="{00000000-0005-0000-0000-00003D010000}"/>
    <cellStyle name="20% - Accent2 8 3 2" xfId="14608" xr:uid="{44E636B7-D5DF-4C59-B7F9-70F8BADC3B8E}"/>
    <cellStyle name="20% - Accent2 8 4" xfId="10390" xr:uid="{135552E0-BCD6-4C38-A589-7509CC4FFD92}"/>
    <cellStyle name="20% - Accent2 9" xfId="2272" xr:uid="{00000000-0005-0000-0000-00003E010000}"/>
    <cellStyle name="20% - Accent2 9 2" xfId="6579" xr:uid="{00000000-0005-0000-0000-00003F010000}"/>
    <cellStyle name="20% - Accent2 9 2 2" xfId="15021" xr:uid="{A371D38F-788A-4B98-A5FE-97A49A8E5E86}"/>
    <cellStyle name="20% - Accent2 9 3" xfId="10803" xr:uid="{FF28778C-010D-4514-BEBD-2CBD92B1DD78}"/>
    <cellStyle name="20% - Accent3" xfId="17" builtinId="38" customBuiltin="1"/>
    <cellStyle name="20% - Accent3 10" xfId="4521" xr:uid="{00000000-0005-0000-0000-000041010000}"/>
    <cellStyle name="20% - Accent3 10 2" xfId="12963" xr:uid="{7B539D22-D02F-4DB0-8656-30296CCAFA84}"/>
    <cellStyle name="20% - Accent3 11" xfId="8745" xr:uid="{71D09731-17DC-4CC8-931D-A5F18B8FB026}"/>
    <cellStyle name="20% - Accent3 2" xfId="18" xr:uid="{00000000-0005-0000-0000-000042010000}"/>
    <cellStyle name="20% - Accent3 2 10" xfId="8746" xr:uid="{792C2B8A-8AC6-4CB1-A53B-FA78DD345B3B}"/>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DDCEACF3-B32C-40D9-A56E-BCE317A15497}"/>
    <cellStyle name="20% - Accent3 2 2 2 2 2 3" xfId="11307" xr:uid="{FDDA7680-7B0C-4BE6-96A2-BED426015A47}"/>
    <cellStyle name="20% - Accent3 2 2 2 2 3" xfId="4938" xr:uid="{00000000-0005-0000-0000-000048010000}"/>
    <cellStyle name="20% - Accent3 2 2 2 2 3 2" xfId="13380" xr:uid="{5F99E2F2-A6F2-4CA2-94D7-1DF9EFB71EF5}"/>
    <cellStyle name="20% - Accent3 2 2 2 2 4" xfId="9162" xr:uid="{B8F67067-1B16-4E62-99D8-F68276FE9175}"/>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8E539396-AF01-4F44-8C34-0E097666B52B}"/>
    <cellStyle name="20% - Accent3 2 2 2 3 2 3" xfId="11720" xr:uid="{7FC25284-D733-4138-A1D7-46DA59BC244D}"/>
    <cellStyle name="20% - Accent3 2 2 2 3 3" xfId="5351" xr:uid="{00000000-0005-0000-0000-00004C010000}"/>
    <cellStyle name="20% - Accent3 2 2 2 3 3 2" xfId="13793" xr:uid="{20728005-A842-470C-BE47-1B272DB4AEF7}"/>
    <cellStyle name="20% - Accent3 2 2 2 3 4" xfId="9575" xr:uid="{8A102657-FAC7-4AC8-ABE6-B2886B42AAB7}"/>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CE1A5777-BE62-4275-8D83-52FAB43DA56A}"/>
    <cellStyle name="20% - Accent3 2 2 2 4 2 3" xfId="12133" xr:uid="{70F4396B-B38E-4759-906C-0E12A90596EB}"/>
    <cellStyle name="20% - Accent3 2 2 2 4 3" xfId="5764" xr:uid="{00000000-0005-0000-0000-000050010000}"/>
    <cellStyle name="20% - Accent3 2 2 2 4 3 2" xfId="14206" xr:uid="{2FEDD9B8-5993-4B1F-BC31-31906C0EFC62}"/>
    <cellStyle name="20% - Accent3 2 2 2 4 4" xfId="9988" xr:uid="{86003B1E-7A8B-41F1-B58D-0C9ABFF6B01E}"/>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5ECAB9B8-2E33-4628-AE34-9BE9471F55FB}"/>
    <cellStyle name="20% - Accent3 2 2 2 5 2 3" xfId="12546" xr:uid="{15A31AA8-301B-44EC-95F6-6C567CEC4A07}"/>
    <cellStyle name="20% - Accent3 2 2 2 5 3" xfId="6177" xr:uid="{00000000-0005-0000-0000-000054010000}"/>
    <cellStyle name="20% - Accent3 2 2 2 5 3 2" xfId="14619" xr:uid="{00FEEB75-630B-4A8E-BF40-C3B935480C0E}"/>
    <cellStyle name="20% - Accent3 2 2 2 5 4" xfId="10401" xr:uid="{A76ECEFB-B939-426C-A5D6-3CF4CF8696F1}"/>
    <cellStyle name="20% - Accent3 2 2 2 6" xfId="2283" xr:uid="{00000000-0005-0000-0000-000055010000}"/>
    <cellStyle name="20% - Accent3 2 2 2 6 2" xfId="6590" xr:uid="{00000000-0005-0000-0000-000056010000}"/>
    <cellStyle name="20% - Accent3 2 2 2 6 2 2" xfId="15032" xr:uid="{7DDA9A52-D597-4649-B547-B80BCAD62CAE}"/>
    <cellStyle name="20% - Accent3 2 2 2 6 3" xfId="10814" xr:uid="{E1869C59-1C24-40A0-9165-67760A36F941}"/>
    <cellStyle name="20% - Accent3 2 2 2 7" xfId="4524" xr:uid="{00000000-0005-0000-0000-000057010000}"/>
    <cellStyle name="20% - Accent3 2 2 2 7 2" xfId="12966" xr:uid="{77DF388B-7D45-4489-9E2E-383BB5973443}"/>
    <cellStyle name="20% - Accent3 2 2 2 8" xfId="8748" xr:uid="{5338C42D-CD84-4114-AB36-467A033EAC64}"/>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3C64DA9F-C74C-4D5F-B917-2F5D48FB9541}"/>
    <cellStyle name="20% - Accent3 2 2 3 2 3" xfId="11306" xr:uid="{BABDCB44-62AC-462E-8FC8-7BE619FB5EB8}"/>
    <cellStyle name="20% - Accent3 2 2 3 3" xfId="4937" xr:uid="{00000000-0005-0000-0000-00005B010000}"/>
    <cellStyle name="20% - Accent3 2 2 3 3 2" xfId="13379" xr:uid="{3433CD23-789A-41E8-9A7F-9C16B8344996}"/>
    <cellStyle name="20% - Accent3 2 2 3 4" xfId="9161" xr:uid="{3A3D312A-6DC6-4995-94DD-CC5C3974468B}"/>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E3714ADC-166D-43AE-A015-26CE5F0C3342}"/>
    <cellStyle name="20% - Accent3 2 2 4 2 3" xfId="11719" xr:uid="{5B5F2218-2BF0-46BC-9F86-C4D5A388A129}"/>
    <cellStyle name="20% - Accent3 2 2 4 3" xfId="5350" xr:uid="{00000000-0005-0000-0000-00005F010000}"/>
    <cellStyle name="20% - Accent3 2 2 4 3 2" xfId="13792" xr:uid="{28DB5CA4-0C63-472C-8543-FB4EE1E9FE72}"/>
    <cellStyle name="20% - Accent3 2 2 4 4" xfId="9574" xr:uid="{76E64632-DD1E-45ED-A090-AC6535710A3A}"/>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B0A687C4-08BA-498A-83B4-EA4F9D02E9F3}"/>
    <cellStyle name="20% - Accent3 2 2 5 2 3" xfId="12132" xr:uid="{9DCBAAA9-C4C2-4FD6-A702-8C8F3641F849}"/>
    <cellStyle name="20% - Accent3 2 2 5 3" xfId="5763" xr:uid="{00000000-0005-0000-0000-000063010000}"/>
    <cellStyle name="20% - Accent3 2 2 5 3 2" xfId="14205" xr:uid="{078FE05E-9814-441B-8FC0-3D8E6171D44C}"/>
    <cellStyle name="20% - Accent3 2 2 5 4" xfId="9987" xr:uid="{87D42B13-3A42-4BA4-8122-1DB8FCF38194}"/>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3BA0E730-9A90-4377-AC05-1D1DD75EA694}"/>
    <cellStyle name="20% - Accent3 2 2 6 2 3" xfId="12545" xr:uid="{FA87AF7B-F53D-4D38-921B-B21F5A164AE8}"/>
    <cellStyle name="20% - Accent3 2 2 6 3" xfId="6176" xr:uid="{00000000-0005-0000-0000-000067010000}"/>
    <cellStyle name="20% - Accent3 2 2 6 3 2" xfId="14618" xr:uid="{C056C081-205F-4981-AD79-CF2E73DD3509}"/>
    <cellStyle name="20% - Accent3 2 2 6 4" xfId="10400" xr:uid="{71EA68FD-4BE7-4C95-9C7F-D6461DCE9859}"/>
    <cellStyle name="20% - Accent3 2 2 7" xfId="2282" xr:uid="{00000000-0005-0000-0000-000068010000}"/>
    <cellStyle name="20% - Accent3 2 2 7 2" xfId="6589" xr:uid="{00000000-0005-0000-0000-000069010000}"/>
    <cellStyle name="20% - Accent3 2 2 7 2 2" xfId="15031" xr:uid="{C8753D1C-2543-456A-958C-70F7C4922EDE}"/>
    <cellStyle name="20% - Accent3 2 2 7 3" xfId="10813" xr:uid="{797CBAE9-A85B-4E48-9AAF-7F4965E5C75F}"/>
    <cellStyle name="20% - Accent3 2 2 8" xfId="4523" xr:uid="{00000000-0005-0000-0000-00006A010000}"/>
    <cellStyle name="20% - Accent3 2 2 8 2" xfId="12965" xr:uid="{ACD01521-7003-4807-830F-99E27E3B4C67}"/>
    <cellStyle name="20% - Accent3 2 2 9" xfId="8747" xr:uid="{961C9532-0524-49D2-905F-264F6B49B4D6}"/>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57685BC3-571A-426A-9FA0-A694936E0884}"/>
    <cellStyle name="20% - Accent3 2 3 2 2 3" xfId="11308" xr:uid="{84CCCDA5-18BD-46DA-B4F1-5C543BCCBB93}"/>
    <cellStyle name="20% - Accent3 2 3 2 3" xfId="4939" xr:uid="{00000000-0005-0000-0000-00006F010000}"/>
    <cellStyle name="20% - Accent3 2 3 2 3 2" xfId="13381" xr:uid="{07465465-E321-462A-91E7-B00E71D76D2C}"/>
    <cellStyle name="20% - Accent3 2 3 2 4" xfId="9163" xr:uid="{DFEDC848-C748-4300-9C6E-2165FB8BD0DF}"/>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5244C3CE-AC64-4942-8679-943E8288203B}"/>
    <cellStyle name="20% - Accent3 2 3 3 2 3" xfId="11721" xr:uid="{2C567125-4A81-4BBF-A2FA-E457C24DE7F5}"/>
    <cellStyle name="20% - Accent3 2 3 3 3" xfId="5352" xr:uid="{00000000-0005-0000-0000-000073010000}"/>
    <cellStyle name="20% - Accent3 2 3 3 3 2" xfId="13794" xr:uid="{F8596618-CF6E-42FA-A6DA-EADFDA472BEA}"/>
    <cellStyle name="20% - Accent3 2 3 3 4" xfId="9576" xr:uid="{D02CE5EE-F24E-4382-9BF9-56C11093A440}"/>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0D1A1859-408E-4073-9580-88A7BD4A59F4}"/>
    <cellStyle name="20% - Accent3 2 3 4 2 3" xfId="12134" xr:uid="{82ED6E97-0B95-4E30-AEA2-7FB9D13C415C}"/>
    <cellStyle name="20% - Accent3 2 3 4 3" xfId="5765" xr:uid="{00000000-0005-0000-0000-000077010000}"/>
    <cellStyle name="20% - Accent3 2 3 4 3 2" xfId="14207" xr:uid="{617231A0-10E3-44E4-99BC-CE87FBD6B8AC}"/>
    <cellStyle name="20% - Accent3 2 3 4 4" xfId="9989" xr:uid="{FD5C21E7-03BB-46F2-A8DB-160B960120C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683ADC5A-5DAF-4CF4-AE52-B251D39BDFF8}"/>
    <cellStyle name="20% - Accent3 2 3 5 2 3" xfId="12547" xr:uid="{E0E20E6C-C893-4376-B778-05C0AF82EAB8}"/>
    <cellStyle name="20% - Accent3 2 3 5 3" xfId="6178" xr:uid="{00000000-0005-0000-0000-00007B010000}"/>
    <cellStyle name="20% - Accent3 2 3 5 3 2" xfId="14620" xr:uid="{04A11570-FE2E-4649-941E-EA0C7E2B19AF}"/>
    <cellStyle name="20% - Accent3 2 3 5 4" xfId="10402" xr:uid="{0420BA66-BF28-41E2-81FD-5C9BD8D2A9E2}"/>
    <cellStyle name="20% - Accent3 2 3 6" xfId="2284" xr:uid="{00000000-0005-0000-0000-00007C010000}"/>
    <cellStyle name="20% - Accent3 2 3 6 2" xfId="6591" xr:uid="{00000000-0005-0000-0000-00007D010000}"/>
    <cellStyle name="20% - Accent3 2 3 6 2 2" xfId="15033" xr:uid="{3F1A4906-EAF4-4DC1-88FF-D3C252A5749B}"/>
    <cellStyle name="20% - Accent3 2 3 6 3" xfId="10815" xr:uid="{9B4BE11D-552E-4DA0-B13C-D57C1CAA2CDA}"/>
    <cellStyle name="20% - Accent3 2 3 7" xfId="4525" xr:uid="{00000000-0005-0000-0000-00007E010000}"/>
    <cellStyle name="20% - Accent3 2 3 7 2" xfId="12967" xr:uid="{F6AF336E-9533-4128-B10B-68C9A543AFC9}"/>
    <cellStyle name="20% - Accent3 2 3 8" xfId="8749" xr:uid="{EDF5A798-0DBB-4309-8D7F-6BDF4D58D8D6}"/>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744FAF7B-19E9-4854-B829-6EC6AA3B3E0E}"/>
    <cellStyle name="20% - Accent3 2 4 2 3" xfId="11305" xr:uid="{90E68190-F1E7-40BB-A4D3-B09F7C6DF478}"/>
    <cellStyle name="20% - Accent3 2 4 3" xfId="4936" xr:uid="{00000000-0005-0000-0000-000082010000}"/>
    <cellStyle name="20% - Accent3 2 4 3 2" xfId="13378" xr:uid="{EEEC8C8E-B252-43B2-A6DE-3C9C81461A47}"/>
    <cellStyle name="20% - Accent3 2 4 4" xfId="9160" xr:uid="{80F547BA-26F8-402D-89CA-EE9D48C6B15D}"/>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98D6A3E8-EFC3-485B-A65C-7B8ADAEC9A15}"/>
    <cellStyle name="20% - Accent3 2 5 2 3" xfId="11718" xr:uid="{D51CC012-488C-4263-A681-253C79A748AC}"/>
    <cellStyle name="20% - Accent3 2 5 3" xfId="5349" xr:uid="{00000000-0005-0000-0000-000086010000}"/>
    <cellStyle name="20% - Accent3 2 5 3 2" xfId="13791" xr:uid="{26D369E2-C3AA-493F-A678-066FB31DB27D}"/>
    <cellStyle name="20% - Accent3 2 5 4" xfId="9573" xr:uid="{7BB06AA0-6DCC-4EF1-A696-EEB85698F1E4}"/>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D92E567A-412F-4042-A007-2C3684FA280B}"/>
    <cellStyle name="20% - Accent3 2 6 2 3" xfId="12131" xr:uid="{059F2D15-85A7-410F-833C-E4E9224E2A1B}"/>
    <cellStyle name="20% - Accent3 2 6 3" xfId="5762" xr:uid="{00000000-0005-0000-0000-00008A010000}"/>
    <cellStyle name="20% - Accent3 2 6 3 2" xfId="14204" xr:uid="{1D13FF07-F6BA-4F7C-852B-555A2823DCC3}"/>
    <cellStyle name="20% - Accent3 2 6 4" xfId="9986" xr:uid="{4024D7E0-F2D7-479E-B79B-8E72CE06BDF7}"/>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A844A5CC-A766-4959-ACF6-206551B7665A}"/>
    <cellStyle name="20% - Accent3 2 7 2 3" xfId="12544" xr:uid="{E2BAB495-87CD-4661-9836-BBEDBFCC0C52}"/>
    <cellStyle name="20% - Accent3 2 7 3" xfId="6175" xr:uid="{00000000-0005-0000-0000-00008E010000}"/>
    <cellStyle name="20% - Accent3 2 7 3 2" xfId="14617" xr:uid="{1B071601-DF40-4C37-828D-BD7FF122764B}"/>
    <cellStyle name="20% - Accent3 2 7 4" xfId="10399" xr:uid="{DF1FEC6A-B3F5-4FDA-BBDC-DB9B5A2C75D8}"/>
    <cellStyle name="20% - Accent3 2 8" xfId="2281" xr:uid="{00000000-0005-0000-0000-00008F010000}"/>
    <cellStyle name="20% - Accent3 2 8 2" xfId="6588" xr:uid="{00000000-0005-0000-0000-000090010000}"/>
    <cellStyle name="20% - Accent3 2 8 2 2" xfId="15030" xr:uid="{590C0EED-0CB1-428E-B8BA-153C251335F9}"/>
    <cellStyle name="20% - Accent3 2 8 3" xfId="10812" xr:uid="{DC8E231A-D21C-456A-B1C3-9B47E946A5B5}"/>
    <cellStyle name="20% - Accent3 2 9" xfId="4522" xr:uid="{00000000-0005-0000-0000-000091010000}"/>
    <cellStyle name="20% - Accent3 2 9 2" xfId="12964" xr:uid="{0FE601C2-10A0-4DA9-825F-5D73CE10D6B5}"/>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6C3B2D88-0836-445E-A2EF-5BE9B4E6C466}"/>
    <cellStyle name="20% - Accent3 3 2 2 2 3" xfId="11310" xr:uid="{1D003F60-4CD0-4A39-9967-65E5448699F8}"/>
    <cellStyle name="20% - Accent3 3 2 2 3" xfId="4941" xr:uid="{00000000-0005-0000-0000-000097010000}"/>
    <cellStyle name="20% - Accent3 3 2 2 3 2" xfId="13383" xr:uid="{6796F0EB-4E8A-4E58-A444-5F180150EF2E}"/>
    <cellStyle name="20% - Accent3 3 2 2 4" xfId="9165" xr:uid="{FFE1ACDD-9408-4076-BAEF-53AD8DFFCD0D}"/>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46EE0F96-FCA9-4BF6-89F0-ABF7B3B8D81A}"/>
    <cellStyle name="20% - Accent3 3 2 3 2 3" xfId="11723" xr:uid="{1556FF37-96DB-479E-B0DC-454CBE561D90}"/>
    <cellStyle name="20% - Accent3 3 2 3 3" xfId="5354" xr:uid="{00000000-0005-0000-0000-00009B010000}"/>
    <cellStyle name="20% - Accent3 3 2 3 3 2" xfId="13796" xr:uid="{7EA42F7E-4879-4E3C-8EF5-A6D5490FD9E2}"/>
    <cellStyle name="20% - Accent3 3 2 3 4" xfId="9578" xr:uid="{A239CCFE-4EDC-45E1-9B80-AC6D4BBD7B17}"/>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CA31783D-4C05-4CDF-ABD4-F048AB21B537}"/>
    <cellStyle name="20% - Accent3 3 2 4 2 3" xfId="12136" xr:uid="{6AFD4F6F-0E49-4D87-BF91-B59C432A9DFA}"/>
    <cellStyle name="20% - Accent3 3 2 4 3" xfId="5767" xr:uid="{00000000-0005-0000-0000-00009F010000}"/>
    <cellStyle name="20% - Accent3 3 2 4 3 2" xfId="14209" xr:uid="{DAB5C197-5C2B-48FF-83B6-4675E87F8CBC}"/>
    <cellStyle name="20% - Accent3 3 2 4 4" xfId="9991" xr:uid="{A7E69178-C596-4386-8AB2-A9F21F4D8BD3}"/>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72BB8EDF-1C0F-408A-AF27-0A8811059772}"/>
    <cellStyle name="20% - Accent3 3 2 5 2 3" xfId="12549" xr:uid="{AAADFB48-EC3C-4994-8543-F33D9A303D3F}"/>
    <cellStyle name="20% - Accent3 3 2 5 3" xfId="6180" xr:uid="{00000000-0005-0000-0000-0000A3010000}"/>
    <cellStyle name="20% - Accent3 3 2 5 3 2" xfId="14622" xr:uid="{92D69C09-277C-4251-8405-2BA27155D96E}"/>
    <cellStyle name="20% - Accent3 3 2 5 4" xfId="10404" xr:uid="{46CE8E9C-96D0-4D79-AFD7-5542D432663B}"/>
    <cellStyle name="20% - Accent3 3 2 6" xfId="2286" xr:uid="{00000000-0005-0000-0000-0000A4010000}"/>
    <cellStyle name="20% - Accent3 3 2 6 2" xfId="6593" xr:uid="{00000000-0005-0000-0000-0000A5010000}"/>
    <cellStyle name="20% - Accent3 3 2 6 2 2" xfId="15035" xr:uid="{42CC6C06-79B2-4A3D-8F87-382DC7786288}"/>
    <cellStyle name="20% - Accent3 3 2 6 3" xfId="10817" xr:uid="{D7051F5A-8B7F-4BB6-94ED-208E7A898B4F}"/>
    <cellStyle name="20% - Accent3 3 2 7" xfId="4527" xr:uid="{00000000-0005-0000-0000-0000A6010000}"/>
    <cellStyle name="20% - Accent3 3 2 7 2" xfId="12969" xr:uid="{B1FE007A-DD5C-4697-8CF6-6A84ACAFCCB1}"/>
    <cellStyle name="20% - Accent3 3 2 8" xfId="8751" xr:uid="{FFCF652E-9214-4F63-8788-B76A4729EB75}"/>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A1C7017E-0EFA-46C7-A6AA-78A8C9085703}"/>
    <cellStyle name="20% - Accent3 3 3 2 3" xfId="11309" xr:uid="{3E69543E-D4F8-4EC6-BB44-B7DF9EE3AD4D}"/>
    <cellStyle name="20% - Accent3 3 3 3" xfId="4940" xr:uid="{00000000-0005-0000-0000-0000AA010000}"/>
    <cellStyle name="20% - Accent3 3 3 3 2" xfId="13382" xr:uid="{3E3663A9-C12D-422D-BF42-61B73555FAFD}"/>
    <cellStyle name="20% - Accent3 3 3 4" xfId="9164" xr:uid="{B9A28DC1-B8EF-4FC0-B6AA-38CECBE42AA2}"/>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0D51D9E3-9364-4837-8BEE-39622CEAECEB}"/>
    <cellStyle name="20% - Accent3 3 4 2 3" xfId="11722" xr:uid="{2AC4F349-5489-4A6D-BDFF-5CD9960AAEFE}"/>
    <cellStyle name="20% - Accent3 3 4 3" xfId="5353" xr:uid="{00000000-0005-0000-0000-0000AE010000}"/>
    <cellStyle name="20% - Accent3 3 4 3 2" xfId="13795" xr:uid="{E40C4524-D83C-4E44-B93D-D06EC0CC49CC}"/>
    <cellStyle name="20% - Accent3 3 4 4" xfId="9577" xr:uid="{E30AB1EA-33C1-4F2F-B7F6-D3F856D1DADA}"/>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C270C51D-3214-448E-BAA6-6DEE0E5D80B7}"/>
    <cellStyle name="20% - Accent3 3 5 2 3" xfId="12135" xr:uid="{2867D4F1-63F2-4005-8C17-12DC3FADF3C0}"/>
    <cellStyle name="20% - Accent3 3 5 3" xfId="5766" xr:uid="{00000000-0005-0000-0000-0000B2010000}"/>
    <cellStyle name="20% - Accent3 3 5 3 2" xfId="14208" xr:uid="{92910D26-3D9B-4254-A907-A3D9F3DDB97E}"/>
    <cellStyle name="20% - Accent3 3 5 4" xfId="9990" xr:uid="{F5F60290-254F-4566-8BBB-C4D3CB7B9D6D}"/>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9F1FAB4E-7917-4D86-911A-5A0ED631537C}"/>
    <cellStyle name="20% - Accent3 3 6 2 3" xfId="12548" xr:uid="{A346EF33-DC49-439A-BE22-D518075945EE}"/>
    <cellStyle name="20% - Accent3 3 6 3" xfId="6179" xr:uid="{00000000-0005-0000-0000-0000B6010000}"/>
    <cellStyle name="20% - Accent3 3 6 3 2" xfId="14621" xr:uid="{83B1DF8A-75BC-4193-A445-10932F13F6BD}"/>
    <cellStyle name="20% - Accent3 3 6 4" xfId="10403" xr:uid="{5A228FE1-C528-4D31-BD65-AD3A366F4BF8}"/>
    <cellStyle name="20% - Accent3 3 7" xfId="2285" xr:uid="{00000000-0005-0000-0000-0000B7010000}"/>
    <cellStyle name="20% - Accent3 3 7 2" xfId="6592" xr:uid="{00000000-0005-0000-0000-0000B8010000}"/>
    <cellStyle name="20% - Accent3 3 7 2 2" xfId="15034" xr:uid="{736F5636-F330-4AC9-A14F-BCA08DF4AF92}"/>
    <cellStyle name="20% - Accent3 3 7 3" xfId="10816" xr:uid="{BF03D63C-8DD1-45C3-9D5E-05FC4C8B26A2}"/>
    <cellStyle name="20% - Accent3 3 8" xfId="4526" xr:uid="{00000000-0005-0000-0000-0000B9010000}"/>
    <cellStyle name="20% - Accent3 3 8 2" xfId="12968" xr:uid="{2078B6B6-B3CA-43CE-B516-97C587254F5E}"/>
    <cellStyle name="20% - Accent3 3 9" xfId="8750" xr:uid="{442D683D-8772-43E5-B451-05DD88EAEB1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A198B308-9C1D-474D-AB65-660E2F4586C1}"/>
    <cellStyle name="20% - Accent3 4 2 2 3" xfId="11311" xr:uid="{9B995630-637B-419A-AE09-6C055957A9F0}"/>
    <cellStyle name="20% - Accent3 4 2 3" xfId="4942" xr:uid="{00000000-0005-0000-0000-0000BE010000}"/>
    <cellStyle name="20% - Accent3 4 2 3 2" xfId="13384" xr:uid="{A3FA9ADE-0B19-457B-9622-D22C6F58E8E3}"/>
    <cellStyle name="20% - Accent3 4 2 4" xfId="9166" xr:uid="{A14C5CE1-5D7D-4630-B4DE-FF2AE54A1A47}"/>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8345CCB7-F5B1-4A90-A7DD-C168224E56E9}"/>
    <cellStyle name="20% - Accent3 4 3 2 3" xfId="11724" xr:uid="{82F25760-4FA3-4804-BDAF-EDE015E3F812}"/>
    <cellStyle name="20% - Accent3 4 3 3" xfId="5355" xr:uid="{00000000-0005-0000-0000-0000C2010000}"/>
    <cellStyle name="20% - Accent3 4 3 3 2" xfId="13797" xr:uid="{1500464F-3B21-4F20-B30C-41FE753A61C3}"/>
    <cellStyle name="20% - Accent3 4 3 4" xfId="9579" xr:uid="{74160BBE-CD0E-4F30-8A34-8BBBE910157D}"/>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EDE77A0A-BE1D-4B83-9C38-F3E230396059}"/>
    <cellStyle name="20% - Accent3 4 4 2 3" xfId="12137" xr:uid="{0F9FAE38-4491-4D67-A233-933C88B399A6}"/>
    <cellStyle name="20% - Accent3 4 4 3" xfId="5768" xr:uid="{00000000-0005-0000-0000-0000C6010000}"/>
    <cellStyle name="20% - Accent3 4 4 3 2" xfId="14210" xr:uid="{B6B65773-8F13-4D6E-A6D2-3FFA72EBF415}"/>
    <cellStyle name="20% - Accent3 4 4 4" xfId="9992" xr:uid="{2A6442AC-3662-4A89-B3AE-7226A8F0D4AC}"/>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631F66B0-8367-438D-B540-40E6F10C563F}"/>
    <cellStyle name="20% - Accent3 4 5 2 3" xfId="12550" xr:uid="{FDB17794-A6F8-4B13-98FC-BB2A8CE0C99E}"/>
    <cellStyle name="20% - Accent3 4 5 3" xfId="6181" xr:uid="{00000000-0005-0000-0000-0000CA010000}"/>
    <cellStyle name="20% - Accent3 4 5 3 2" xfId="14623" xr:uid="{3D550189-DD9A-489A-B80B-A9C90EFF9E40}"/>
    <cellStyle name="20% - Accent3 4 5 4" xfId="10405" xr:uid="{4D359FC7-BC70-47D8-8D8F-3EBC5EE053A7}"/>
    <cellStyle name="20% - Accent3 4 6" xfId="2287" xr:uid="{00000000-0005-0000-0000-0000CB010000}"/>
    <cellStyle name="20% - Accent3 4 6 2" xfId="6594" xr:uid="{00000000-0005-0000-0000-0000CC010000}"/>
    <cellStyle name="20% - Accent3 4 6 2 2" xfId="15036" xr:uid="{83E4A11A-E278-4269-BB06-3779583421D4}"/>
    <cellStyle name="20% - Accent3 4 6 3" xfId="10818" xr:uid="{4E9A4D81-C780-431E-B8E0-4AEBDE0303B3}"/>
    <cellStyle name="20% - Accent3 4 7" xfId="4528" xr:uid="{00000000-0005-0000-0000-0000CD010000}"/>
    <cellStyle name="20% - Accent3 4 7 2" xfId="12970" xr:uid="{DA39DB96-9120-41E7-A925-A16953B7834E}"/>
    <cellStyle name="20% - Accent3 4 8" xfId="8752" xr:uid="{96965928-F2A7-4341-847C-B14661924964}"/>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60948264-75A8-4F85-ADC2-F1A544D717AC}"/>
    <cellStyle name="20% - Accent3 5 2 3" xfId="11304" xr:uid="{63B6A66E-FC52-4E7C-AD4B-32EFADA84D8A}"/>
    <cellStyle name="20% - Accent3 5 3" xfId="4935" xr:uid="{00000000-0005-0000-0000-0000D1010000}"/>
    <cellStyle name="20% - Accent3 5 3 2" xfId="13377" xr:uid="{9BEF98B0-3BCD-41A0-BB60-4D0EF54602F8}"/>
    <cellStyle name="20% - Accent3 5 4" xfId="9159" xr:uid="{403122F4-BF9D-4D81-B110-66FE95A4974A}"/>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D88ECAE7-B554-446A-AD31-BE2D6F35BE1E}"/>
    <cellStyle name="20% - Accent3 6 2 3" xfId="11717" xr:uid="{01CCA330-8F19-4573-B9F6-AFE80C56C7A6}"/>
    <cellStyle name="20% - Accent3 6 3" xfId="5348" xr:uid="{00000000-0005-0000-0000-0000D5010000}"/>
    <cellStyle name="20% - Accent3 6 3 2" xfId="13790" xr:uid="{843C6C5F-F06F-4895-A73B-C4421C2EB6BC}"/>
    <cellStyle name="20% - Accent3 6 4" xfId="9572" xr:uid="{7C8B383B-75CE-4819-98EA-85C279BBF254}"/>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0C6483E3-D355-405E-B14A-C8ACA287C31D}"/>
    <cellStyle name="20% - Accent3 7 2 3" xfId="12130" xr:uid="{DBEE07F0-EC71-4ABC-B7BF-1B6D29C90C88}"/>
    <cellStyle name="20% - Accent3 7 3" xfId="5761" xr:uid="{00000000-0005-0000-0000-0000D9010000}"/>
    <cellStyle name="20% - Accent3 7 3 2" xfId="14203" xr:uid="{4204055E-014D-484B-9203-EA8CBDFF4A0C}"/>
    <cellStyle name="20% - Accent3 7 4" xfId="9985" xr:uid="{E9CD492D-7576-4C0A-945A-604B4F3D5E09}"/>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FC9A948E-66E4-42B0-81B9-B715554B82AD}"/>
    <cellStyle name="20% - Accent3 8 2 3" xfId="12543" xr:uid="{89C1272E-5472-494B-B335-A639D9BBBDA3}"/>
    <cellStyle name="20% - Accent3 8 3" xfId="6174" xr:uid="{00000000-0005-0000-0000-0000DD010000}"/>
    <cellStyle name="20% - Accent3 8 3 2" xfId="14616" xr:uid="{50A07934-4906-4859-B493-153525CCD80D}"/>
    <cellStyle name="20% - Accent3 8 4" xfId="10398" xr:uid="{AF7D854C-191C-4D57-B44F-1C8CA06DBB42}"/>
    <cellStyle name="20% - Accent3 9" xfId="2280" xr:uid="{00000000-0005-0000-0000-0000DE010000}"/>
    <cellStyle name="20% - Accent3 9 2" xfId="6587" xr:uid="{00000000-0005-0000-0000-0000DF010000}"/>
    <cellStyle name="20% - Accent3 9 2 2" xfId="15029" xr:uid="{3BFC3360-8156-4A99-BF30-7494E4409C40}"/>
    <cellStyle name="20% - Accent3 9 3" xfId="10811" xr:uid="{97100878-D6A9-40F9-BC22-AC2153CCB48D}"/>
    <cellStyle name="20% - Accent4" xfId="25" builtinId="42" customBuiltin="1"/>
    <cellStyle name="20% - Accent4 10" xfId="4529" xr:uid="{00000000-0005-0000-0000-0000E1010000}"/>
    <cellStyle name="20% - Accent4 10 2" xfId="12971" xr:uid="{F59A238E-3DFD-4CAF-8107-ED3353D2D332}"/>
    <cellStyle name="20% - Accent4 11" xfId="8753" xr:uid="{D7E7CE32-4450-4C3D-859A-CB58A3C4ED0E}"/>
    <cellStyle name="20% - Accent4 2" xfId="26" xr:uid="{00000000-0005-0000-0000-0000E2010000}"/>
    <cellStyle name="20% - Accent4 2 10" xfId="8754" xr:uid="{0F029BCB-6987-4216-B0A0-F8BF69B8FFC8}"/>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FC49C6C2-050A-407D-AFA9-EA189DF6F59E}"/>
    <cellStyle name="20% - Accent4 2 2 2 2 2 3" xfId="11315" xr:uid="{4C56215E-3A82-4997-A967-BAFE3AC7A53E}"/>
    <cellStyle name="20% - Accent4 2 2 2 2 3" xfId="4946" xr:uid="{00000000-0005-0000-0000-0000E8010000}"/>
    <cellStyle name="20% - Accent4 2 2 2 2 3 2" xfId="13388" xr:uid="{A559EB6E-BE5A-45CA-8E54-664AC1B32996}"/>
    <cellStyle name="20% - Accent4 2 2 2 2 4" xfId="9170" xr:uid="{6E8BD3C6-3960-4B3D-93DA-C253D7320A46}"/>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6A13380E-114C-4738-9F65-ABF09CCDE6CF}"/>
    <cellStyle name="20% - Accent4 2 2 2 3 2 3" xfId="11728" xr:uid="{708C90DD-77E3-4C92-BB0A-B62273D6D22F}"/>
    <cellStyle name="20% - Accent4 2 2 2 3 3" xfId="5359" xr:uid="{00000000-0005-0000-0000-0000EC010000}"/>
    <cellStyle name="20% - Accent4 2 2 2 3 3 2" xfId="13801" xr:uid="{0F252696-3E59-4F17-A328-28D9991A20A5}"/>
    <cellStyle name="20% - Accent4 2 2 2 3 4" xfId="9583" xr:uid="{DA7C1273-7446-44A5-8147-748326DEE5F6}"/>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A3F45694-4E3C-48D4-BFAD-47BCD34E1FB2}"/>
    <cellStyle name="20% - Accent4 2 2 2 4 2 3" xfId="12141" xr:uid="{64B4B2F7-E2FB-404C-B8B8-E8A2C684495C}"/>
    <cellStyle name="20% - Accent4 2 2 2 4 3" xfId="5772" xr:uid="{00000000-0005-0000-0000-0000F0010000}"/>
    <cellStyle name="20% - Accent4 2 2 2 4 3 2" xfId="14214" xr:uid="{0C46B403-C851-4777-A581-C416A56D69F0}"/>
    <cellStyle name="20% - Accent4 2 2 2 4 4" xfId="9996" xr:uid="{2D809156-00B4-4465-AF69-8DECB665133D}"/>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C0552EA6-FCA9-4FB2-B06B-1151F342948B}"/>
    <cellStyle name="20% - Accent4 2 2 2 5 2 3" xfId="12554" xr:uid="{4DA31766-DE64-45D1-B868-C6C9780B0C24}"/>
    <cellStyle name="20% - Accent4 2 2 2 5 3" xfId="6185" xr:uid="{00000000-0005-0000-0000-0000F4010000}"/>
    <cellStyle name="20% - Accent4 2 2 2 5 3 2" xfId="14627" xr:uid="{432816B7-F684-4968-8221-C5C21E7F6F7B}"/>
    <cellStyle name="20% - Accent4 2 2 2 5 4" xfId="10409" xr:uid="{895EAD0C-3230-460C-AB35-6A15F4D3A4E0}"/>
    <cellStyle name="20% - Accent4 2 2 2 6" xfId="2291" xr:uid="{00000000-0005-0000-0000-0000F5010000}"/>
    <cellStyle name="20% - Accent4 2 2 2 6 2" xfId="6598" xr:uid="{00000000-0005-0000-0000-0000F6010000}"/>
    <cellStyle name="20% - Accent4 2 2 2 6 2 2" xfId="15040" xr:uid="{6415E1A7-0AB8-4D83-9044-05A956254553}"/>
    <cellStyle name="20% - Accent4 2 2 2 6 3" xfId="10822" xr:uid="{29E238EF-E8C7-46F3-80AB-87CC40E55158}"/>
    <cellStyle name="20% - Accent4 2 2 2 7" xfId="4532" xr:uid="{00000000-0005-0000-0000-0000F7010000}"/>
    <cellStyle name="20% - Accent4 2 2 2 7 2" xfId="12974" xr:uid="{D808C115-E088-40C3-AC96-11D1E3C84EE3}"/>
    <cellStyle name="20% - Accent4 2 2 2 8" xfId="8756" xr:uid="{3EC73025-832B-4979-AF41-C23CAEB8B327}"/>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C9D3BE23-8B6C-4CF2-BAA3-CAB5111E8C58}"/>
    <cellStyle name="20% - Accent4 2 2 3 2 3" xfId="11314" xr:uid="{C58D3C10-4003-447F-BD18-937AB6499B5E}"/>
    <cellStyle name="20% - Accent4 2 2 3 3" xfId="4945" xr:uid="{00000000-0005-0000-0000-0000FB010000}"/>
    <cellStyle name="20% - Accent4 2 2 3 3 2" xfId="13387" xr:uid="{B1A45E52-868E-47BF-9EF2-16E3B4F9F44D}"/>
    <cellStyle name="20% - Accent4 2 2 3 4" xfId="9169" xr:uid="{4548C5AB-158C-4E83-9C4C-835368AB3F8B}"/>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5937D59A-59FF-47AA-9CCA-B589E2330B45}"/>
    <cellStyle name="20% - Accent4 2 2 4 2 3" xfId="11727" xr:uid="{B266010D-CB43-4F26-9739-3699281827BC}"/>
    <cellStyle name="20% - Accent4 2 2 4 3" xfId="5358" xr:uid="{00000000-0005-0000-0000-0000FF010000}"/>
    <cellStyle name="20% - Accent4 2 2 4 3 2" xfId="13800" xr:uid="{0EDDAD92-FFC4-4D52-8361-972B6D326715}"/>
    <cellStyle name="20% - Accent4 2 2 4 4" xfId="9582" xr:uid="{C530E780-CBDF-4D93-9D99-D0BAA4FEFCB4}"/>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D3C30CC5-525D-4453-B538-2DAA87A5B2C8}"/>
    <cellStyle name="20% - Accent4 2 2 5 2 3" xfId="12140" xr:uid="{952D56C3-9E82-4E8F-9607-9B7AFA0EF30C}"/>
    <cellStyle name="20% - Accent4 2 2 5 3" xfId="5771" xr:uid="{00000000-0005-0000-0000-000003020000}"/>
    <cellStyle name="20% - Accent4 2 2 5 3 2" xfId="14213" xr:uid="{B2FC2DF9-6C6B-46A0-AD54-F762DE210063}"/>
    <cellStyle name="20% - Accent4 2 2 5 4" xfId="9995" xr:uid="{1B63460E-8741-4A3F-BA1C-BDEBCF9B9DAB}"/>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7FEFB827-95D0-427F-B62C-693139D1BD09}"/>
    <cellStyle name="20% - Accent4 2 2 6 2 3" xfId="12553" xr:uid="{17CFDB53-7AF3-406A-A8C5-D8968535A872}"/>
    <cellStyle name="20% - Accent4 2 2 6 3" xfId="6184" xr:uid="{00000000-0005-0000-0000-000007020000}"/>
    <cellStyle name="20% - Accent4 2 2 6 3 2" xfId="14626" xr:uid="{D7D78FE1-6ADA-48D3-957E-B81768651E09}"/>
    <cellStyle name="20% - Accent4 2 2 6 4" xfId="10408" xr:uid="{6FA0E725-6068-41F8-837E-A798AC5D8FB5}"/>
    <cellStyle name="20% - Accent4 2 2 7" xfId="2290" xr:uid="{00000000-0005-0000-0000-000008020000}"/>
    <cellStyle name="20% - Accent4 2 2 7 2" xfId="6597" xr:uid="{00000000-0005-0000-0000-000009020000}"/>
    <cellStyle name="20% - Accent4 2 2 7 2 2" xfId="15039" xr:uid="{FBB8A92D-A6BA-47EF-8B53-B2A6B3EBE312}"/>
    <cellStyle name="20% - Accent4 2 2 7 3" xfId="10821" xr:uid="{4631AA83-1813-4393-BB85-63050A0DFDB0}"/>
    <cellStyle name="20% - Accent4 2 2 8" xfId="4531" xr:uid="{00000000-0005-0000-0000-00000A020000}"/>
    <cellStyle name="20% - Accent4 2 2 8 2" xfId="12973" xr:uid="{46E6408B-EE75-4B6D-8A81-4AF3CBCE148D}"/>
    <cellStyle name="20% - Accent4 2 2 9" xfId="8755" xr:uid="{A1B26E8E-B5A3-4CB9-BCF1-69A7EA997D1E}"/>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059EA641-5CBA-453A-B408-B471C3C03666}"/>
    <cellStyle name="20% - Accent4 2 3 2 2 3" xfId="11316" xr:uid="{90365854-C44C-49A1-8FD7-340251C17971}"/>
    <cellStyle name="20% - Accent4 2 3 2 3" xfId="4947" xr:uid="{00000000-0005-0000-0000-00000F020000}"/>
    <cellStyle name="20% - Accent4 2 3 2 3 2" xfId="13389" xr:uid="{4091ABAF-7E4E-47A4-B6CA-4C2AD72ECCF0}"/>
    <cellStyle name="20% - Accent4 2 3 2 4" xfId="9171" xr:uid="{7CB5C150-3B4F-4F56-9652-DAF438A31C65}"/>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2F841DE9-B95D-46E2-8335-9A6DCB1081CB}"/>
    <cellStyle name="20% - Accent4 2 3 3 2 3" xfId="11729" xr:uid="{E935F07E-AB08-4027-982F-E18C3DC34815}"/>
    <cellStyle name="20% - Accent4 2 3 3 3" xfId="5360" xr:uid="{00000000-0005-0000-0000-000013020000}"/>
    <cellStyle name="20% - Accent4 2 3 3 3 2" xfId="13802" xr:uid="{562A8C35-7247-4D1F-9298-6481A49AFA0A}"/>
    <cellStyle name="20% - Accent4 2 3 3 4" xfId="9584" xr:uid="{382AEC94-1533-4C5E-8A36-5153B7676CE4}"/>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6ED7A6F0-A5A5-42DB-86AD-620DB05CE244}"/>
    <cellStyle name="20% - Accent4 2 3 4 2 3" xfId="12142" xr:uid="{FF51A105-E60F-49D4-AB78-8D9758DA7CB0}"/>
    <cellStyle name="20% - Accent4 2 3 4 3" xfId="5773" xr:uid="{00000000-0005-0000-0000-000017020000}"/>
    <cellStyle name="20% - Accent4 2 3 4 3 2" xfId="14215" xr:uid="{E876B98C-6F6B-4BDE-BD1E-AB32E865824F}"/>
    <cellStyle name="20% - Accent4 2 3 4 4" xfId="9997" xr:uid="{3C7DCED5-2585-427A-912C-B74548B7E528}"/>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4AFFEA7E-5E70-4F47-9428-3FEF9DBB084D}"/>
    <cellStyle name="20% - Accent4 2 3 5 2 3" xfId="12555" xr:uid="{AC0594B5-20E9-4B5A-821B-C25F13A94B77}"/>
    <cellStyle name="20% - Accent4 2 3 5 3" xfId="6186" xr:uid="{00000000-0005-0000-0000-00001B020000}"/>
    <cellStyle name="20% - Accent4 2 3 5 3 2" xfId="14628" xr:uid="{7F5F1942-9CFD-476C-8326-FC78874C6AFF}"/>
    <cellStyle name="20% - Accent4 2 3 5 4" xfId="10410" xr:uid="{E146CF6E-8818-401E-9614-D898FE670F55}"/>
    <cellStyle name="20% - Accent4 2 3 6" xfId="2292" xr:uid="{00000000-0005-0000-0000-00001C020000}"/>
    <cellStyle name="20% - Accent4 2 3 6 2" xfId="6599" xr:uid="{00000000-0005-0000-0000-00001D020000}"/>
    <cellStyle name="20% - Accent4 2 3 6 2 2" xfId="15041" xr:uid="{6704F96C-1A49-4E42-ACEC-76EEBBC7B08C}"/>
    <cellStyle name="20% - Accent4 2 3 6 3" xfId="10823" xr:uid="{9F642112-90DE-4CA5-8A6D-9691D0019F88}"/>
    <cellStyle name="20% - Accent4 2 3 7" xfId="4533" xr:uid="{00000000-0005-0000-0000-00001E020000}"/>
    <cellStyle name="20% - Accent4 2 3 7 2" xfId="12975" xr:uid="{0C66A1EA-22F0-4C48-9316-72468F7EC641}"/>
    <cellStyle name="20% - Accent4 2 3 8" xfId="8757" xr:uid="{2D337487-37AC-412F-871F-CE817B4371E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E507767A-962B-4E38-A29D-877016610515}"/>
    <cellStyle name="20% - Accent4 2 4 2 3" xfId="11313" xr:uid="{946ADA86-B131-4482-9707-606D6D5770AE}"/>
    <cellStyle name="20% - Accent4 2 4 3" xfId="4944" xr:uid="{00000000-0005-0000-0000-000022020000}"/>
    <cellStyle name="20% - Accent4 2 4 3 2" xfId="13386" xr:uid="{FB187E0E-F0E8-4176-8731-E9A5E82596B4}"/>
    <cellStyle name="20% - Accent4 2 4 4" xfId="9168" xr:uid="{8AF1D907-7E39-4354-9F58-1F66452B1C4F}"/>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FD46FD00-0145-4F5A-8B24-2A3DC73F33BA}"/>
    <cellStyle name="20% - Accent4 2 5 2 3" xfId="11726" xr:uid="{3E05F6E8-2D41-4770-89F1-C10F8A915197}"/>
    <cellStyle name="20% - Accent4 2 5 3" xfId="5357" xr:uid="{00000000-0005-0000-0000-000026020000}"/>
    <cellStyle name="20% - Accent4 2 5 3 2" xfId="13799" xr:uid="{0BE1A48E-35BB-4410-B63C-8605D46F97C7}"/>
    <cellStyle name="20% - Accent4 2 5 4" xfId="9581" xr:uid="{2007F258-DD13-4C3E-BB2F-0ABD2F724EBA}"/>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01F72BEB-ADC3-47F7-AAD7-7FF7DB2C8406}"/>
    <cellStyle name="20% - Accent4 2 6 2 3" xfId="12139" xr:uid="{61222794-30CD-4A63-B7CE-ADC9E446FB84}"/>
    <cellStyle name="20% - Accent4 2 6 3" xfId="5770" xr:uid="{00000000-0005-0000-0000-00002A020000}"/>
    <cellStyle name="20% - Accent4 2 6 3 2" xfId="14212" xr:uid="{91B1EAD8-0C42-4266-805D-C5FC0D9024EB}"/>
    <cellStyle name="20% - Accent4 2 6 4" xfId="9994" xr:uid="{5EFDE5D6-A7D1-4E35-BE97-0627A38AE5B2}"/>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1AE70EDE-BB16-4882-9296-2477AE0406F2}"/>
    <cellStyle name="20% - Accent4 2 7 2 3" xfId="12552" xr:uid="{73985870-1615-4836-B2B3-CA2B25C83B9E}"/>
    <cellStyle name="20% - Accent4 2 7 3" xfId="6183" xr:uid="{00000000-0005-0000-0000-00002E020000}"/>
    <cellStyle name="20% - Accent4 2 7 3 2" xfId="14625" xr:uid="{BBDEC916-5986-4000-A1DE-BFEB6C40D624}"/>
    <cellStyle name="20% - Accent4 2 7 4" xfId="10407" xr:uid="{DAC95BE5-1795-4814-A6C8-7541E183FC33}"/>
    <cellStyle name="20% - Accent4 2 8" xfId="2289" xr:uid="{00000000-0005-0000-0000-00002F020000}"/>
    <cellStyle name="20% - Accent4 2 8 2" xfId="6596" xr:uid="{00000000-0005-0000-0000-000030020000}"/>
    <cellStyle name="20% - Accent4 2 8 2 2" xfId="15038" xr:uid="{780F1BD2-0CAB-43D5-9C73-EF9155AC028F}"/>
    <cellStyle name="20% - Accent4 2 8 3" xfId="10820" xr:uid="{AB0EE7FD-F8AE-4D43-A75C-253EA25E0B67}"/>
    <cellStyle name="20% - Accent4 2 9" xfId="4530" xr:uid="{00000000-0005-0000-0000-000031020000}"/>
    <cellStyle name="20% - Accent4 2 9 2" xfId="12972" xr:uid="{0E41D9A8-F860-4F85-8ACE-B07D010573F8}"/>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E7F08E71-040A-4085-A450-4655977E04CB}"/>
    <cellStyle name="20% - Accent4 3 2 2 2 3" xfId="11318" xr:uid="{4FCED9E9-2D5C-421F-B63E-8D95E4796010}"/>
    <cellStyle name="20% - Accent4 3 2 2 3" xfId="4949" xr:uid="{00000000-0005-0000-0000-000037020000}"/>
    <cellStyle name="20% - Accent4 3 2 2 3 2" xfId="13391" xr:uid="{B9BB0313-009A-43CB-AB56-D7405CBDFEE1}"/>
    <cellStyle name="20% - Accent4 3 2 2 4" xfId="9173" xr:uid="{A012D91F-4C8D-464F-AC68-6B3A4B58673A}"/>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9778AAF-A203-48E6-B675-1F948E9C9D5D}"/>
    <cellStyle name="20% - Accent4 3 2 3 2 3" xfId="11731" xr:uid="{3B63A59C-CC19-4EBC-A026-67F325C75E31}"/>
    <cellStyle name="20% - Accent4 3 2 3 3" xfId="5362" xr:uid="{00000000-0005-0000-0000-00003B020000}"/>
    <cellStyle name="20% - Accent4 3 2 3 3 2" xfId="13804" xr:uid="{1C92E914-48C3-443C-A4FF-96D4DB08372F}"/>
    <cellStyle name="20% - Accent4 3 2 3 4" xfId="9586" xr:uid="{1784917A-0306-4B7B-BD72-0BCD64A6E4D0}"/>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0823C289-2219-4DD7-9E93-64881CB5F2EA}"/>
    <cellStyle name="20% - Accent4 3 2 4 2 3" xfId="12144" xr:uid="{F3FF4EB1-8183-4A4D-ABE5-6441A088EC9F}"/>
    <cellStyle name="20% - Accent4 3 2 4 3" xfId="5775" xr:uid="{00000000-0005-0000-0000-00003F020000}"/>
    <cellStyle name="20% - Accent4 3 2 4 3 2" xfId="14217" xr:uid="{1E2434DD-B36D-457E-8D49-93802EB021F4}"/>
    <cellStyle name="20% - Accent4 3 2 4 4" xfId="9999" xr:uid="{B914D285-693F-48DA-ABFB-F1C5EF4D6505}"/>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0C4CAEC7-B261-4DA9-9905-CEDA6A170498}"/>
    <cellStyle name="20% - Accent4 3 2 5 2 3" xfId="12557" xr:uid="{AE474A75-C819-445D-B3EB-AFE008F39A39}"/>
    <cellStyle name="20% - Accent4 3 2 5 3" xfId="6188" xr:uid="{00000000-0005-0000-0000-000043020000}"/>
    <cellStyle name="20% - Accent4 3 2 5 3 2" xfId="14630" xr:uid="{64F84717-F6C0-47E6-BEC3-458A7EB92B52}"/>
    <cellStyle name="20% - Accent4 3 2 5 4" xfId="10412" xr:uid="{048A7C97-E921-407B-A45D-C91E0B9B7373}"/>
    <cellStyle name="20% - Accent4 3 2 6" xfId="2294" xr:uid="{00000000-0005-0000-0000-000044020000}"/>
    <cellStyle name="20% - Accent4 3 2 6 2" xfId="6601" xr:uid="{00000000-0005-0000-0000-000045020000}"/>
    <cellStyle name="20% - Accent4 3 2 6 2 2" xfId="15043" xr:uid="{8A2A85E1-3C1C-4F7B-B832-47DE1783B206}"/>
    <cellStyle name="20% - Accent4 3 2 6 3" xfId="10825" xr:uid="{33487E12-6303-45DB-9857-7EF891AF8966}"/>
    <cellStyle name="20% - Accent4 3 2 7" xfId="4535" xr:uid="{00000000-0005-0000-0000-000046020000}"/>
    <cellStyle name="20% - Accent4 3 2 7 2" xfId="12977" xr:uid="{E62702D2-0FD9-4783-BA41-399213AF6AD4}"/>
    <cellStyle name="20% - Accent4 3 2 8" xfId="8759" xr:uid="{425408CE-7521-494C-87D7-C4836C5B9363}"/>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4990FF97-92CF-44E0-8193-1279CABA5780}"/>
    <cellStyle name="20% - Accent4 3 3 2 3" xfId="11317" xr:uid="{A91D4025-1F25-4102-A6B0-CC80B76BEE4B}"/>
    <cellStyle name="20% - Accent4 3 3 3" xfId="4948" xr:uid="{00000000-0005-0000-0000-00004A020000}"/>
    <cellStyle name="20% - Accent4 3 3 3 2" xfId="13390" xr:uid="{449B5CD7-6777-430E-895E-F90C9BA21BFF}"/>
    <cellStyle name="20% - Accent4 3 3 4" xfId="9172" xr:uid="{9D0A7D70-21F2-432F-9C2F-91701578BB71}"/>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5FDEBECF-BB19-4F8F-89E1-EC1A841B6BB1}"/>
    <cellStyle name="20% - Accent4 3 4 2 3" xfId="11730" xr:uid="{A5E7EFEC-4D58-47FE-9108-17E6FD162956}"/>
    <cellStyle name="20% - Accent4 3 4 3" xfId="5361" xr:uid="{00000000-0005-0000-0000-00004E020000}"/>
    <cellStyle name="20% - Accent4 3 4 3 2" xfId="13803" xr:uid="{B1731AB8-D803-4AC4-9926-345B56AD5EA9}"/>
    <cellStyle name="20% - Accent4 3 4 4" xfId="9585" xr:uid="{3AE8E368-DD65-4466-B2F5-D01EEAA3EEAF}"/>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6ED6EE4A-75D7-4658-B681-F1F2B6414BEA}"/>
    <cellStyle name="20% - Accent4 3 5 2 3" xfId="12143" xr:uid="{BBFBF596-61DC-4881-B878-DC6D5160802D}"/>
    <cellStyle name="20% - Accent4 3 5 3" xfId="5774" xr:uid="{00000000-0005-0000-0000-000052020000}"/>
    <cellStyle name="20% - Accent4 3 5 3 2" xfId="14216" xr:uid="{AD18008F-26EF-47D5-9E12-E9B44BF8AC75}"/>
    <cellStyle name="20% - Accent4 3 5 4" xfId="9998" xr:uid="{0A237EC7-71D6-4044-923F-01FCDA655F66}"/>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30EEF5AF-7B4C-41CA-9376-06ACA88678AA}"/>
    <cellStyle name="20% - Accent4 3 6 2 3" xfId="12556" xr:uid="{47D8A180-137A-4ED4-84FE-3FABF3161999}"/>
    <cellStyle name="20% - Accent4 3 6 3" xfId="6187" xr:uid="{00000000-0005-0000-0000-000056020000}"/>
    <cellStyle name="20% - Accent4 3 6 3 2" xfId="14629" xr:uid="{911BA81A-93F6-4684-9B03-DB5672EF1C9D}"/>
    <cellStyle name="20% - Accent4 3 6 4" xfId="10411" xr:uid="{7076D52D-D2E2-48C8-8C79-C352277CA44E}"/>
    <cellStyle name="20% - Accent4 3 7" xfId="2293" xr:uid="{00000000-0005-0000-0000-000057020000}"/>
    <cellStyle name="20% - Accent4 3 7 2" xfId="6600" xr:uid="{00000000-0005-0000-0000-000058020000}"/>
    <cellStyle name="20% - Accent4 3 7 2 2" xfId="15042" xr:uid="{8A9CC8C6-9CF8-4AE3-9363-A150B254BD9A}"/>
    <cellStyle name="20% - Accent4 3 7 3" xfId="10824" xr:uid="{58B5AE53-A1CE-48C6-A8FE-B5C081C0FB5D}"/>
    <cellStyle name="20% - Accent4 3 8" xfId="4534" xr:uid="{00000000-0005-0000-0000-000059020000}"/>
    <cellStyle name="20% - Accent4 3 8 2" xfId="12976" xr:uid="{CEC77B9A-0717-4D99-8DC7-21C0DA24F299}"/>
    <cellStyle name="20% - Accent4 3 9" xfId="8758" xr:uid="{A6CBB04C-1F5A-4A81-9FBA-DCA7270EC9FC}"/>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3166383C-C5D0-425F-B67D-34A250B82DB1}"/>
    <cellStyle name="20% - Accent4 4 2 2 3" xfId="11319" xr:uid="{6782CF47-DE55-4168-A165-5160BFB9195A}"/>
    <cellStyle name="20% - Accent4 4 2 3" xfId="4950" xr:uid="{00000000-0005-0000-0000-00005E020000}"/>
    <cellStyle name="20% - Accent4 4 2 3 2" xfId="13392" xr:uid="{2C5DBBD7-8847-4400-94CA-5C56D05D105E}"/>
    <cellStyle name="20% - Accent4 4 2 4" xfId="9174" xr:uid="{A405B5E5-DC39-4971-A299-FDF6893BD893}"/>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A54E85EA-C9D1-42BB-8A9E-4FC264DC5868}"/>
    <cellStyle name="20% - Accent4 4 3 2 3" xfId="11732" xr:uid="{EBFD6007-C7C7-4B32-85A1-1328BA3605F2}"/>
    <cellStyle name="20% - Accent4 4 3 3" xfId="5363" xr:uid="{00000000-0005-0000-0000-000062020000}"/>
    <cellStyle name="20% - Accent4 4 3 3 2" xfId="13805" xr:uid="{E92AB175-AF78-4F47-B047-EA50C5A34D2F}"/>
    <cellStyle name="20% - Accent4 4 3 4" xfId="9587" xr:uid="{7E86B4A7-B7B4-4A0E-B79B-5689DB71CA92}"/>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5037EE1E-4AFF-435B-A593-D2AACFBDFEB7}"/>
    <cellStyle name="20% - Accent4 4 4 2 3" xfId="12145" xr:uid="{4EE4000D-40A8-4E0C-BF4D-9DCED90C973A}"/>
    <cellStyle name="20% - Accent4 4 4 3" xfId="5776" xr:uid="{00000000-0005-0000-0000-000066020000}"/>
    <cellStyle name="20% - Accent4 4 4 3 2" xfId="14218" xr:uid="{2E5AAE9C-2FCC-4858-8346-51516ABE9A32}"/>
    <cellStyle name="20% - Accent4 4 4 4" xfId="10000" xr:uid="{4721E557-A363-4D69-878F-A75E82EEC01A}"/>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BCD76E04-4870-4E23-8BCE-4F57FDDF6857}"/>
    <cellStyle name="20% - Accent4 4 5 2 3" xfId="12558" xr:uid="{35266B83-9D33-4C5A-ADA3-BCE6053EA66F}"/>
    <cellStyle name="20% - Accent4 4 5 3" xfId="6189" xr:uid="{00000000-0005-0000-0000-00006A020000}"/>
    <cellStyle name="20% - Accent4 4 5 3 2" xfId="14631" xr:uid="{1DBF8FA7-6982-4B99-9C9A-D4641A6F54AC}"/>
    <cellStyle name="20% - Accent4 4 5 4" xfId="10413" xr:uid="{68E7F272-E3FB-4284-96A6-1EF013197385}"/>
    <cellStyle name="20% - Accent4 4 6" xfId="2295" xr:uid="{00000000-0005-0000-0000-00006B020000}"/>
    <cellStyle name="20% - Accent4 4 6 2" xfId="6602" xr:uid="{00000000-0005-0000-0000-00006C020000}"/>
    <cellStyle name="20% - Accent4 4 6 2 2" xfId="15044" xr:uid="{F8DA94E4-C20F-4B04-9385-AFACCC84DC93}"/>
    <cellStyle name="20% - Accent4 4 6 3" xfId="10826" xr:uid="{C2E00560-9414-4D72-970D-AF4B1F360CCF}"/>
    <cellStyle name="20% - Accent4 4 7" xfId="4536" xr:uid="{00000000-0005-0000-0000-00006D020000}"/>
    <cellStyle name="20% - Accent4 4 7 2" xfId="12978" xr:uid="{C94BCC08-4F3C-4699-8D8C-37879EF75517}"/>
    <cellStyle name="20% - Accent4 4 8" xfId="8760" xr:uid="{14669F94-A279-4599-9F73-FBAB005954DF}"/>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5B46644C-4001-4F11-9DC2-64028AA7A3EA}"/>
    <cellStyle name="20% - Accent4 5 2 3" xfId="11312" xr:uid="{D8D27F02-99A1-48A9-84B9-93D3EEABF5C6}"/>
    <cellStyle name="20% - Accent4 5 3" xfId="4943" xr:uid="{00000000-0005-0000-0000-000071020000}"/>
    <cellStyle name="20% - Accent4 5 3 2" xfId="13385" xr:uid="{6DA66B21-7ACB-4546-995F-865CBCF0958A}"/>
    <cellStyle name="20% - Accent4 5 4" xfId="9167" xr:uid="{4F4370AD-5114-40DC-9B7F-7CC01191FDD5}"/>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AD11D3F8-4B2D-49EA-A501-CED6EE07DD40}"/>
    <cellStyle name="20% - Accent4 6 2 3" xfId="11725" xr:uid="{9347E9D5-37E9-4B66-9D68-BD0882E24659}"/>
    <cellStyle name="20% - Accent4 6 3" xfId="5356" xr:uid="{00000000-0005-0000-0000-000075020000}"/>
    <cellStyle name="20% - Accent4 6 3 2" xfId="13798" xr:uid="{25BF4C4B-EE04-4E63-9A6C-2317EDECE681}"/>
    <cellStyle name="20% - Accent4 6 4" xfId="9580" xr:uid="{5121CFDD-6D77-4CAD-BC56-8FFD8366071D}"/>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3F37CA71-8016-4F30-8348-714DCCB63E4E}"/>
    <cellStyle name="20% - Accent4 7 2 3" xfId="12138" xr:uid="{4D4B403A-EE17-43EF-B7AE-D1380194630F}"/>
    <cellStyle name="20% - Accent4 7 3" xfId="5769" xr:uid="{00000000-0005-0000-0000-000079020000}"/>
    <cellStyle name="20% - Accent4 7 3 2" xfId="14211" xr:uid="{7463C032-4232-4F3F-9914-C5C228179BDA}"/>
    <cellStyle name="20% - Accent4 7 4" xfId="9993" xr:uid="{182A1344-70B8-4B51-BD7B-BEBAFFC118C8}"/>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9E6ACAB8-C3D8-4497-BC53-9128CAB1335C}"/>
    <cellStyle name="20% - Accent4 8 2 3" xfId="12551" xr:uid="{776E1089-BFA7-4B5B-BB00-463E2740F0EC}"/>
    <cellStyle name="20% - Accent4 8 3" xfId="6182" xr:uid="{00000000-0005-0000-0000-00007D020000}"/>
    <cellStyle name="20% - Accent4 8 3 2" xfId="14624" xr:uid="{FD144C0E-4B45-46F4-A966-1FE8520F1C54}"/>
    <cellStyle name="20% - Accent4 8 4" xfId="10406" xr:uid="{B5DF2B38-E069-460A-8C0A-215603CE152C}"/>
    <cellStyle name="20% - Accent4 9" xfId="2288" xr:uid="{00000000-0005-0000-0000-00007E020000}"/>
    <cellStyle name="20% - Accent4 9 2" xfId="6595" xr:uid="{00000000-0005-0000-0000-00007F020000}"/>
    <cellStyle name="20% - Accent4 9 2 2" xfId="15037" xr:uid="{74835964-3E10-4757-9F63-3399AA88B240}"/>
    <cellStyle name="20% - Accent4 9 3" xfId="10819" xr:uid="{B50BF27F-F9D6-4607-894E-B6FAB3808437}"/>
    <cellStyle name="20% - Accent5" xfId="33" builtinId="46" customBuiltin="1"/>
    <cellStyle name="20% - Accent5 10" xfId="4537" xr:uid="{00000000-0005-0000-0000-000081020000}"/>
    <cellStyle name="20% - Accent5 10 2" xfId="12979" xr:uid="{9C5F2E76-262B-493D-9577-D1D085052A03}"/>
    <cellStyle name="20% - Accent5 11" xfId="8761" xr:uid="{178B7D18-A1A8-4E4A-B9AE-D70DC67D018C}"/>
    <cellStyle name="20% - Accent5 2" xfId="34" xr:uid="{00000000-0005-0000-0000-000082020000}"/>
    <cellStyle name="20% - Accent5 2 10" xfId="8762" xr:uid="{87BC2981-4DAF-4708-AAF1-9B0F44CF04D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96330FC3-80C7-4CBE-8BBA-AA7DCDB94DC3}"/>
    <cellStyle name="20% - Accent5 2 2 2 2 2 3" xfId="11323" xr:uid="{FFB2D1BC-9A55-4665-B69A-EA72DC98B274}"/>
    <cellStyle name="20% - Accent5 2 2 2 2 3" xfId="4954" xr:uid="{00000000-0005-0000-0000-000088020000}"/>
    <cellStyle name="20% - Accent5 2 2 2 2 3 2" xfId="13396" xr:uid="{ECC9D72A-AC61-478D-900D-778283032A87}"/>
    <cellStyle name="20% - Accent5 2 2 2 2 4" xfId="9178" xr:uid="{A3A313E7-9F16-420C-ACCD-941B5CE9176B}"/>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B73C713F-465A-4EB9-8C00-DEB79544650E}"/>
    <cellStyle name="20% - Accent5 2 2 2 3 2 3" xfId="11736" xr:uid="{44C488A8-6560-4073-A1E0-5E2D14A9C756}"/>
    <cellStyle name="20% - Accent5 2 2 2 3 3" xfId="5367" xr:uid="{00000000-0005-0000-0000-00008C020000}"/>
    <cellStyle name="20% - Accent5 2 2 2 3 3 2" xfId="13809" xr:uid="{75B877AE-77D7-4B3F-9BB5-ED6FBC014FF5}"/>
    <cellStyle name="20% - Accent5 2 2 2 3 4" xfId="9591" xr:uid="{0C001B88-2F89-4462-8816-95D134CAAD07}"/>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085FDDEC-2AB9-4B0D-8824-BAF556FAE230}"/>
    <cellStyle name="20% - Accent5 2 2 2 4 2 3" xfId="12149" xr:uid="{53CE6109-2616-43AC-B1D3-DB724498A753}"/>
    <cellStyle name="20% - Accent5 2 2 2 4 3" xfId="5780" xr:uid="{00000000-0005-0000-0000-000090020000}"/>
    <cellStyle name="20% - Accent5 2 2 2 4 3 2" xfId="14222" xr:uid="{AB0A4EF1-7099-445D-AB66-139795B81351}"/>
    <cellStyle name="20% - Accent5 2 2 2 4 4" xfId="10004" xr:uid="{6F390629-027E-4461-B0B0-4C7CBBF0FB74}"/>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26DB12A4-F7A7-4469-B22E-4178AD9294B0}"/>
    <cellStyle name="20% - Accent5 2 2 2 5 2 3" xfId="12562" xr:uid="{0AC6CD6A-175D-4A89-9295-73D501F362A8}"/>
    <cellStyle name="20% - Accent5 2 2 2 5 3" xfId="6193" xr:uid="{00000000-0005-0000-0000-000094020000}"/>
    <cellStyle name="20% - Accent5 2 2 2 5 3 2" xfId="14635" xr:uid="{AB501D80-8DB9-49EE-97A5-996F19EF62FB}"/>
    <cellStyle name="20% - Accent5 2 2 2 5 4" xfId="10417" xr:uid="{A4D2957A-1454-4003-B0FE-B4C3C60C62C2}"/>
    <cellStyle name="20% - Accent5 2 2 2 6" xfId="2299" xr:uid="{00000000-0005-0000-0000-000095020000}"/>
    <cellStyle name="20% - Accent5 2 2 2 6 2" xfId="6606" xr:uid="{00000000-0005-0000-0000-000096020000}"/>
    <cellStyle name="20% - Accent5 2 2 2 6 2 2" xfId="15048" xr:uid="{FD248B81-35F0-4ADD-A202-1D5D6E9CB4A4}"/>
    <cellStyle name="20% - Accent5 2 2 2 6 3" xfId="10830" xr:uid="{CF04BE90-0DC4-498D-B3B9-805436C66DFA}"/>
    <cellStyle name="20% - Accent5 2 2 2 7" xfId="4540" xr:uid="{00000000-0005-0000-0000-000097020000}"/>
    <cellStyle name="20% - Accent5 2 2 2 7 2" xfId="12982" xr:uid="{4651AF3E-AC26-4439-AA5E-7F0F40387D10}"/>
    <cellStyle name="20% - Accent5 2 2 2 8" xfId="8764" xr:uid="{9050749F-0DF4-4B4A-BD87-A388CF5CA99D}"/>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46B95482-64EC-4D83-925F-17654F19DACE}"/>
    <cellStyle name="20% - Accent5 2 2 3 2 3" xfId="11322" xr:uid="{122E7C80-E17D-42C2-8D95-0DE2100B4756}"/>
    <cellStyle name="20% - Accent5 2 2 3 3" xfId="4953" xr:uid="{00000000-0005-0000-0000-00009B020000}"/>
    <cellStyle name="20% - Accent5 2 2 3 3 2" xfId="13395" xr:uid="{4BEEEFFF-2EC4-49EB-8B8A-89574A67D085}"/>
    <cellStyle name="20% - Accent5 2 2 3 4" xfId="9177" xr:uid="{710D8A58-91BE-4825-B600-D9277634E40A}"/>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4E389516-CDAD-4739-B87D-FD004CF016D3}"/>
    <cellStyle name="20% - Accent5 2 2 4 2 3" xfId="11735" xr:uid="{5F787BB6-8E5F-4484-998C-F2E7B6097C7E}"/>
    <cellStyle name="20% - Accent5 2 2 4 3" xfId="5366" xr:uid="{00000000-0005-0000-0000-00009F020000}"/>
    <cellStyle name="20% - Accent5 2 2 4 3 2" xfId="13808" xr:uid="{BC48B939-3234-4E45-B157-5960A263F82A}"/>
    <cellStyle name="20% - Accent5 2 2 4 4" xfId="9590" xr:uid="{AC26C8F9-F86C-48CA-8E80-5A88B0377CC6}"/>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83319EC2-CF95-4EDE-8855-75FEEA6C63A5}"/>
    <cellStyle name="20% - Accent5 2 2 5 2 3" xfId="12148" xr:uid="{F1CCA423-694F-4335-930B-BC238AE92D53}"/>
    <cellStyle name="20% - Accent5 2 2 5 3" xfId="5779" xr:uid="{00000000-0005-0000-0000-0000A3020000}"/>
    <cellStyle name="20% - Accent5 2 2 5 3 2" xfId="14221" xr:uid="{330A3B46-E5A7-4E69-BBAE-FDA30E73A629}"/>
    <cellStyle name="20% - Accent5 2 2 5 4" xfId="10003" xr:uid="{1CBCBC23-59BB-43DE-9032-AA4A2D9EC759}"/>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9E045FCF-B9FA-4AF4-8B2E-9EEB481E6744}"/>
    <cellStyle name="20% - Accent5 2 2 6 2 3" xfId="12561" xr:uid="{0820EC19-4C81-4435-9AA7-5507FD33B459}"/>
    <cellStyle name="20% - Accent5 2 2 6 3" xfId="6192" xr:uid="{00000000-0005-0000-0000-0000A7020000}"/>
    <cellStyle name="20% - Accent5 2 2 6 3 2" xfId="14634" xr:uid="{CF433F5B-F172-41DF-8D2F-E7474C91D25E}"/>
    <cellStyle name="20% - Accent5 2 2 6 4" xfId="10416" xr:uid="{6AC218A5-A742-40D2-8197-8520D39AA1A4}"/>
    <cellStyle name="20% - Accent5 2 2 7" xfId="2298" xr:uid="{00000000-0005-0000-0000-0000A8020000}"/>
    <cellStyle name="20% - Accent5 2 2 7 2" xfId="6605" xr:uid="{00000000-0005-0000-0000-0000A9020000}"/>
    <cellStyle name="20% - Accent5 2 2 7 2 2" xfId="15047" xr:uid="{7A1D3C89-799F-4F3F-9B2E-4EA451F04C8C}"/>
    <cellStyle name="20% - Accent5 2 2 7 3" xfId="10829" xr:uid="{07CDFD4F-9B29-451F-A4F1-B1FF2A6555FC}"/>
    <cellStyle name="20% - Accent5 2 2 8" xfId="4539" xr:uid="{00000000-0005-0000-0000-0000AA020000}"/>
    <cellStyle name="20% - Accent5 2 2 8 2" xfId="12981" xr:uid="{37F0956E-DF1E-4D65-B8CA-9821BB8505D7}"/>
    <cellStyle name="20% - Accent5 2 2 9" xfId="8763" xr:uid="{9B2A5102-BFF4-4207-B638-0CE25FA9EED4}"/>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43A55FF5-AE2A-4158-A584-7ACE83ED0AD7}"/>
    <cellStyle name="20% - Accent5 2 3 2 2 3" xfId="11324" xr:uid="{ED239BD2-A0B3-4B8A-88B4-0649D82FA0AE}"/>
    <cellStyle name="20% - Accent5 2 3 2 3" xfId="4955" xr:uid="{00000000-0005-0000-0000-0000AF020000}"/>
    <cellStyle name="20% - Accent5 2 3 2 3 2" xfId="13397" xr:uid="{AF7B7824-5EEC-4486-BA05-6821ACBDB988}"/>
    <cellStyle name="20% - Accent5 2 3 2 4" xfId="9179" xr:uid="{59E8ACE5-BBB2-4470-9C87-43D80E443537}"/>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C56A190D-159B-432A-97AC-02EEAE245184}"/>
    <cellStyle name="20% - Accent5 2 3 3 2 3" xfId="11737" xr:uid="{6633061B-3017-4E7B-9346-122810C2CEAC}"/>
    <cellStyle name="20% - Accent5 2 3 3 3" xfId="5368" xr:uid="{00000000-0005-0000-0000-0000B3020000}"/>
    <cellStyle name="20% - Accent5 2 3 3 3 2" xfId="13810" xr:uid="{C72ACB87-343C-4A7F-8EDD-AA18ABE07C53}"/>
    <cellStyle name="20% - Accent5 2 3 3 4" xfId="9592" xr:uid="{6EB0DB17-8309-4DC9-BBD4-55D5B5F907AF}"/>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6A881595-4F18-4B68-AFEE-FFA3D88F7D01}"/>
    <cellStyle name="20% - Accent5 2 3 4 2 3" xfId="12150" xr:uid="{E0BA575B-98DC-4A53-87E4-3934502BF403}"/>
    <cellStyle name="20% - Accent5 2 3 4 3" xfId="5781" xr:uid="{00000000-0005-0000-0000-0000B7020000}"/>
    <cellStyle name="20% - Accent5 2 3 4 3 2" xfId="14223" xr:uid="{052CAA48-40A6-4B0F-8F12-67A4E114FC52}"/>
    <cellStyle name="20% - Accent5 2 3 4 4" xfId="10005" xr:uid="{AB796F8F-85CE-4A36-8849-A33F24DE8E57}"/>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4A5160CF-3E94-4178-AC3D-355E6097DB30}"/>
    <cellStyle name="20% - Accent5 2 3 5 2 3" xfId="12563" xr:uid="{B5D30D09-F3C6-4255-921F-F02433CF6A17}"/>
    <cellStyle name="20% - Accent5 2 3 5 3" xfId="6194" xr:uid="{00000000-0005-0000-0000-0000BB020000}"/>
    <cellStyle name="20% - Accent5 2 3 5 3 2" xfId="14636" xr:uid="{179528BE-07FD-4B4D-AD42-BC66C4BF9FCF}"/>
    <cellStyle name="20% - Accent5 2 3 5 4" xfId="10418" xr:uid="{0C7A755B-D218-44A9-8096-6E551C110B67}"/>
    <cellStyle name="20% - Accent5 2 3 6" xfId="2300" xr:uid="{00000000-0005-0000-0000-0000BC020000}"/>
    <cellStyle name="20% - Accent5 2 3 6 2" xfId="6607" xr:uid="{00000000-0005-0000-0000-0000BD020000}"/>
    <cellStyle name="20% - Accent5 2 3 6 2 2" xfId="15049" xr:uid="{DB661939-D2B5-496C-917D-2D57B09829F7}"/>
    <cellStyle name="20% - Accent5 2 3 6 3" xfId="10831" xr:uid="{EACED0ED-4DA1-4556-AF2A-E656AA0E7797}"/>
    <cellStyle name="20% - Accent5 2 3 7" xfId="4541" xr:uid="{00000000-0005-0000-0000-0000BE020000}"/>
    <cellStyle name="20% - Accent5 2 3 7 2" xfId="12983" xr:uid="{EA2BAD72-0009-469F-937B-99E1F71F3C61}"/>
    <cellStyle name="20% - Accent5 2 3 8" xfId="8765" xr:uid="{7BCF13FB-40CF-4FFE-8444-8BCA5EAF3100}"/>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F70FC791-8BEC-45B7-869D-2462AFEB05A6}"/>
    <cellStyle name="20% - Accent5 2 4 2 3" xfId="11321" xr:uid="{FE810F61-3FAF-4108-B43D-AC60BB25E2CE}"/>
    <cellStyle name="20% - Accent5 2 4 3" xfId="4952" xr:uid="{00000000-0005-0000-0000-0000C2020000}"/>
    <cellStyle name="20% - Accent5 2 4 3 2" xfId="13394" xr:uid="{4C3E620D-07AE-4BA9-93CF-5D609B0037C8}"/>
    <cellStyle name="20% - Accent5 2 4 4" xfId="9176" xr:uid="{70B02144-658C-4B0B-A20C-173E374AE64C}"/>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2C5CA581-D4C5-4F8D-B89F-BDEC2CCD4EDD}"/>
    <cellStyle name="20% - Accent5 2 5 2 3" xfId="11734" xr:uid="{764DFF69-855D-4C3F-B106-1412574522D2}"/>
    <cellStyle name="20% - Accent5 2 5 3" xfId="5365" xr:uid="{00000000-0005-0000-0000-0000C6020000}"/>
    <cellStyle name="20% - Accent5 2 5 3 2" xfId="13807" xr:uid="{C537ED53-1F25-4B6A-B307-8C3D7AB55908}"/>
    <cellStyle name="20% - Accent5 2 5 4" xfId="9589" xr:uid="{28B4E167-C264-43C0-8E49-C271628EB5E8}"/>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0649CC63-00C2-4521-9B4C-9C90A5686014}"/>
    <cellStyle name="20% - Accent5 2 6 2 3" xfId="12147" xr:uid="{6C8E99AD-6ACF-4EA4-B9DA-A6C2C41DB735}"/>
    <cellStyle name="20% - Accent5 2 6 3" xfId="5778" xr:uid="{00000000-0005-0000-0000-0000CA020000}"/>
    <cellStyle name="20% - Accent5 2 6 3 2" xfId="14220" xr:uid="{7F379D76-0BE0-4EA0-B221-76ACCEA7EBCD}"/>
    <cellStyle name="20% - Accent5 2 6 4" xfId="10002" xr:uid="{693C1ED5-59C6-473F-8A69-6347A8C17109}"/>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6BF378E8-AFC9-48C9-98BD-7F086BDDC1C4}"/>
    <cellStyle name="20% - Accent5 2 7 2 3" xfId="12560" xr:uid="{DCB678DE-7AA4-4AD2-A316-C39CED3BCB3F}"/>
    <cellStyle name="20% - Accent5 2 7 3" xfId="6191" xr:uid="{00000000-0005-0000-0000-0000CE020000}"/>
    <cellStyle name="20% - Accent5 2 7 3 2" xfId="14633" xr:uid="{FB6B8E00-D09B-4E4E-8F55-060C3CD7CE3B}"/>
    <cellStyle name="20% - Accent5 2 7 4" xfId="10415" xr:uid="{EFFAD6E5-77E9-4995-9057-160C83E3F6E9}"/>
    <cellStyle name="20% - Accent5 2 8" xfId="2297" xr:uid="{00000000-0005-0000-0000-0000CF020000}"/>
    <cellStyle name="20% - Accent5 2 8 2" xfId="6604" xr:uid="{00000000-0005-0000-0000-0000D0020000}"/>
    <cellStyle name="20% - Accent5 2 8 2 2" xfId="15046" xr:uid="{6A43DA13-D007-4DD1-8CDA-3DEEFF2BA6BB}"/>
    <cellStyle name="20% - Accent5 2 8 3" xfId="10828" xr:uid="{28319D50-F1CB-4F65-A87C-EA04D88A9A86}"/>
    <cellStyle name="20% - Accent5 2 9" xfId="4538" xr:uid="{00000000-0005-0000-0000-0000D1020000}"/>
    <cellStyle name="20% - Accent5 2 9 2" xfId="12980" xr:uid="{AE4ADECC-A1FD-44DD-840B-64217F4F7611}"/>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5F87D864-517C-4C59-879B-D7B93C548169}"/>
    <cellStyle name="20% - Accent5 3 2 2 2 3" xfId="11326" xr:uid="{BC3851CE-9929-4CC0-9EFD-2379D1858AA3}"/>
    <cellStyle name="20% - Accent5 3 2 2 3" xfId="4957" xr:uid="{00000000-0005-0000-0000-0000D7020000}"/>
    <cellStyle name="20% - Accent5 3 2 2 3 2" xfId="13399" xr:uid="{2BC66559-D12E-4933-AB05-42F083AF37F3}"/>
    <cellStyle name="20% - Accent5 3 2 2 4" xfId="9181" xr:uid="{9AEFE70D-0E16-49CD-AB85-A794EB757CA0}"/>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766A0CDA-C92A-4854-934D-3EF4D4501D1D}"/>
    <cellStyle name="20% - Accent5 3 2 3 2 3" xfId="11739" xr:uid="{97D288A7-D601-4B1E-875A-49125F459399}"/>
    <cellStyle name="20% - Accent5 3 2 3 3" xfId="5370" xr:uid="{00000000-0005-0000-0000-0000DB020000}"/>
    <cellStyle name="20% - Accent5 3 2 3 3 2" xfId="13812" xr:uid="{40F896EC-7E97-4C2E-85BA-ACEB5B77CA79}"/>
    <cellStyle name="20% - Accent5 3 2 3 4" xfId="9594" xr:uid="{4285EF4E-62FA-472B-8FA7-707AD9D14B80}"/>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891E7A4A-F898-4AF4-B8FA-79A44E8CA8EB}"/>
    <cellStyle name="20% - Accent5 3 2 4 2 3" xfId="12152" xr:uid="{7A0E4EB6-D062-490D-9AE5-3131205F5CB8}"/>
    <cellStyle name="20% - Accent5 3 2 4 3" xfId="5783" xr:uid="{00000000-0005-0000-0000-0000DF020000}"/>
    <cellStyle name="20% - Accent5 3 2 4 3 2" xfId="14225" xr:uid="{61F0ECEB-A169-458F-BF6C-8933B02B7370}"/>
    <cellStyle name="20% - Accent5 3 2 4 4" xfId="10007" xr:uid="{9307B839-CCDA-470D-BC36-F3ED37B15F83}"/>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888F9A9E-B018-4C66-8209-DFF0C7D25C35}"/>
    <cellStyle name="20% - Accent5 3 2 5 2 3" xfId="12565" xr:uid="{EBA31713-6628-4162-85DF-3F1828798BFE}"/>
    <cellStyle name="20% - Accent5 3 2 5 3" xfId="6196" xr:uid="{00000000-0005-0000-0000-0000E3020000}"/>
    <cellStyle name="20% - Accent5 3 2 5 3 2" xfId="14638" xr:uid="{1E0D842C-CAB9-4119-9B4C-BEB48E8CE1C2}"/>
    <cellStyle name="20% - Accent5 3 2 5 4" xfId="10420" xr:uid="{FB0033E0-66C5-4433-9C5F-BDC418701C26}"/>
    <cellStyle name="20% - Accent5 3 2 6" xfId="2302" xr:uid="{00000000-0005-0000-0000-0000E4020000}"/>
    <cellStyle name="20% - Accent5 3 2 6 2" xfId="6609" xr:uid="{00000000-0005-0000-0000-0000E5020000}"/>
    <cellStyle name="20% - Accent5 3 2 6 2 2" xfId="15051" xr:uid="{31C501DF-7E85-49E9-A541-711CF4EE664D}"/>
    <cellStyle name="20% - Accent5 3 2 6 3" xfId="10833" xr:uid="{B1FEC559-B924-403B-BB88-EC86075F2960}"/>
    <cellStyle name="20% - Accent5 3 2 7" xfId="4543" xr:uid="{00000000-0005-0000-0000-0000E6020000}"/>
    <cellStyle name="20% - Accent5 3 2 7 2" xfId="12985" xr:uid="{F318357A-CC82-41FC-B812-4E013728B8B1}"/>
    <cellStyle name="20% - Accent5 3 2 8" xfId="8767" xr:uid="{0E99A972-864D-4643-86F8-5114E995385C}"/>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0B036C7F-10B2-4733-98FE-B746319BD7ED}"/>
    <cellStyle name="20% - Accent5 3 3 2 3" xfId="11325" xr:uid="{B3262218-0E4B-44F2-A539-B389246CE072}"/>
    <cellStyle name="20% - Accent5 3 3 3" xfId="4956" xr:uid="{00000000-0005-0000-0000-0000EA020000}"/>
    <cellStyle name="20% - Accent5 3 3 3 2" xfId="13398" xr:uid="{BA56B0C3-7FDA-462E-A297-60EB5BB121F1}"/>
    <cellStyle name="20% - Accent5 3 3 4" xfId="9180" xr:uid="{47DB4F3E-F452-4D82-B729-73448CD68E97}"/>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42C5260F-63EF-467F-8482-CD1BD95AC1F2}"/>
    <cellStyle name="20% - Accent5 3 4 2 3" xfId="11738" xr:uid="{B74A1BE5-FC44-40CB-B1E8-66908D19CB5D}"/>
    <cellStyle name="20% - Accent5 3 4 3" xfId="5369" xr:uid="{00000000-0005-0000-0000-0000EE020000}"/>
    <cellStyle name="20% - Accent5 3 4 3 2" xfId="13811" xr:uid="{EAB184B8-4633-4772-8474-FAA43EF5F456}"/>
    <cellStyle name="20% - Accent5 3 4 4" xfId="9593" xr:uid="{AC1E04FD-BFA5-4462-94F0-EFF17DC4E28A}"/>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61FA5004-9F6C-4C6E-88AD-7429CEF6A0E2}"/>
    <cellStyle name="20% - Accent5 3 5 2 3" xfId="12151" xr:uid="{19B694EB-A2E5-464B-8EA8-12AB87BEBDB6}"/>
    <cellStyle name="20% - Accent5 3 5 3" xfId="5782" xr:uid="{00000000-0005-0000-0000-0000F2020000}"/>
    <cellStyle name="20% - Accent5 3 5 3 2" xfId="14224" xr:uid="{AD0F7780-D6FA-42CF-BAB6-693146CE94A0}"/>
    <cellStyle name="20% - Accent5 3 5 4" xfId="10006" xr:uid="{AD63EFEB-80F9-4B41-954E-E8B8BDC962C8}"/>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283E1259-5364-4D14-B7A7-7CEB695AFCAF}"/>
    <cellStyle name="20% - Accent5 3 6 2 3" xfId="12564" xr:uid="{FF13DDBA-8DEC-42D9-95A3-E22B64C636FE}"/>
    <cellStyle name="20% - Accent5 3 6 3" xfId="6195" xr:uid="{00000000-0005-0000-0000-0000F6020000}"/>
    <cellStyle name="20% - Accent5 3 6 3 2" xfId="14637" xr:uid="{7773655E-BF4C-41AF-B03F-925C9601A75B}"/>
    <cellStyle name="20% - Accent5 3 6 4" xfId="10419" xr:uid="{E3A06273-AD73-4796-8D3B-644E7D09A6FC}"/>
    <cellStyle name="20% - Accent5 3 7" xfId="2301" xr:uid="{00000000-0005-0000-0000-0000F7020000}"/>
    <cellStyle name="20% - Accent5 3 7 2" xfId="6608" xr:uid="{00000000-0005-0000-0000-0000F8020000}"/>
    <cellStyle name="20% - Accent5 3 7 2 2" xfId="15050" xr:uid="{E7728C62-7DB5-48EF-A587-F89045C1649B}"/>
    <cellStyle name="20% - Accent5 3 7 3" xfId="10832" xr:uid="{C8A6E921-D8F7-45BE-AD54-08C146F0A72B}"/>
    <cellStyle name="20% - Accent5 3 8" xfId="4542" xr:uid="{00000000-0005-0000-0000-0000F9020000}"/>
    <cellStyle name="20% - Accent5 3 8 2" xfId="12984" xr:uid="{5377C816-85FC-48C5-B5A3-B17F5018D4CF}"/>
    <cellStyle name="20% - Accent5 3 9" xfId="8766" xr:uid="{9996153A-2F26-48AD-9DF3-08F208EF4C82}"/>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23216D52-3D6E-49BF-A383-0F8DD1C64207}"/>
    <cellStyle name="20% - Accent5 4 2 2 3" xfId="11327" xr:uid="{2A581298-F7EF-48B3-B5F5-628E8D280D3B}"/>
    <cellStyle name="20% - Accent5 4 2 3" xfId="4958" xr:uid="{00000000-0005-0000-0000-0000FE020000}"/>
    <cellStyle name="20% - Accent5 4 2 3 2" xfId="13400" xr:uid="{AB880832-B5A1-48F5-830D-926F0EAA6F59}"/>
    <cellStyle name="20% - Accent5 4 2 4" xfId="9182" xr:uid="{034D3A98-68FB-4582-8829-A1072C772CD3}"/>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FB8B7140-A607-477E-9FF2-4C3C1B514037}"/>
    <cellStyle name="20% - Accent5 4 3 2 3" xfId="11740" xr:uid="{365C7462-9F71-4F79-9F9B-A6D8ABCC892D}"/>
    <cellStyle name="20% - Accent5 4 3 3" xfId="5371" xr:uid="{00000000-0005-0000-0000-000002030000}"/>
    <cellStyle name="20% - Accent5 4 3 3 2" xfId="13813" xr:uid="{F81F69D0-FEE2-41E3-B8AF-CCC1BB0B98B5}"/>
    <cellStyle name="20% - Accent5 4 3 4" xfId="9595" xr:uid="{B305635F-1821-4C4A-A3F1-E2D8A4874343}"/>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6BAE6770-6413-47F2-9643-25322E684E71}"/>
    <cellStyle name="20% - Accent5 4 4 2 3" xfId="12153" xr:uid="{34098F7A-BB8D-4E5B-801D-5FBA424DDC8A}"/>
    <cellStyle name="20% - Accent5 4 4 3" xfId="5784" xr:uid="{00000000-0005-0000-0000-000006030000}"/>
    <cellStyle name="20% - Accent5 4 4 3 2" xfId="14226" xr:uid="{6A508B4B-930B-4DB4-91F1-ECA1F07A4C44}"/>
    <cellStyle name="20% - Accent5 4 4 4" xfId="10008" xr:uid="{9E3E5001-C6BD-4E4B-A7D0-86C8F4CD53C0}"/>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A80C3801-F071-42FF-960F-C94E04366314}"/>
    <cellStyle name="20% - Accent5 4 5 2 3" xfId="12566" xr:uid="{E40B8747-5024-4888-8A7C-862F27E12F12}"/>
    <cellStyle name="20% - Accent5 4 5 3" xfId="6197" xr:uid="{00000000-0005-0000-0000-00000A030000}"/>
    <cellStyle name="20% - Accent5 4 5 3 2" xfId="14639" xr:uid="{B1400A9F-7F0F-477B-A8E8-E7A66667E66C}"/>
    <cellStyle name="20% - Accent5 4 5 4" xfId="10421" xr:uid="{72EF7844-9AC6-4B97-B5FB-8D5DCD3EC5A4}"/>
    <cellStyle name="20% - Accent5 4 6" xfId="2303" xr:uid="{00000000-0005-0000-0000-00000B030000}"/>
    <cellStyle name="20% - Accent5 4 6 2" xfId="6610" xr:uid="{00000000-0005-0000-0000-00000C030000}"/>
    <cellStyle name="20% - Accent5 4 6 2 2" xfId="15052" xr:uid="{4794CAF4-90C5-4DA6-A60E-A42BED0E85BB}"/>
    <cellStyle name="20% - Accent5 4 6 3" xfId="10834" xr:uid="{22A0D5AD-6226-485F-A217-2660BDD055E7}"/>
    <cellStyle name="20% - Accent5 4 7" xfId="4544" xr:uid="{00000000-0005-0000-0000-00000D030000}"/>
    <cellStyle name="20% - Accent5 4 7 2" xfId="12986" xr:uid="{C1AFDB22-83C5-449A-AEC8-3600AF7A318D}"/>
    <cellStyle name="20% - Accent5 4 8" xfId="8768" xr:uid="{FE8F7F3B-908B-4A89-89CE-423213238C8A}"/>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27BB33F7-9C48-429B-8746-EE889031161F}"/>
    <cellStyle name="20% - Accent5 5 2 3" xfId="11320" xr:uid="{5B2EBE2E-768A-4D14-9A91-8D77946FACE0}"/>
    <cellStyle name="20% - Accent5 5 3" xfId="4951" xr:uid="{00000000-0005-0000-0000-000011030000}"/>
    <cellStyle name="20% - Accent5 5 3 2" xfId="13393" xr:uid="{56E276A7-AA29-44FC-8248-71FB9A3C380D}"/>
    <cellStyle name="20% - Accent5 5 4" xfId="9175" xr:uid="{555A8BF9-55A0-448A-8607-C3DD3690EC0D}"/>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7F6D98C2-4BD9-466A-9A42-6D5C4F20E628}"/>
    <cellStyle name="20% - Accent5 6 2 3" xfId="11733" xr:uid="{A3D48434-E69F-4B07-9A0E-337BBFFD74B6}"/>
    <cellStyle name="20% - Accent5 6 3" xfId="5364" xr:uid="{00000000-0005-0000-0000-000015030000}"/>
    <cellStyle name="20% - Accent5 6 3 2" xfId="13806" xr:uid="{914A6724-7E3A-4383-946E-B571462FFC6D}"/>
    <cellStyle name="20% - Accent5 6 4" xfId="9588" xr:uid="{F49A7EE4-1D01-48D1-AEA4-615AB7CDA05D}"/>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D89E0840-64DD-461F-A23F-BC8E2FA3A837}"/>
    <cellStyle name="20% - Accent5 7 2 3" xfId="12146" xr:uid="{4CF246EF-89B1-4A8F-AEED-AB9A5A52FDA9}"/>
    <cellStyle name="20% - Accent5 7 3" xfId="5777" xr:uid="{00000000-0005-0000-0000-000019030000}"/>
    <cellStyle name="20% - Accent5 7 3 2" xfId="14219" xr:uid="{96E01852-C006-4B00-AD9A-1C83ADDE9F2C}"/>
    <cellStyle name="20% - Accent5 7 4" xfId="10001" xr:uid="{6F4168F5-8677-4EF8-A6AF-B37572AB60CB}"/>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6F317E0E-FE2F-4F91-877D-EC67A3E5DC08}"/>
    <cellStyle name="20% - Accent5 8 2 3" xfId="12559" xr:uid="{93EB7537-DAC2-4342-B287-8AE92D0C62A2}"/>
    <cellStyle name="20% - Accent5 8 3" xfId="6190" xr:uid="{00000000-0005-0000-0000-00001D030000}"/>
    <cellStyle name="20% - Accent5 8 3 2" xfId="14632" xr:uid="{42726840-DC6C-431D-A106-EE27BAD0A52A}"/>
    <cellStyle name="20% - Accent5 8 4" xfId="10414" xr:uid="{52E8EB82-8A6A-4A06-A0A6-E262D3E51601}"/>
    <cellStyle name="20% - Accent5 9" xfId="2296" xr:uid="{00000000-0005-0000-0000-00001E030000}"/>
    <cellStyle name="20% - Accent5 9 2" xfId="6603" xr:uid="{00000000-0005-0000-0000-00001F030000}"/>
    <cellStyle name="20% - Accent5 9 2 2" xfId="15045" xr:uid="{558E4EAB-707D-477C-BE19-E7F229D97056}"/>
    <cellStyle name="20% - Accent5 9 3" xfId="10827" xr:uid="{69FF54D2-5064-48D5-8DB6-B11680169DB0}"/>
    <cellStyle name="20% - Accent6" xfId="41" builtinId="50" customBuiltin="1"/>
    <cellStyle name="20% - Accent6 10" xfId="4545" xr:uid="{00000000-0005-0000-0000-000021030000}"/>
    <cellStyle name="20% - Accent6 10 2" xfId="12987" xr:uid="{8F26622E-4E72-4280-AE91-0CC5F65A5224}"/>
    <cellStyle name="20% - Accent6 11" xfId="8769" xr:uid="{276B352A-6E2D-4830-BDCE-BE90E2B320D5}"/>
    <cellStyle name="20% - Accent6 2" xfId="42" xr:uid="{00000000-0005-0000-0000-000022030000}"/>
    <cellStyle name="20% - Accent6 2 10" xfId="8770" xr:uid="{345B97DF-937B-48CA-94F8-3961C7B5D9CD}"/>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E57F66B6-C398-40D1-A218-1FD6D6B0886C}"/>
    <cellStyle name="20% - Accent6 2 2 2 2 2 3" xfId="11331" xr:uid="{F1F187EC-F7B8-45E2-8D50-03FF87DE2A13}"/>
    <cellStyle name="20% - Accent6 2 2 2 2 3" xfId="4962" xr:uid="{00000000-0005-0000-0000-000028030000}"/>
    <cellStyle name="20% - Accent6 2 2 2 2 3 2" xfId="13404" xr:uid="{E2E2440C-85F8-47D2-899C-A4601833E5F0}"/>
    <cellStyle name="20% - Accent6 2 2 2 2 4" xfId="9186" xr:uid="{F8BF48D1-9787-440B-8AF3-95475C6282A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C319A900-BC54-4975-8146-7ED3EE3FA626}"/>
    <cellStyle name="20% - Accent6 2 2 2 3 2 3" xfId="11744" xr:uid="{88C42FE2-9EE0-4267-AFC0-E56ADEA2DCB3}"/>
    <cellStyle name="20% - Accent6 2 2 2 3 3" xfId="5375" xr:uid="{00000000-0005-0000-0000-00002C030000}"/>
    <cellStyle name="20% - Accent6 2 2 2 3 3 2" xfId="13817" xr:uid="{D135A075-CE60-4FBF-87E0-2D8EA0124AB7}"/>
    <cellStyle name="20% - Accent6 2 2 2 3 4" xfId="9599" xr:uid="{9DAD69FC-6C69-4A34-9FD9-52AEE7B3919C}"/>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4AA1933D-B9C2-498C-BA67-C2E2213E8C37}"/>
    <cellStyle name="20% - Accent6 2 2 2 4 2 3" xfId="12157" xr:uid="{CDE74152-9E74-406B-B484-9B911642C153}"/>
    <cellStyle name="20% - Accent6 2 2 2 4 3" xfId="5788" xr:uid="{00000000-0005-0000-0000-000030030000}"/>
    <cellStyle name="20% - Accent6 2 2 2 4 3 2" xfId="14230" xr:uid="{2BB9F285-BD07-41DA-9780-340E0862DF5E}"/>
    <cellStyle name="20% - Accent6 2 2 2 4 4" xfId="10012" xr:uid="{0D43D9C9-7E58-4BF0-8B58-D5A50CD6BC7E}"/>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5EC0E1B9-BE56-456B-B14E-E814FB1AC219}"/>
    <cellStyle name="20% - Accent6 2 2 2 5 2 3" xfId="12570" xr:uid="{9AB8AB10-C2E4-4F80-8B00-F5087E87727F}"/>
    <cellStyle name="20% - Accent6 2 2 2 5 3" xfId="6201" xr:uid="{00000000-0005-0000-0000-000034030000}"/>
    <cellStyle name="20% - Accent6 2 2 2 5 3 2" xfId="14643" xr:uid="{89E8E90F-CFF2-45B7-80B0-49B69CADEBBB}"/>
    <cellStyle name="20% - Accent6 2 2 2 5 4" xfId="10425" xr:uid="{68FC0F98-B118-48E6-A434-109D6D82486D}"/>
    <cellStyle name="20% - Accent6 2 2 2 6" xfId="2307" xr:uid="{00000000-0005-0000-0000-000035030000}"/>
    <cellStyle name="20% - Accent6 2 2 2 6 2" xfId="6614" xr:uid="{00000000-0005-0000-0000-000036030000}"/>
    <cellStyle name="20% - Accent6 2 2 2 6 2 2" xfId="15056" xr:uid="{D13F696E-F56D-4202-BCE7-57DA6BF8AC7A}"/>
    <cellStyle name="20% - Accent6 2 2 2 6 3" xfId="10838" xr:uid="{6F8CA06E-C5F4-47BF-8556-30797C517D8F}"/>
    <cellStyle name="20% - Accent6 2 2 2 7" xfId="4548" xr:uid="{00000000-0005-0000-0000-000037030000}"/>
    <cellStyle name="20% - Accent6 2 2 2 7 2" xfId="12990" xr:uid="{3D7AE286-4BFB-4366-A6E3-5AA556B467E3}"/>
    <cellStyle name="20% - Accent6 2 2 2 8" xfId="8772" xr:uid="{85381DD2-21A8-41AB-A9C9-400D0F48C7B3}"/>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BBFA2862-C963-49F8-A704-94E9326BBAB7}"/>
    <cellStyle name="20% - Accent6 2 2 3 2 3" xfId="11330" xr:uid="{EC473710-F83B-4F95-8D7C-A6FD35F2BD43}"/>
    <cellStyle name="20% - Accent6 2 2 3 3" xfId="4961" xr:uid="{00000000-0005-0000-0000-00003B030000}"/>
    <cellStyle name="20% - Accent6 2 2 3 3 2" xfId="13403" xr:uid="{8FDEA1E6-7E32-42E7-AEF5-FD6E44BD09A9}"/>
    <cellStyle name="20% - Accent6 2 2 3 4" xfId="9185" xr:uid="{8EA266C8-0D4D-4DE5-B089-393FB94C3CBC}"/>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32FB6892-F237-43EC-9C4F-7A3A75554B4D}"/>
    <cellStyle name="20% - Accent6 2 2 4 2 3" xfId="11743" xr:uid="{89A468E0-D74B-473D-9DEC-DBC76E9F0270}"/>
    <cellStyle name="20% - Accent6 2 2 4 3" xfId="5374" xr:uid="{00000000-0005-0000-0000-00003F030000}"/>
    <cellStyle name="20% - Accent6 2 2 4 3 2" xfId="13816" xr:uid="{9C5096BB-EA7F-4AA7-B3E5-DEA516A5B43F}"/>
    <cellStyle name="20% - Accent6 2 2 4 4" xfId="9598" xr:uid="{2E786838-65FF-44F1-BC66-A6715FDB5EC9}"/>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2DE816FD-88C0-4789-8CF5-9B48793E361B}"/>
    <cellStyle name="20% - Accent6 2 2 5 2 3" xfId="12156" xr:uid="{706D9CFA-D1E8-4E94-98B8-9F7C9C8B0B1F}"/>
    <cellStyle name="20% - Accent6 2 2 5 3" xfId="5787" xr:uid="{00000000-0005-0000-0000-000043030000}"/>
    <cellStyle name="20% - Accent6 2 2 5 3 2" xfId="14229" xr:uid="{ABC2C8B5-03A8-440A-8069-075CEE5BD82A}"/>
    <cellStyle name="20% - Accent6 2 2 5 4" xfId="10011" xr:uid="{749DE2AB-5DD1-4F7F-92D0-A554B3862816}"/>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56BC5042-B04F-4C09-8AC7-7A7820D40C22}"/>
    <cellStyle name="20% - Accent6 2 2 6 2 3" xfId="12569" xr:uid="{1C8DA08A-35D8-4A5E-B515-9E26CD19D6B5}"/>
    <cellStyle name="20% - Accent6 2 2 6 3" xfId="6200" xr:uid="{00000000-0005-0000-0000-000047030000}"/>
    <cellStyle name="20% - Accent6 2 2 6 3 2" xfId="14642" xr:uid="{D8710A8D-D0D7-4C91-9820-429D8013CF95}"/>
    <cellStyle name="20% - Accent6 2 2 6 4" xfId="10424" xr:uid="{7F6B5C3A-394C-46DA-BD36-562BF0E47A51}"/>
    <cellStyle name="20% - Accent6 2 2 7" xfId="2306" xr:uid="{00000000-0005-0000-0000-000048030000}"/>
    <cellStyle name="20% - Accent6 2 2 7 2" xfId="6613" xr:uid="{00000000-0005-0000-0000-000049030000}"/>
    <cellStyle name="20% - Accent6 2 2 7 2 2" xfId="15055" xr:uid="{B64128C8-BF4F-434E-8C97-C0B27640879B}"/>
    <cellStyle name="20% - Accent6 2 2 7 3" xfId="10837" xr:uid="{AEA18E4B-8AE0-4677-973C-106D65E437A7}"/>
    <cellStyle name="20% - Accent6 2 2 8" xfId="4547" xr:uid="{00000000-0005-0000-0000-00004A030000}"/>
    <cellStyle name="20% - Accent6 2 2 8 2" xfId="12989" xr:uid="{6E2F2B8A-5CE9-4A01-91A4-4212633A18E5}"/>
    <cellStyle name="20% - Accent6 2 2 9" xfId="8771" xr:uid="{D976A594-1BC2-4000-A793-AC62D1C4EA2B}"/>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EF023AAE-0F84-4FED-880A-81E285E2EE4B}"/>
    <cellStyle name="20% - Accent6 2 3 2 2 3" xfId="11332" xr:uid="{A4BF9A77-6FCD-4580-A350-AEFADC74256E}"/>
    <cellStyle name="20% - Accent6 2 3 2 3" xfId="4963" xr:uid="{00000000-0005-0000-0000-00004F030000}"/>
    <cellStyle name="20% - Accent6 2 3 2 3 2" xfId="13405" xr:uid="{9E8514CB-86F5-49F8-9E81-798901322FFB}"/>
    <cellStyle name="20% - Accent6 2 3 2 4" xfId="9187" xr:uid="{229518C9-6A32-469C-9916-9A94F876F6FB}"/>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1A64CA08-5F86-48E0-96F4-C8F362CFD5DA}"/>
    <cellStyle name="20% - Accent6 2 3 3 2 3" xfId="11745" xr:uid="{F3CA32C5-35EE-4BFC-B3DF-AC238827B5E9}"/>
    <cellStyle name="20% - Accent6 2 3 3 3" xfId="5376" xr:uid="{00000000-0005-0000-0000-000053030000}"/>
    <cellStyle name="20% - Accent6 2 3 3 3 2" xfId="13818" xr:uid="{5B7CA184-73F2-4CD2-9765-4B38A207CE49}"/>
    <cellStyle name="20% - Accent6 2 3 3 4" xfId="9600" xr:uid="{02D991C2-0C23-4B9E-A5EE-BC8E3815F25A}"/>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B6CFE96F-0F70-4495-A7C2-4D5A44D0A1BF}"/>
    <cellStyle name="20% - Accent6 2 3 4 2 3" xfId="12158" xr:uid="{D4957F06-1C3A-430A-9089-E5EC53501F2A}"/>
    <cellStyle name="20% - Accent6 2 3 4 3" xfId="5789" xr:uid="{00000000-0005-0000-0000-000057030000}"/>
    <cellStyle name="20% - Accent6 2 3 4 3 2" xfId="14231" xr:uid="{9B3FD20D-A45E-448F-A353-F4D661645378}"/>
    <cellStyle name="20% - Accent6 2 3 4 4" xfId="10013" xr:uid="{F9A7155D-A017-4795-81FC-15023D65D5B1}"/>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1527C7F3-A374-4E12-ACC3-67A2CB346379}"/>
    <cellStyle name="20% - Accent6 2 3 5 2 3" xfId="12571" xr:uid="{E138C043-F92E-42A6-A536-AAE74D769D37}"/>
    <cellStyle name="20% - Accent6 2 3 5 3" xfId="6202" xr:uid="{00000000-0005-0000-0000-00005B030000}"/>
    <cellStyle name="20% - Accent6 2 3 5 3 2" xfId="14644" xr:uid="{E68DCD8A-2784-4FCC-A903-C221C827272C}"/>
    <cellStyle name="20% - Accent6 2 3 5 4" xfId="10426" xr:uid="{141E34BB-33B5-4A94-A83E-4D1BE6049B6E}"/>
    <cellStyle name="20% - Accent6 2 3 6" xfId="2308" xr:uid="{00000000-0005-0000-0000-00005C030000}"/>
    <cellStyle name="20% - Accent6 2 3 6 2" xfId="6615" xr:uid="{00000000-0005-0000-0000-00005D030000}"/>
    <cellStyle name="20% - Accent6 2 3 6 2 2" xfId="15057" xr:uid="{6C5CB632-F050-46DA-A6F6-8378EAAC8481}"/>
    <cellStyle name="20% - Accent6 2 3 6 3" xfId="10839" xr:uid="{F2E0FA92-0BD3-4B73-A6D3-A970F9007F01}"/>
    <cellStyle name="20% - Accent6 2 3 7" xfId="4549" xr:uid="{00000000-0005-0000-0000-00005E030000}"/>
    <cellStyle name="20% - Accent6 2 3 7 2" xfId="12991" xr:uid="{F72CDB9F-7D60-464D-906E-8FD44B074E43}"/>
    <cellStyle name="20% - Accent6 2 3 8" xfId="8773" xr:uid="{1DD7692E-6611-48B2-B5BA-27240463D66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397D8965-C89D-4CF0-A43F-37F7923AED64}"/>
    <cellStyle name="20% - Accent6 2 4 2 3" xfId="11329" xr:uid="{F507E21A-036B-4DFB-AD6B-91E521E3B143}"/>
    <cellStyle name="20% - Accent6 2 4 3" xfId="4960" xr:uid="{00000000-0005-0000-0000-000062030000}"/>
    <cellStyle name="20% - Accent6 2 4 3 2" xfId="13402" xr:uid="{F4E3AE0F-601F-40D0-8A4C-005DABDCEFFF}"/>
    <cellStyle name="20% - Accent6 2 4 4" xfId="9184" xr:uid="{FD93573B-8D23-40CA-9953-8E02FDD4526C}"/>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ED817D58-FA58-4A64-8F9D-811B27AC781E}"/>
    <cellStyle name="20% - Accent6 2 5 2 3" xfId="11742" xr:uid="{458ACC19-B622-40F5-8E9E-162CA2BAD0BB}"/>
    <cellStyle name="20% - Accent6 2 5 3" xfId="5373" xr:uid="{00000000-0005-0000-0000-000066030000}"/>
    <cellStyle name="20% - Accent6 2 5 3 2" xfId="13815" xr:uid="{A874DBFB-9F81-4A4F-8A74-284953EA3970}"/>
    <cellStyle name="20% - Accent6 2 5 4" xfId="9597" xr:uid="{0BB0768C-D191-4880-92CD-4917D5F74463}"/>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FE5960DF-1B7A-458C-99A4-E760DF0A6D3E}"/>
    <cellStyle name="20% - Accent6 2 6 2 3" xfId="12155" xr:uid="{B4D91683-CE53-409D-B729-538EB67388D8}"/>
    <cellStyle name="20% - Accent6 2 6 3" xfId="5786" xr:uid="{00000000-0005-0000-0000-00006A030000}"/>
    <cellStyle name="20% - Accent6 2 6 3 2" xfId="14228" xr:uid="{B03849FB-929A-45F6-B02D-ACE9085D323A}"/>
    <cellStyle name="20% - Accent6 2 6 4" xfId="10010" xr:uid="{58287C0E-1059-4CBC-8D1B-F9307EF24F12}"/>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A2AC4D79-45D6-4796-A8E4-FD18BE8FCAD2}"/>
    <cellStyle name="20% - Accent6 2 7 2 3" xfId="12568" xr:uid="{64D09123-1196-4F3C-937C-B64765D5CB09}"/>
    <cellStyle name="20% - Accent6 2 7 3" xfId="6199" xr:uid="{00000000-0005-0000-0000-00006E030000}"/>
    <cellStyle name="20% - Accent6 2 7 3 2" xfId="14641" xr:uid="{545CEADB-14DA-4E2F-BFB3-AA9A1C46BB95}"/>
    <cellStyle name="20% - Accent6 2 7 4" xfId="10423" xr:uid="{E2DDA4EE-DCAB-4B4A-A037-29E4D0DFE372}"/>
    <cellStyle name="20% - Accent6 2 8" xfId="2305" xr:uid="{00000000-0005-0000-0000-00006F030000}"/>
    <cellStyle name="20% - Accent6 2 8 2" xfId="6612" xr:uid="{00000000-0005-0000-0000-000070030000}"/>
    <cellStyle name="20% - Accent6 2 8 2 2" xfId="15054" xr:uid="{E3A7BF8E-0783-45A4-BC08-8895361FBEB1}"/>
    <cellStyle name="20% - Accent6 2 8 3" xfId="10836" xr:uid="{8698B684-2809-419F-B6E3-CF05BCC40768}"/>
    <cellStyle name="20% - Accent6 2 9" xfId="4546" xr:uid="{00000000-0005-0000-0000-000071030000}"/>
    <cellStyle name="20% - Accent6 2 9 2" xfId="12988" xr:uid="{C1E8F5C3-5973-4251-97E4-EF450BC9AD1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7F2AC133-3A93-4FEB-9D94-BC700F291C32}"/>
    <cellStyle name="20% - Accent6 3 2 2 2 3" xfId="11334" xr:uid="{2E058EB3-80CF-4549-A05E-A007928DB940}"/>
    <cellStyle name="20% - Accent6 3 2 2 3" xfId="4965" xr:uid="{00000000-0005-0000-0000-000077030000}"/>
    <cellStyle name="20% - Accent6 3 2 2 3 2" xfId="13407" xr:uid="{D1EE483C-4E54-44ED-99DB-8D414E5ED09E}"/>
    <cellStyle name="20% - Accent6 3 2 2 4" xfId="9189" xr:uid="{6F0BDC23-DC81-4022-8FBD-3ABA5C3DBB99}"/>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A1813BB0-34F5-4C37-9476-78E84466D385}"/>
    <cellStyle name="20% - Accent6 3 2 3 2 3" xfId="11747" xr:uid="{7BD129C0-5DAE-4F8D-95CB-AF2D814BC2AC}"/>
    <cellStyle name="20% - Accent6 3 2 3 3" xfId="5378" xr:uid="{00000000-0005-0000-0000-00007B030000}"/>
    <cellStyle name="20% - Accent6 3 2 3 3 2" xfId="13820" xr:uid="{2320B56C-C2F0-4EAF-B96B-E3B486545C73}"/>
    <cellStyle name="20% - Accent6 3 2 3 4" xfId="9602" xr:uid="{612496B5-CA9C-402F-9E3F-AF55D237CDD0}"/>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7C4C4F19-5446-4F91-AE0D-53BF622B78D9}"/>
    <cellStyle name="20% - Accent6 3 2 4 2 3" xfId="12160" xr:uid="{43B0A0E3-28D2-427F-AF8B-2480A46C6CA4}"/>
    <cellStyle name="20% - Accent6 3 2 4 3" xfId="5791" xr:uid="{00000000-0005-0000-0000-00007F030000}"/>
    <cellStyle name="20% - Accent6 3 2 4 3 2" xfId="14233" xr:uid="{D68C8E5C-991B-41C9-936A-EC48F7FEE4C9}"/>
    <cellStyle name="20% - Accent6 3 2 4 4" xfId="10015" xr:uid="{99BDE2A9-2F1D-4E45-B40F-1D5D46EA6DAF}"/>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614280C4-CB72-4F76-8517-9EB241E79198}"/>
    <cellStyle name="20% - Accent6 3 2 5 2 3" xfId="12573" xr:uid="{815843C2-064E-4BEA-AC43-8B3632A6DC91}"/>
    <cellStyle name="20% - Accent6 3 2 5 3" xfId="6204" xr:uid="{00000000-0005-0000-0000-000083030000}"/>
    <cellStyle name="20% - Accent6 3 2 5 3 2" xfId="14646" xr:uid="{0534349A-0209-4943-96CB-E5A96CC44E55}"/>
    <cellStyle name="20% - Accent6 3 2 5 4" xfId="10428" xr:uid="{5203A059-5257-4F9C-9772-33376FF9C9B8}"/>
    <cellStyle name="20% - Accent6 3 2 6" xfId="2310" xr:uid="{00000000-0005-0000-0000-000084030000}"/>
    <cellStyle name="20% - Accent6 3 2 6 2" xfId="6617" xr:uid="{00000000-0005-0000-0000-000085030000}"/>
    <cellStyle name="20% - Accent6 3 2 6 2 2" xfId="15059" xr:uid="{CC78EB49-D77D-41BA-A012-775CD9D038BE}"/>
    <cellStyle name="20% - Accent6 3 2 6 3" xfId="10841" xr:uid="{94C857DF-631B-4BF2-98FE-97A4191A9263}"/>
    <cellStyle name="20% - Accent6 3 2 7" xfId="4551" xr:uid="{00000000-0005-0000-0000-000086030000}"/>
    <cellStyle name="20% - Accent6 3 2 7 2" xfId="12993" xr:uid="{2D82D673-9989-4A33-B64D-A878A47F3942}"/>
    <cellStyle name="20% - Accent6 3 2 8" xfId="8775" xr:uid="{98CFFE09-9C84-43B6-8721-A3D146AD664F}"/>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7606A47B-3B75-488E-B9AC-68E053933862}"/>
    <cellStyle name="20% - Accent6 3 3 2 3" xfId="11333" xr:uid="{3E8382DD-B4BD-4E8F-B012-DFA710403B0A}"/>
    <cellStyle name="20% - Accent6 3 3 3" xfId="4964" xr:uid="{00000000-0005-0000-0000-00008A030000}"/>
    <cellStyle name="20% - Accent6 3 3 3 2" xfId="13406" xr:uid="{7374F062-1397-4941-8992-86F3F94ADDAE}"/>
    <cellStyle name="20% - Accent6 3 3 4" xfId="9188" xr:uid="{32FA1B81-B4B6-4A68-93D6-73873162C754}"/>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67DB6268-48DF-4DDE-BAC2-08F9A062596B}"/>
    <cellStyle name="20% - Accent6 3 4 2 3" xfId="11746" xr:uid="{80D9BE30-27F8-4C3E-A6D9-35468DB64A37}"/>
    <cellStyle name="20% - Accent6 3 4 3" xfId="5377" xr:uid="{00000000-0005-0000-0000-00008E030000}"/>
    <cellStyle name="20% - Accent6 3 4 3 2" xfId="13819" xr:uid="{F52C246B-7348-4DDA-822D-916CC4271B7B}"/>
    <cellStyle name="20% - Accent6 3 4 4" xfId="9601" xr:uid="{71E6DCBC-6E95-4950-8CEA-F56290AA5415}"/>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DF38E065-B754-4631-B4FF-B0F28507550D}"/>
    <cellStyle name="20% - Accent6 3 5 2 3" xfId="12159" xr:uid="{1DD71412-151E-4ECB-A6BF-E9DA2BC74B7C}"/>
    <cellStyle name="20% - Accent6 3 5 3" xfId="5790" xr:uid="{00000000-0005-0000-0000-000092030000}"/>
    <cellStyle name="20% - Accent6 3 5 3 2" xfId="14232" xr:uid="{44665CD6-1354-4EE3-A583-B1E7F86C34C6}"/>
    <cellStyle name="20% - Accent6 3 5 4" xfId="10014" xr:uid="{99988AC8-17EB-4497-845F-1F2384B74CD2}"/>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26562ECA-98D5-4624-AA23-7B06174C34CC}"/>
    <cellStyle name="20% - Accent6 3 6 2 3" xfId="12572" xr:uid="{7BBD95F1-27C6-4FDA-8C8F-55761E3F881D}"/>
    <cellStyle name="20% - Accent6 3 6 3" xfId="6203" xr:uid="{00000000-0005-0000-0000-000096030000}"/>
    <cellStyle name="20% - Accent6 3 6 3 2" xfId="14645" xr:uid="{33409060-E524-4826-BC0A-B9F5F5E4256F}"/>
    <cellStyle name="20% - Accent6 3 6 4" xfId="10427" xr:uid="{BCDD5DE5-E2DD-4275-BBEE-9F826A048176}"/>
    <cellStyle name="20% - Accent6 3 7" xfId="2309" xr:uid="{00000000-0005-0000-0000-000097030000}"/>
    <cellStyle name="20% - Accent6 3 7 2" xfId="6616" xr:uid="{00000000-0005-0000-0000-000098030000}"/>
    <cellStyle name="20% - Accent6 3 7 2 2" xfId="15058" xr:uid="{32D96FE3-A0C2-4197-AA47-B6E044CDE736}"/>
    <cellStyle name="20% - Accent6 3 7 3" xfId="10840" xr:uid="{407255BA-A7A4-4BCE-8BFD-371D422E3F4E}"/>
    <cellStyle name="20% - Accent6 3 8" xfId="4550" xr:uid="{00000000-0005-0000-0000-000099030000}"/>
    <cellStyle name="20% - Accent6 3 8 2" xfId="12992" xr:uid="{8E9F9427-BB29-40E8-AE67-C833DD56B713}"/>
    <cellStyle name="20% - Accent6 3 9" xfId="8774" xr:uid="{0BFB15F3-5E39-476A-8767-08D810F39B09}"/>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FD395CC3-39F1-496C-8724-FB87FE3074CC}"/>
    <cellStyle name="20% - Accent6 4 2 2 3" xfId="11335" xr:uid="{8118B31A-2818-4F18-839F-FCB944F4147D}"/>
    <cellStyle name="20% - Accent6 4 2 3" xfId="4966" xr:uid="{00000000-0005-0000-0000-00009E030000}"/>
    <cellStyle name="20% - Accent6 4 2 3 2" xfId="13408" xr:uid="{36002185-3F25-4EBC-BF9F-9C16B4819CE7}"/>
    <cellStyle name="20% - Accent6 4 2 4" xfId="9190" xr:uid="{01915ABF-A32C-452A-88F3-2046C86BF7DC}"/>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94122581-CA2D-4D06-BBE2-B9249C5AC29B}"/>
    <cellStyle name="20% - Accent6 4 3 2 3" xfId="11748" xr:uid="{2DFDEEFE-8476-4945-A873-50B71D789662}"/>
    <cellStyle name="20% - Accent6 4 3 3" xfId="5379" xr:uid="{00000000-0005-0000-0000-0000A2030000}"/>
    <cellStyle name="20% - Accent6 4 3 3 2" xfId="13821" xr:uid="{A3DACD66-EEF3-42DE-A574-041919E91F27}"/>
    <cellStyle name="20% - Accent6 4 3 4" xfId="9603" xr:uid="{B546AFE6-3E8B-4C08-8007-B48F510893FE}"/>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DDBF55DC-E1DF-400F-AED0-702865E6FC30}"/>
    <cellStyle name="20% - Accent6 4 4 2 3" xfId="12161" xr:uid="{C57758BC-B520-40B6-921C-19CBBE3BA005}"/>
    <cellStyle name="20% - Accent6 4 4 3" xfId="5792" xr:uid="{00000000-0005-0000-0000-0000A6030000}"/>
    <cellStyle name="20% - Accent6 4 4 3 2" xfId="14234" xr:uid="{AE964167-AFE1-44E8-884B-F9FD0AB8365E}"/>
    <cellStyle name="20% - Accent6 4 4 4" xfId="10016" xr:uid="{8F4E540B-9099-4AF9-82C1-99F0A090D329}"/>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938C0EFA-8C12-4752-9A57-6A6D0D09DBB6}"/>
    <cellStyle name="20% - Accent6 4 5 2 3" xfId="12574" xr:uid="{01115683-BE86-43FB-8F86-9EA10A267D5E}"/>
    <cellStyle name="20% - Accent6 4 5 3" xfId="6205" xr:uid="{00000000-0005-0000-0000-0000AA030000}"/>
    <cellStyle name="20% - Accent6 4 5 3 2" xfId="14647" xr:uid="{43017379-9960-48B3-97FF-8892B1F1C188}"/>
    <cellStyle name="20% - Accent6 4 5 4" xfId="10429" xr:uid="{BC0ACFDE-B8C8-466D-8A7A-8F9AD80E5A7E}"/>
    <cellStyle name="20% - Accent6 4 6" xfId="2311" xr:uid="{00000000-0005-0000-0000-0000AB030000}"/>
    <cellStyle name="20% - Accent6 4 6 2" xfId="6618" xr:uid="{00000000-0005-0000-0000-0000AC030000}"/>
    <cellStyle name="20% - Accent6 4 6 2 2" xfId="15060" xr:uid="{F6AB6A91-365D-4CD3-AF27-8139B19935C4}"/>
    <cellStyle name="20% - Accent6 4 6 3" xfId="10842" xr:uid="{412A27F2-55B4-4B27-9D45-06C02A853FF6}"/>
    <cellStyle name="20% - Accent6 4 7" xfId="4552" xr:uid="{00000000-0005-0000-0000-0000AD030000}"/>
    <cellStyle name="20% - Accent6 4 7 2" xfId="12994" xr:uid="{ADB5C090-4D92-4C62-BED2-0AA812CA04FC}"/>
    <cellStyle name="20% - Accent6 4 8" xfId="8776" xr:uid="{1B2D080E-1432-4415-BBD7-A7878289529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43C6E71F-31F2-4E30-BF20-5D7BCF7B7801}"/>
    <cellStyle name="20% - Accent6 5 2 3" xfId="11328" xr:uid="{DF1EB6E3-B4E9-4DCF-B64A-0C48F938B52C}"/>
    <cellStyle name="20% - Accent6 5 3" xfId="4959" xr:uid="{00000000-0005-0000-0000-0000B1030000}"/>
    <cellStyle name="20% - Accent6 5 3 2" xfId="13401" xr:uid="{35449F96-423F-4BCD-8CFE-D5803D59D8EB}"/>
    <cellStyle name="20% - Accent6 5 4" xfId="9183" xr:uid="{D8259080-0081-4617-A9A0-4D59F5F0D636}"/>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8B848E29-6283-4374-8991-7F8F2AF89636}"/>
    <cellStyle name="20% - Accent6 6 2 3" xfId="11741" xr:uid="{373F8BB9-C034-4B49-AC55-060466D1B48B}"/>
    <cellStyle name="20% - Accent6 6 3" xfId="5372" xr:uid="{00000000-0005-0000-0000-0000B5030000}"/>
    <cellStyle name="20% - Accent6 6 3 2" xfId="13814" xr:uid="{F9637419-8ADA-465C-8689-9A74C4630F2F}"/>
    <cellStyle name="20% - Accent6 6 4" xfId="9596" xr:uid="{618C0397-D11A-4989-ABE8-D3C8DB295A05}"/>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62CE0244-7573-4467-A9CB-13008470B19D}"/>
    <cellStyle name="20% - Accent6 7 2 3" xfId="12154" xr:uid="{3495DE88-97BA-4DED-900E-7702F29AF19A}"/>
    <cellStyle name="20% - Accent6 7 3" xfId="5785" xr:uid="{00000000-0005-0000-0000-0000B9030000}"/>
    <cellStyle name="20% - Accent6 7 3 2" xfId="14227" xr:uid="{930CF5EA-D5EA-4386-BD50-AB0950263EDB}"/>
    <cellStyle name="20% - Accent6 7 4" xfId="10009" xr:uid="{99C0A078-C550-410C-8E3F-95AF4C1CD09E}"/>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48508854-BEF0-4577-B160-B361DD76EB9A}"/>
    <cellStyle name="20% - Accent6 8 2 3" xfId="12567" xr:uid="{7B5DB097-CF37-40BA-82B1-911E0D01FA0E}"/>
    <cellStyle name="20% - Accent6 8 3" xfId="6198" xr:uid="{00000000-0005-0000-0000-0000BD030000}"/>
    <cellStyle name="20% - Accent6 8 3 2" xfId="14640" xr:uid="{B5261D25-EB48-4363-88F6-4196BB16B813}"/>
    <cellStyle name="20% - Accent6 8 4" xfId="10422" xr:uid="{AE751D5E-90AA-4E5D-8DA8-8D34F484FBA6}"/>
    <cellStyle name="20% - Accent6 9" xfId="2304" xr:uid="{00000000-0005-0000-0000-0000BE030000}"/>
    <cellStyle name="20% - Accent6 9 2" xfId="6611" xr:uid="{00000000-0005-0000-0000-0000BF030000}"/>
    <cellStyle name="20% - Accent6 9 2 2" xfId="15053" xr:uid="{3C1CA359-78B4-4EAA-A285-FDEEF8236153}"/>
    <cellStyle name="20% - Accent6 9 3" xfId="10835" xr:uid="{3E92670F-5569-4756-BEDB-404929F84BFF}"/>
    <cellStyle name="40% - Accent1" xfId="49" builtinId="31" customBuiltin="1"/>
    <cellStyle name="40% - Accent1 10" xfId="4553" xr:uid="{00000000-0005-0000-0000-0000C1030000}"/>
    <cellStyle name="40% - Accent1 10 2" xfId="12995" xr:uid="{E2926C0A-37D2-403F-80BA-5DFC109963A2}"/>
    <cellStyle name="40% - Accent1 11" xfId="8777" xr:uid="{2B013A48-28E4-4E70-A6B4-4112324109A4}"/>
    <cellStyle name="40% - Accent1 2" xfId="50" xr:uid="{00000000-0005-0000-0000-0000C2030000}"/>
    <cellStyle name="40% - Accent1 2 10" xfId="8778" xr:uid="{E5696A6A-ADB7-48B0-9162-2788125D577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A5943F48-7F57-4EE5-86D3-D253A4BDA543}"/>
    <cellStyle name="40% - Accent1 2 2 2 2 2 3" xfId="11339" xr:uid="{645EC28D-2902-4EEE-9562-E5F012FD9D61}"/>
    <cellStyle name="40% - Accent1 2 2 2 2 3" xfId="4970" xr:uid="{00000000-0005-0000-0000-0000C8030000}"/>
    <cellStyle name="40% - Accent1 2 2 2 2 3 2" xfId="13412" xr:uid="{558D02E4-717B-48FD-83D2-F09153F9AF2F}"/>
    <cellStyle name="40% - Accent1 2 2 2 2 4" xfId="9194" xr:uid="{D73DA67D-B348-42CB-8BA2-4FED0B2CC847}"/>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7FB7E169-0906-4000-92B6-B15268A1EFC4}"/>
    <cellStyle name="40% - Accent1 2 2 2 3 2 3" xfId="11752" xr:uid="{48E3ECA5-9D2E-4327-BE92-F07DAAF79430}"/>
    <cellStyle name="40% - Accent1 2 2 2 3 3" xfId="5383" xr:uid="{00000000-0005-0000-0000-0000CC030000}"/>
    <cellStyle name="40% - Accent1 2 2 2 3 3 2" xfId="13825" xr:uid="{DD6DFEEC-A0E9-449D-927A-6ADBBAA6EFC3}"/>
    <cellStyle name="40% - Accent1 2 2 2 3 4" xfId="9607" xr:uid="{90C04083-CCEF-4127-B541-E668BE247B71}"/>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E9C49209-EE6F-4A13-A2D2-D31A4A7F3C1F}"/>
    <cellStyle name="40% - Accent1 2 2 2 4 2 3" xfId="12165" xr:uid="{4505A8B3-2992-4B91-AC09-C85453FB3B2C}"/>
    <cellStyle name="40% - Accent1 2 2 2 4 3" xfId="5796" xr:uid="{00000000-0005-0000-0000-0000D0030000}"/>
    <cellStyle name="40% - Accent1 2 2 2 4 3 2" xfId="14238" xr:uid="{B85F380A-00BD-447D-BE35-C8EC66F78BD7}"/>
    <cellStyle name="40% - Accent1 2 2 2 4 4" xfId="10020" xr:uid="{8D798430-4476-45E8-A4B7-34F1F59F5365}"/>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A353A405-3E6E-4E42-9B2C-97305DDA1F6B}"/>
    <cellStyle name="40% - Accent1 2 2 2 5 2 3" xfId="12578" xr:uid="{172A92CF-4546-48AB-9D66-E2B6B57BC6DF}"/>
    <cellStyle name="40% - Accent1 2 2 2 5 3" xfId="6209" xr:uid="{00000000-0005-0000-0000-0000D4030000}"/>
    <cellStyle name="40% - Accent1 2 2 2 5 3 2" xfId="14651" xr:uid="{EB643377-2417-474A-BD95-B8466D58499B}"/>
    <cellStyle name="40% - Accent1 2 2 2 5 4" xfId="10433" xr:uid="{51273654-26A8-443C-8635-94FFB42B1063}"/>
    <cellStyle name="40% - Accent1 2 2 2 6" xfId="2315" xr:uid="{00000000-0005-0000-0000-0000D5030000}"/>
    <cellStyle name="40% - Accent1 2 2 2 6 2" xfId="6622" xr:uid="{00000000-0005-0000-0000-0000D6030000}"/>
    <cellStyle name="40% - Accent1 2 2 2 6 2 2" xfId="15064" xr:uid="{8DE6DAE8-507B-440F-81CD-E3CC6477C003}"/>
    <cellStyle name="40% - Accent1 2 2 2 6 3" xfId="10846" xr:uid="{D1F31984-723B-4C67-B3CB-2B57B1765839}"/>
    <cellStyle name="40% - Accent1 2 2 2 7" xfId="4556" xr:uid="{00000000-0005-0000-0000-0000D7030000}"/>
    <cellStyle name="40% - Accent1 2 2 2 7 2" xfId="12998" xr:uid="{00C4F348-026F-4498-877C-1CF33374E1D3}"/>
    <cellStyle name="40% - Accent1 2 2 2 8" xfId="8780" xr:uid="{B545562D-6C9E-4324-9DBF-EA7688F5DBD9}"/>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B133E8BE-432F-4202-AD74-932ED2F7FB3B}"/>
    <cellStyle name="40% - Accent1 2 2 3 2 3" xfId="11338" xr:uid="{DB4F6B75-42A9-4FE7-9E90-A1EE38C8D15D}"/>
    <cellStyle name="40% - Accent1 2 2 3 3" xfId="4969" xr:uid="{00000000-0005-0000-0000-0000DB030000}"/>
    <cellStyle name="40% - Accent1 2 2 3 3 2" xfId="13411" xr:uid="{75811CAF-4F30-42EA-80F2-7AF6A5BCC6FB}"/>
    <cellStyle name="40% - Accent1 2 2 3 4" xfId="9193" xr:uid="{E10733F0-CC33-4A31-97C6-CB3C5B85883C}"/>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C3CDDAA9-F503-4AB2-AFC5-9569193A86CA}"/>
    <cellStyle name="40% - Accent1 2 2 4 2 3" xfId="11751" xr:uid="{C107B04A-B107-4FCA-8835-7643637C4005}"/>
    <cellStyle name="40% - Accent1 2 2 4 3" xfId="5382" xr:uid="{00000000-0005-0000-0000-0000DF030000}"/>
    <cellStyle name="40% - Accent1 2 2 4 3 2" xfId="13824" xr:uid="{C66D376B-520B-4131-88D8-B215918FDD74}"/>
    <cellStyle name="40% - Accent1 2 2 4 4" xfId="9606" xr:uid="{9D7203A8-0973-4CF1-B646-F768C5385EA2}"/>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3D56D78B-3D3C-4F29-8A8B-7DE0DBB2F3C7}"/>
    <cellStyle name="40% - Accent1 2 2 5 2 3" xfId="12164" xr:uid="{6D707D3C-BA37-471F-9FB4-7A17921289B6}"/>
    <cellStyle name="40% - Accent1 2 2 5 3" xfId="5795" xr:uid="{00000000-0005-0000-0000-0000E3030000}"/>
    <cellStyle name="40% - Accent1 2 2 5 3 2" xfId="14237" xr:uid="{9CB0B3D6-F5A2-4CA8-A475-8FB469B9A94F}"/>
    <cellStyle name="40% - Accent1 2 2 5 4" xfId="10019" xr:uid="{298D5907-187A-4BD6-94C1-0EC21A879B68}"/>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61BAAD96-69CF-4169-B02C-9147C765783E}"/>
    <cellStyle name="40% - Accent1 2 2 6 2 3" xfId="12577" xr:uid="{D3A1B35A-375C-4515-B059-537E0815FDDF}"/>
    <cellStyle name="40% - Accent1 2 2 6 3" xfId="6208" xr:uid="{00000000-0005-0000-0000-0000E7030000}"/>
    <cellStyle name="40% - Accent1 2 2 6 3 2" xfId="14650" xr:uid="{B347A2BB-502D-49B2-B6C0-01D2715E5C02}"/>
    <cellStyle name="40% - Accent1 2 2 6 4" xfId="10432" xr:uid="{A3C88576-B4C1-4852-9777-82C6CC4D2D20}"/>
    <cellStyle name="40% - Accent1 2 2 7" xfId="2314" xr:uid="{00000000-0005-0000-0000-0000E8030000}"/>
    <cellStyle name="40% - Accent1 2 2 7 2" xfId="6621" xr:uid="{00000000-0005-0000-0000-0000E9030000}"/>
    <cellStyle name="40% - Accent1 2 2 7 2 2" xfId="15063" xr:uid="{0362D613-FA59-4FE1-AEF3-D4AB2AED6BAF}"/>
    <cellStyle name="40% - Accent1 2 2 7 3" xfId="10845" xr:uid="{95DCFE3F-F9B4-4199-9C8D-C0C0BE2B5D81}"/>
    <cellStyle name="40% - Accent1 2 2 8" xfId="4555" xr:uid="{00000000-0005-0000-0000-0000EA030000}"/>
    <cellStyle name="40% - Accent1 2 2 8 2" xfId="12997" xr:uid="{86AC5407-E8AA-4653-8042-4D234F7DE8D0}"/>
    <cellStyle name="40% - Accent1 2 2 9" xfId="8779" xr:uid="{E573E43D-EB75-4C23-B214-D0F93D84D68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56D183C0-BEEC-4A35-AC9C-725F5046B57B}"/>
    <cellStyle name="40% - Accent1 2 3 2 2 3" xfId="11340" xr:uid="{6CA3828F-D0CE-4509-8224-30A9C8713102}"/>
    <cellStyle name="40% - Accent1 2 3 2 3" xfId="4971" xr:uid="{00000000-0005-0000-0000-0000EF030000}"/>
    <cellStyle name="40% - Accent1 2 3 2 3 2" xfId="13413" xr:uid="{966870AB-A840-49EB-B6FC-6DA0335A4FDF}"/>
    <cellStyle name="40% - Accent1 2 3 2 4" xfId="9195" xr:uid="{E129FBB5-DDB8-440B-96B0-070963B3427C}"/>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CE0BDA90-5324-4863-B0AB-195C6A4653EF}"/>
    <cellStyle name="40% - Accent1 2 3 3 2 3" xfId="11753" xr:uid="{1C7EE4AB-49CC-491C-913D-548723ECE14F}"/>
    <cellStyle name="40% - Accent1 2 3 3 3" xfId="5384" xr:uid="{00000000-0005-0000-0000-0000F3030000}"/>
    <cellStyle name="40% - Accent1 2 3 3 3 2" xfId="13826" xr:uid="{E00DEA21-960C-4990-9029-7E8D541EAEB0}"/>
    <cellStyle name="40% - Accent1 2 3 3 4" xfId="9608" xr:uid="{30588EA0-CBD4-4AB2-A93C-31E7ED253F10}"/>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8A09699E-6478-47F1-AFE3-7D2F76B2FA38}"/>
    <cellStyle name="40% - Accent1 2 3 4 2 3" xfId="12166" xr:uid="{0283EB2C-9F4A-4084-807C-BC79C2924388}"/>
    <cellStyle name="40% - Accent1 2 3 4 3" xfId="5797" xr:uid="{00000000-0005-0000-0000-0000F7030000}"/>
    <cellStyle name="40% - Accent1 2 3 4 3 2" xfId="14239" xr:uid="{BCD0B8FF-32F3-4F92-92E8-E1A3CEC0C27A}"/>
    <cellStyle name="40% - Accent1 2 3 4 4" xfId="10021" xr:uid="{4D3A5EF7-B560-4E7A-8777-52DC31800540}"/>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D23C96D2-BFF8-4F40-AEE1-8D76F9AF915A}"/>
    <cellStyle name="40% - Accent1 2 3 5 2 3" xfId="12579" xr:uid="{A08D5371-E2E8-4F39-9D52-AB1A3FC97081}"/>
    <cellStyle name="40% - Accent1 2 3 5 3" xfId="6210" xr:uid="{00000000-0005-0000-0000-0000FB030000}"/>
    <cellStyle name="40% - Accent1 2 3 5 3 2" xfId="14652" xr:uid="{5261D28D-DED9-4C2B-8BF8-3B7E70DEBCA5}"/>
    <cellStyle name="40% - Accent1 2 3 5 4" xfId="10434" xr:uid="{CB80310E-2D46-4A63-97EA-E3D256718D2E}"/>
    <cellStyle name="40% - Accent1 2 3 6" xfId="2316" xr:uid="{00000000-0005-0000-0000-0000FC030000}"/>
    <cellStyle name="40% - Accent1 2 3 6 2" xfId="6623" xr:uid="{00000000-0005-0000-0000-0000FD030000}"/>
    <cellStyle name="40% - Accent1 2 3 6 2 2" xfId="15065" xr:uid="{91A95132-1897-4517-85BB-2669FC7D4CC3}"/>
    <cellStyle name="40% - Accent1 2 3 6 3" xfId="10847" xr:uid="{159163E2-2416-4C6C-B77E-83034603E57B}"/>
    <cellStyle name="40% - Accent1 2 3 7" xfId="4557" xr:uid="{00000000-0005-0000-0000-0000FE030000}"/>
    <cellStyle name="40% - Accent1 2 3 7 2" xfId="12999" xr:uid="{B4556F9E-93F6-4F83-84FA-954728530159}"/>
    <cellStyle name="40% - Accent1 2 3 8" xfId="8781" xr:uid="{818174C7-0F47-4D5D-BB51-514AB0251E4D}"/>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B42A454F-B8EC-456A-8DF3-503F8EEA7E09}"/>
    <cellStyle name="40% - Accent1 2 4 2 3" xfId="11337" xr:uid="{3D84D2B5-52BC-473A-B6F8-EA1F5E6D44FC}"/>
    <cellStyle name="40% - Accent1 2 4 3" xfId="4968" xr:uid="{00000000-0005-0000-0000-000002040000}"/>
    <cellStyle name="40% - Accent1 2 4 3 2" xfId="13410" xr:uid="{F5E54F7A-7023-4AB8-96EB-52F8EBCEA403}"/>
    <cellStyle name="40% - Accent1 2 4 4" xfId="9192" xr:uid="{183A460B-EE4D-4627-952F-EF3D1B33EADE}"/>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14C2FF7B-C938-455D-BA10-A017BDC5A63E}"/>
    <cellStyle name="40% - Accent1 2 5 2 3" xfId="11750" xr:uid="{1D892A0B-3A3C-4E44-ADE5-AD732A2ACC11}"/>
    <cellStyle name="40% - Accent1 2 5 3" xfId="5381" xr:uid="{00000000-0005-0000-0000-000006040000}"/>
    <cellStyle name="40% - Accent1 2 5 3 2" xfId="13823" xr:uid="{C087B1A7-FD7E-4748-93B1-15FC267A3A8F}"/>
    <cellStyle name="40% - Accent1 2 5 4" xfId="9605" xr:uid="{909E2F7E-F74D-438C-B53C-8120F198315A}"/>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90597687-ECF9-4F9E-8522-8A51D2E50EE3}"/>
    <cellStyle name="40% - Accent1 2 6 2 3" xfId="12163" xr:uid="{100B56C5-2259-4C0B-9159-157E5449D13A}"/>
    <cellStyle name="40% - Accent1 2 6 3" xfId="5794" xr:uid="{00000000-0005-0000-0000-00000A040000}"/>
    <cellStyle name="40% - Accent1 2 6 3 2" xfId="14236" xr:uid="{E5446023-7F3E-4970-8AFC-943DCEBF75BB}"/>
    <cellStyle name="40% - Accent1 2 6 4" xfId="10018" xr:uid="{8F2081D6-2240-4221-A7EF-2C363C2C83E8}"/>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56F5857A-D87F-4827-AD28-5D07238D694A}"/>
    <cellStyle name="40% - Accent1 2 7 2 3" xfId="12576" xr:uid="{93E5C317-6FC4-437A-810A-CB56E112861D}"/>
    <cellStyle name="40% - Accent1 2 7 3" xfId="6207" xr:uid="{00000000-0005-0000-0000-00000E040000}"/>
    <cellStyle name="40% - Accent1 2 7 3 2" xfId="14649" xr:uid="{65FCD145-E257-4496-B0A1-1A51922F8CC2}"/>
    <cellStyle name="40% - Accent1 2 7 4" xfId="10431" xr:uid="{0AC8CC7E-17D7-4C62-80AF-783115424EBF}"/>
    <cellStyle name="40% - Accent1 2 8" xfId="2313" xr:uid="{00000000-0005-0000-0000-00000F040000}"/>
    <cellStyle name="40% - Accent1 2 8 2" xfId="6620" xr:uid="{00000000-0005-0000-0000-000010040000}"/>
    <cellStyle name="40% - Accent1 2 8 2 2" xfId="15062" xr:uid="{25588F75-FEC2-4A81-A24F-3DC6ECBD6B65}"/>
    <cellStyle name="40% - Accent1 2 8 3" xfId="10844" xr:uid="{3468A33C-0FB7-4C72-9934-F5157A697A60}"/>
    <cellStyle name="40% - Accent1 2 9" xfId="4554" xr:uid="{00000000-0005-0000-0000-000011040000}"/>
    <cellStyle name="40% - Accent1 2 9 2" xfId="12996" xr:uid="{6A4FB366-7657-433A-8302-F3E33B8DD5BD}"/>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DEDBB533-F811-46AA-9BA4-289DE7430D72}"/>
    <cellStyle name="40% - Accent1 3 2 2 2 3" xfId="11342" xr:uid="{DBD2FE13-56FB-41E4-A701-F6F35238A33A}"/>
    <cellStyle name="40% - Accent1 3 2 2 3" xfId="4973" xr:uid="{00000000-0005-0000-0000-000017040000}"/>
    <cellStyle name="40% - Accent1 3 2 2 3 2" xfId="13415" xr:uid="{528A2044-4DF1-44ED-800A-9822D2280995}"/>
    <cellStyle name="40% - Accent1 3 2 2 4" xfId="9197" xr:uid="{EE710737-915F-490B-AD58-7E573CE7CFCB}"/>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1FB8E464-18E6-4EBF-94DB-881E4E16B2E7}"/>
    <cellStyle name="40% - Accent1 3 2 3 2 3" xfId="11755" xr:uid="{A57DE8D3-2DB3-48F8-AB69-67440E2C6FEA}"/>
    <cellStyle name="40% - Accent1 3 2 3 3" xfId="5386" xr:uid="{00000000-0005-0000-0000-00001B040000}"/>
    <cellStyle name="40% - Accent1 3 2 3 3 2" xfId="13828" xr:uid="{548C7A4D-0FC5-40AD-B738-7CBB345AA1E3}"/>
    <cellStyle name="40% - Accent1 3 2 3 4" xfId="9610" xr:uid="{565AE6C8-A17D-4457-B3FF-C949627F488F}"/>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7C73128C-3651-4D99-91B1-689EB6D65621}"/>
    <cellStyle name="40% - Accent1 3 2 4 2 3" xfId="12168" xr:uid="{C80253CD-F7E7-40CB-8CC8-931E1CD1D5D9}"/>
    <cellStyle name="40% - Accent1 3 2 4 3" xfId="5799" xr:uid="{00000000-0005-0000-0000-00001F040000}"/>
    <cellStyle name="40% - Accent1 3 2 4 3 2" xfId="14241" xr:uid="{DEA792C1-C3B7-4BEF-93F7-F61CA4C4C605}"/>
    <cellStyle name="40% - Accent1 3 2 4 4" xfId="10023" xr:uid="{DDEE8B38-50B7-4363-B9A4-13A8CA40A513}"/>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A26E077E-2D6A-4753-9D9F-D1CC3ACD4AA7}"/>
    <cellStyle name="40% - Accent1 3 2 5 2 3" xfId="12581" xr:uid="{035B02F1-1D0C-4C70-8935-F879A7915EE6}"/>
    <cellStyle name="40% - Accent1 3 2 5 3" xfId="6212" xr:uid="{00000000-0005-0000-0000-000023040000}"/>
    <cellStyle name="40% - Accent1 3 2 5 3 2" xfId="14654" xr:uid="{C03568E9-7360-4D4D-9B3C-5838CF6FC910}"/>
    <cellStyle name="40% - Accent1 3 2 5 4" xfId="10436" xr:uid="{57712190-DB4E-4315-B5A7-8B28F92AE7EC}"/>
    <cellStyle name="40% - Accent1 3 2 6" xfId="2318" xr:uid="{00000000-0005-0000-0000-000024040000}"/>
    <cellStyle name="40% - Accent1 3 2 6 2" xfId="6625" xr:uid="{00000000-0005-0000-0000-000025040000}"/>
    <cellStyle name="40% - Accent1 3 2 6 2 2" xfId="15067" xr:uid="{3328D2A3-ABC9-4694-B0BD-1F816A2C46A1}"/>
    <cellStyle name="40% - Accent1 3 2 6 3" xfId="10849" xr:uid="{80A557CE-F4F5-4F7B-97A2-019E43E2E534}"/>
    <cellStyle name="40% - Accent1 3 2 7" xfId="4559" xr:uid="{00000000-0005-0000-0000-000026040000}"/>
    <cellStyle name="40% - Accent1 3 2 7 2" xfId="13001" xr:uid="{BF3725F8-3ABA-4368-9EA8-26A971154CC3}"/>
    <cellStyle name="40% - Accent1 3 2 8" xfId="8783" xr:uid="{5FC07713-B00B-4350-AFE5-EC3068FE3D4D}"/>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113F7710-41C5-4FCE-822D-A4C132645B22}"/>
    <cellStyle name="40% - Accent1 3 3 2 3" xfId="11341" xr:uid="{35002D5D-68BE-417A-9F56-DCF80CF3F697}"/>
    <cellStyle name="40% - Accent1 3 3 3" xfId="4972" xr:uid="{00000000-0005-0000-0000-00002A040000}"/>
    <cellStyle name="40% - Accent1 3 3 3 2" xfId="13414" xr:uid="{9A702ECF-AF71-4C15-997F-014EE92D926A}"/>
    <cellStyle name="40% - Accent1 3 3 4" xfId="9196" xr:uid="{A9DB7341-174E-49F4-854D-57458F9D83FC}"/>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31D63E32-B66D-46B0-8220-72E51D925008}"/>
    <cellStyle name="40% - Accent1 3 4 2 3" xfId="11754" xr:uid="{0A6A894B-05DB-4743-B415-04E52EECDCA1}"/>
    <cellStyle name="40% - Accent1 3 4 3" xfId="5385" xr:uid="{00000000-0005-0000-0000-00002E040000}"/>
    <cellStyle name="40% - Accent1 3 4 3 2" xfId="13827" xr:uid="{22F1E0B7-F676-42DC-9003-C0386B1F4E9D}"/>
    <cellStyle name="40% - Accent1 3 4 4" xfId="9609" xr:uid="{EE61C60A-99D5-49B9-9214-45888BB1FE16}"/>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A3625907-F8DD-4223-AA50-53AAA6CC5C22}"/>
    <cellStyle name="40% - Accent1 3 5 2 3" xfId="12167" xr:uid="{72449E53-A9CB-4A1D-ABA8-FBD307DA0A24}"/>
    <cellStyle name="40% - Accent1 3 5 3" xfId="5798" xr:uid="{00000000-0005-0000-0000-000032040000}"/>
    <cellStyle name="40% - Accent1 3 5 3 2" xfId="14240" xr:uid="{24F22476-04E0-4D62-86DA-DCAF1C28C791}"/>
    <cellStyle name="40% - Accent1 3 5 4" xfId="10022" xr:uid="{3502FE51-F406-4B17-8003-09D86DC1C107}"/>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EEAA84BF-2E87-4CB0-A602-B98D77D13C70}"/>
    <cellStyle name="40% - Accent1 3 6 2 3" xfId="12580" xr:uid="{D5D8EA63-C977-4EBE-86EF-663245563789}"/>
    <cellStyle name="40% - Accent1 3 6 3" xfId="6211" xr:uid="{00000000-0005-0000-0000-000036040000}"/>
    <cellStyle name="40% - Accent1 3 6 3 2" xfId="14653" xr:uid="{C254FF56-AF30-4C4F-BDFF-A06A03EA88FC}"/>
    <cellStyle name="40% - Accent1 3 6 4" xfId="10435" xr:uid="{4E759E62-F502-4E88-87B8-83CE3AFDA0B0}"/>
    <cellStyle name="40% - Accent1 3 7" xfId="2317" xr:uid="{00000000-0005-0000-0000-000037040000}"/>
    <cellStyle name="40% - Accent1 3 7 2" xfId="6624" xr:uid="{00000000-0005-0000-0000-000038040000}"/>
    <cellStyle name="40% - Accent1 3 7 2 2" xfId="15066" xr:uid="{8779E910-9C6F-4BFD-8B54-8ECD8AA2D1C3}"/>
    <cellStyle name="40% - Accent1 3 7 3" xfId="10848" xr:uid="{BC7CE6E4-2E71-432A-8215-88E52548CABF}"/>
    <cellStyle name="40% - Accent1 3 8" xfId="4558" xr:uid="{00000000-0005-0000-0000-000039040000}"/>
    <cellStyle name="40% - Accent1 3 8 2" xfId="13000" xr:uid="{B4603359-32AD-4B4B-97F6-D0D87F793D7F}"/>
    <cellStyle name="40% - Accent1 3 9" xfId="8782" xr:uid="{6BA91D30-12F8-457F-ADD8-7292ABE49DDA}"/>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3C728D65-F70E-4330-AE4B-FEFBC888D06D}"/>
    <cellStyle name="40% - Accent1 4 2 2 3" xfId="11343" xr:uid="{CE1E73B0-B2FD-47DC-A6FC-7EBF1E955778}"/>
    <cellStyle name="40% - Accent1 4 2 3" xfId="4974" xr:uid="{00000000-0005-0000-0000-00003E040000}"/>
    <cellStyle name="40% - Accent1 4 2 3 2" xfId="13416" xr:uid="{B06DCFB6-A66C-4BF0-A9AC-53AF3560CFA0}"/>
    <cellStyle name="40% - Accent1 4 2 4" xfId="9198" xr:uid="{F20A0565-309A-4663-846C-911E236610B1}"/>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56E9B33E-4418-4C0D-96AF-75D3FC945FBF}"/>
    <cellStyle name="40% - Accent1 4 3 2 3" xfId="11756" xr:uid="{975B096C-5739-43FC-B784-992C667C2BBA}"/>
    <cellStyle name="40% - Accent1 4 3 3" xfId="5387" xr:uid="{00000000-0005-0000-0000-000042040000}"/>
    <cellStyle name="40% - Accent1 4 3 3 2" xfId="13829" xr:uid="{6A037647-0A86-4A83-9CCA-F5C4618BFD4D}"/>
    <cellStyle name="40% - Accent1 4 3 4" xfId="9611" xr:uid="{170C928C-91D5-4D4E-8433-56FB26248CA1}"/>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BC65B054-FA0B-4CFA-9AF8-525307BBD561}"/>
    <cellStyle name="40% - Accent1 4 4 2 3" xfId="12169" xr:uid="{B948DFC7-CFEE-43B7-B814-2D7B909B43C5}"/>
    <cellStyle name="40% - Accent1 4 4 3" xfId="5800" xr:uid="{00000000-0005-0000-0000-000046040000}"/>
    <cellStyle name="40% - Accent1 4 4 3 2" xfId="14242" xr:uid="{D3066233-E528-49CB-8CEE-2018CA07F716}"/>
    <cellStyle name="40% - Accent1 4 4 4" xfId="10024" xr:uid="{45CC3672-231A-4831-9DC5-4CAEF9AC2BBC}"/>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12B69FA5-67FE-4BE3-9713-B8A15B2CDF42}"/>
    <cellStyle name="40% - Accent1 4 5 2 3" xfId="12582" xr:uid="{7E024EDD-5753-4F69-8AC5-D20D2C9778A7}"/>
    <cellStyle name="40% - Accent1 4 5 3" xfId="6213" xr:uid="{00000000-0005-0000-0000-00004A040000}"/>
    <cellStyle name="40% - Accent1 4 5 3 2" xfId="14655" xr:uid="{A6468505-36B0-403C-A52A-7315900172C4}"/>
    <cellStyle name="40% - Accent1 4 5 4" xfId="10437" xr:uid="{E79950DC-6A13-4FBA-BB1D-94ADD4820653}"/>
    <cellStyle name="40% - Accent1 4 6" xfId="2319" xr:uid="{00000000-0005-0000-0000-00004B040000}"/>
    <cellStyle name="40% - Accent1 4 6 2" xfId="6626" xr:uid="{00000000-0005-0000-0000-00004C040000}"/>
    <cellStyle name="40% - Accent1 4 6 2 2" xfId="15068" xr:uid="{0289C30D-80A1-49FD-8F08-F86E62C2C97A}"/>
    <cellStyle name="40% - Accent1 4 6 3" xfId="10850" xr:uid="{3D2CB0A3-736F-4258-8FA1-D8CB3908CACA}"/>
    <cellStyle name="40% - Accent1 4 7" xfId="4560" xr:uid="{00000000-0005-0000-0000-00004D040000}"/>
    <cellStyle name="40% - Accent1 4 7 2" xfId="13002" xr:uid="{25FBB71F-9CE9-4EBA-8A55-3117FA24BB65}"/>
    <cellStyle name="40% - Accent1 4 8" xfId="8784" xr:uid="{31223B00-7D70-43CA-865E-CD44A3E9F6B9}"/>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FBDACC8A-CFA7-4017-B1DB-970072C9FB3B}"/>
    <cellStyle name="40% - Accent1 5 2 3" xfId="11336" xr:uid="{B3B9329A-6882-42E4-96D2-7B7A75E44CF1}"/>
    <cellStyle name="40% - Accent1 5 3" xfId="4967" xr:uid="{00000000-0005-0000-0000-000051040000}"/>
    <cellStyle name="40% - Accent1 5 3 2" xfId="13409" xr:uid="{C963542E-324D-4589-8F20-350CA051F381}"/>
    <cellStyle name="40% - Accent1 5 4" xfId="9191" xr:uid="{6C284C6E-B867-40E6-9D9E-570844F9C968}"/>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75FAAAA0-D3EE-4730-8D1A-A796020D61D1}"/>
    <cellStyle name="40% - Accent1 6 2 3" xfId="11749" xr:uid="{5D08C32F-1F7F-4ECD-91E7-8689526EA8A2}"/>
    <cellStyle name="40% - Accent1 6 3" xfId="5380" xr:uid="{00000000-0005-0000-0000-000055040000}"/>
    <cellStyle name="40% - Accent1 6 3 2" xfId="13822" xr:uid="{4897CBBF-E278-41AF-81CD-B3DB1D1781CD}"/>
    <cellStyle name="40% - Accent1 6 4" xfId="9604" xr:uid="{82BD272A-2B70-456C-A6B1-0E41FB3CF52A}"/>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1D1916A7-8CE0-4FC8-992A-0785DEAB8A66}"/>
    <cellStyle name="40% - Accent1 7 2 3" xfId="12162" xr:uid="{2BCCCC45-5CDE-49AA-B8F7-5ECBDF7F9123}"/>
    <cellStyle name="40% - Accent1 7 3" xfId="5793" xr:uid="{00000000-0005-0000-0000-000059040000}"/>
    <cellStyle name="40% - Accent1 7 3 2" xfId="14235" xr:uid="{C3501153-1E5D-44BA-8D83-E5DA26C469E7}"/>
    <cellStyle name="40% - Accent1 7 4" xfId="10017" xr:uid="{60CBD7B7-6819-424C-B4ED-75D736C6D48E}"/>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3A90C540-DB14-4B34-9513-161E855FB06D}"/>
    <cellStyle name="40% - Accent1 8 2 3" xfId="12575" xr:uid="{88B12598-641E-4AAF-A283-D22158BEC4BF}"/>
    <cellStyle name="40% - Accent1 8 3" xfId="6206" xr:uid="{00000000-0005-0000-0000-00005D040000}"/>
    <cellStyle name="40% - Accent1 8 3 2" xfId="14648" xr:uid="{D103453A-4716-49D3-A08E-A545010D64D5}"/>
    <cellStyle name="40% - Accent1 8 4" xfId="10430" xr:uid="{26938C9F-C44C-44AB-8B25-F338D708E4FC}"/>
    <cellStyle name="40% - Accent1 9" xfId="2312" xr:uid="{00000000-0005-0000-0000-00005E040000}"/>
    <cellStyle name="40% - Accent1 9 2" xfId="6619" xr:uid="{00000000-0005-0000-0000-00005F040000}"/>
    <cellStyle name="40% - Accent1 9 2 2" xfId="15061" xr:uid="{11BB8884-9513-4FCC-AF50-E9E9983886CE}"/>
    <cellStyle name="40% - Accent1 9 3" xfId="10843" xr:uid="{531686CE-B5BD-402E-A9FC-94F6809F7B86}"/>
    <cellStyle name="40% - Accent2" xfId="57" builtinId="35" customBuiltin="1"/>
    <cellStyle name="40% - Accent2 10" xfId="4561" xr:uid="{00000000-0005-0000-0000-000061040000}"/>
    <cellStyle name="40% - Accent2 10 2" xfId="13003" xr:uid="{632C5A30-A8DC-47B8-BCA2-971D925D60E9}"/>
    <cellStyle name="40% - Accent2 11" xfId="8785" xr:uid="{BA5DBCE6-4ECA-4BB7-9D6C-CFB0534932A4}"/>
    <cellStyle name="40% - Accent2 2" xfId="58" xr:uid="{00000000-0005-0000-0000-000062040000}"/>
    <cellStyle name="40% - Accent2 2 10" xfId="8786" xr:uid="{68E88670-30D0-4D02-AA89-EAE0A58050EB}"/>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367E22C4-3B45-4C8A-B9DD-9C159635F87E}"/>
    <cellStyle name="40% - Accent2 2 2 2 2 2 3" xfId="11347" xr:uid="{32F122E2-2C9D-4677-8807-A1D1C7557968}"/>
    <cellStyle name="40% - Accent2 2 2 2 2 3" xfId="4978" xr:uid="{00000000-0005-0000-0000-000068040000}"/>
    <cellStyle name="40% - Accent2 2 2 2 2 3 2" xfId="13420" xr:uid="{740773AE-A35D-45EA-9036-D9916A4C7C12}"/>
    <cellStyle name="40% - Accent2 2 2 2 2 4" xfId="9202" xr:uid="{07A6F566-D10C-4609-8155-E8E71EACD56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F63E9895-E244-4C83-B676-3AA5E270C919}"/>
    <cellStyle name="40% - Accent2 2 2 2 3 2 3" xfId="11760" xr:uid="{6EDE5548-886F-4733-B760-5B9816F2C4B5}"/>
    <cellStyle name="40% - Accent2 2 2 2 3 3" xfId="5391" xr:uid="{00000000-0005-0000-0000-00006C040000}"/>
    <cellStyle name="40% - Accent2 2 2 2 3 3 2" xfId="13833" xr:uid="{FC86DC9F-69F6-4070-AD62-30A72B66AEF8}"/>
    <cellStyle name="40% - Accent2 2 2 2 3 4" xfId="9615" xr:uid="{EE177422-F4E3-49F0-B5BC-FC04C1DE75AF}"/>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2BA91D94-FB09-45F6-91C8-8FC4FAEEB4C4}"/>
    <cellStyle name="40% - Accent2 2 2 2 4 2 3" xfId="12173" xr:uid="{1F1D65F0-33C0-4DC9-B626-4C9D59B838DA}"/>
    <cellStyle name="40% - Accent2 2 2 2 4 3" xfId="5804" xr:uid="{00000000-0005-0000-0000-000070040000}"/>
    <cellStyle name="40% - Accent2 2 2 2 4 3 2" xfId="14246" xr:uid="{CBE61152-60C0-43DB-971D-4F0FE3C0EAB1}"/>
    <cellStyle name="40% - Accent2 2 2 2 4 4" xfId="10028" xr:uid="{F380855F-6CC4-4478-9D00-A06C6CB4EBDA}"/>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BC4346F5-E8C5-4156-B2B6-3E19118C1AB4}"/>
    <cellStyle name="40% - Accent2 2 2 2 5 2 3" xfId="12586" xr:uid="{417E34F4-F2CD-49DB-8081-9E72C30E7FA6}"/>
    <cellStyle name="40% - Accent2 2 2 2 5 3" xfId="6217" xr:uid="{00000000-0005-0000-0000-000074040000}"/>
    <cellStyle name="40% - Accent2 2 2 2 5 3 2" xfId="14659" xr:uid="{A726AD68-EC50-4B0F-84A3-A949971120BF}"/>
    <cellStyle name="40% - Accent2 2 2 2 5 4" xfId="10441" xr:uid="{0CD40181-299F-442D-BE6E-0EEB3B9E2765}"/>
    <cellStyle name="40% - Accent2 2 2 2 6" xfId="2323" xr:uid="{00000000-0005-0000-0000-000075040000}"/>
    <cellStyle name="40% - Accent2 2 2 2 6 2" xfId="6630" xr:uid="{00000000-0005-0000-0000-000076040000}"/>
    <cellStyle name="40% - Accent2 2 2 2 6 2 2" xfId="15072" xr:uid="{953EFBBD-CD31-47AD-A914-0F2F52B74439}"/>
    <cellStyle name="40% - Accent2 2 2 2 6 3" xfId="10854" xr:uid="{D113455B-0EC4-4B5D-9C96-69BAFDC70490}"/>
    <cellStyle name="40% - Accent2 2 2 2 7" xfId="4564" xr:uid="{00000000-0005-0000-0000-000077040000}"/>
    <cellStyle name="40% - Accent2 2 2 2 7 2" xfId="13006" xr:uid="{AC0C8144-08AE-4DFD-8B9F-B5FEF675F757}"/>
    <cellStyle name="40% - Accent2 2 2 2 8" xfId="8788" xr:uid="{864E6597-6616-4C70-B358-337F7EB02B21}"/>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759CDC9B-25B9-4972-9108-0CC5A8382733}"/>
    <cellStyle name="40% - Accent2 2 2 3 2 3" xfId="11346" xr:uid="{9AFE364F-B58C-4EBC-B180-3FE1D71022FF}"/>
    <cellStyle name="40% - Accent2 2 2 3 3" xfId="4977" xr:uid="{00000000-0005-0000-0000-00007B040000}"/>
    <cellStyle name="40% - Accent2 2 2 3 3 2" xfId="13419" xr:uid="{C14CC339-BB6E-4455-8E54-0E53424129C8}"/>
    <cellStyle name="40% - Accent2 2 2 3 4" xfId="9201" xr:uid="{8093E200-3231-47BD-B47C-EB831F07D9B2}"/>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BAF4872E-752B-4D44-BD70-C9EE1BEBF718}"/>
    <cellStyle name="40% - Accent2 2 2 4 2 3" xfId="11759" xr:uid="{D6ABDE4A-0CB0-4358-8248-2CE0B061DD35}"/>
    <cellStyle name="40% - Accent2 2 2 4 3" xfId="5390" xr:uid="{00000000-0005-0000-0000-00007F040000}"/>
    <cellStyle name="40% - Accent2 2 2 4 3 2" xfId="13832" xr:uid="{5CA1B506-CD9D-4AC9-B37B-A6CEDC2915FA}"/>
    <cellStyle name="40% - Accent2 2 2 4 4" xfId="9614" xr:uid="{42FD3AA0-4BE7-4D58-A0A2-925703598662}"/>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186192E7-06BE-4EAA-A1D6-C22F2154661B}"/>
    <cellStyle name="40% - Accent2 2 2 5 2 3" xfId="12172" xr:uid="{9878AEF8-5B21-4342-B740-F8A97BE04CDD}"/>
    <cellStyle name="40% - Accent2 2 2 5 3" xfId="5803" xr:uid="{00000000-0005-0000-0000-000083040000}"/>
    <cellStyle name="40% - Accent2 2 2 5 3 2" xfId="14245" xr:uid="{18B8542E-E7AA-42E2-A3BC-B0579CE12B51}"/>
    <cellStyle name="40% - Accent2 2 2 5 4" xfId="10027" xr:uid="{0A8C6C02-BA04-4332-A0DB-7E8081EB3F0A}"/>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617D15F6-E035-4139-AB1E-343660CF5FED}"/>
    <cellStyle name="40% - Accent2 2 2 6 2 3" xfId="12585" xr:uid="{BE43355B-3E43-488D-9530-9F06F18A271C}"/>
    <cellStyle name="40% - Accent2 2 2 6 3" xfId="6216" xr:uid="{00000000-0005-0000-0000-000087040000}"/>
    <cellStyle name="40% - Accent2 2 2 6 3 2" xfId="14658" xr:uid="{10880925-428B-4D6B-85D2-A827CD0A3703}"/>
    <cellStyle name="40% - Accent2 2 2 6 4" xfId="10440" xr:uid="{5BED28AB-0DF8-47B7-9AB7-7895C5E6332C}"/>
    <cellStyle name="40% - Accent2 2 2 7" xfId="2322" xr:uid="{00000000-0005-0000-0000-000088040000}"/>
    <cellStyle name="40% - Accent2 2 2 7 2" xfId="6629" xr:uid="{00000000-0005-0000-0000-000089040000}"/>
    <cellStyle name="40% - Accent2 2 2 7 2 2" xfId="15071" xr:uid="{57297F3C-84BA-44EC-B489-16595B72DC0E}"/>
    <cellStyle name="40% - Accent2 2 2 7 3" xfId="10853" xr:uid="{84BE1DDE-4DFA-4BFF-9AAA-29F154D359D7}"/>
    <cellStyle name="40% - Accent2 2 2 8" xfId="4563" xr:uid="{00000000-0005-0000-0000-00008A040000}"/>
    <cellStyle name="40% - Accent2 2 2 8 2" xfId="13005" xr:uid="{8D47CA56-A783-46F6-B648-2E7975CF3A9F}"/>
    <cellStyle name="40% - Accent2 2 2 9" xfId="8787" xr:uid="{44516A1A-D4F9-441B-BE19-BD98BD472E95}"/>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9CAE5D12-6E4B-4492-96CF-3DD085F39ADE}"/>
    <cellStyle name="40% - Accent2 2 3 2 2 3" xfId="11348" xr:uid="{75B57A2B-2D23-41F1-8D06-98F2D73CAA61}"/>
    <cellStyle name="40% - Accent2 2 3 2 3" xfId="4979" xr:uid="{00000000-0005-0000-0000-00008F040000}"/>
    <cellStyle name="40% - Accent2 2 3 2 3 2" xfId="13421" xr:uid="{C321D894-422C-4340-BA02-ADF1787CDE97}"/>
    <cellStyle name="40% - Accent2 2 3 2 4" xfId="9203" xr:uid="{3FB10A4D-553C-45C6-88CA-6C5D8E8FE34A}"/>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C74A4F22-1583-4D00-94CC-B97A4C851F31}"/>
    <cellStyle name="40% - Accent2 2 3 3 2 3" xfId="11761" xr:uid="{CFE68DCC-AD11-4972-B2CD-650E22A4A111}"/>
    <cellStyle name="40% - Accent2 2 3 3 3" xfId="5392" xr:uid="{00000000-0005-0000-0000-000093040000}"/>
    <cellStyle name="40% - Accent2 2 3 3 3 2" xfId="13834" xr:uid="{3D1DBE2F-73F7-4BC0-BC90-B0FA8366FA93}"/>
    <cellStyle name="40% - Accent2 2 3 3 4" xfId="9616" xr:uid="{0109B959-B23B-4A0C-BBEC-872D4D1DB805}"/>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EB70E76D-CDB7-40E1-8CD3-7F0DB00BDEAB}"/>
    <cellStyle name="40% - Accent2 2 3 4 2 3" xfId="12174" xr:uid="{C50428BB-63A6-4D4B-BD1A-BA3BC84F5F89}"/>
    <cellStyle name="40% - Accent2 2 3 4 3" xfId="5805" xr:uid="{00000000-0005-0000-0000-000097040000}"/>
    <cellStyle name="40% - Accent2 2 3 4 3 2" xfId="14247" xr:uid="{F08A1EDF-355A-4997-A423-087D6E2C0BF8}"/>
    <cellStyle name="40% - Accent2 2 3 4 4" xfId="10029" xr:uid="{5B583728-B27B-413E-B31F-EB1B6A6C8226}"/>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F2C82144-8324-452E-B356-B471CA1B30C5}"/>
    <cellStyle name="40% - Accent2 2 3 5 2 3" xfId="12587" xr:uid="{35462FF5-B33E-41EE-AB1A-2BF0C94B8077}"/>
    <cellStyle name="40% - Accent2 2 3 5 3" xfId="6218" xr:uid="{00000000-0005-0000-0000-00009B040000}"/>
    <cellStyle name="40% - Accent2 2 3 5 3 2" xfId="14660" xr:uid="{8BE7AD46-23B3-45CB-8E45-C599E32DE5DE}"/>
    <cellStyle name="40% - Accent2 2 3 5 4" xfId="10442" xr:uid="{8DF43A2E-9321-4DBC-99BC-560600694506}"/>
    <cellStyle name="40% - Accent2 2 3 6" xfId="2324" xr:uid="{00000000-0005-0000-0000-00009C040000}"/>
    <cellStyle name="40% - Accent2 2 3 6 2" xfId="6631" xr:uid="{00000000-0005-0000-0000-00009D040000}"/>
    <cellStyle name="40% - Accent2 2 3 6 2 2" xfId="15073" xr:uid="{6689F404-6CDE-4D8F-9C51-374DBB4C7411}"/>
    <cellStyle name="40% - Accent2 2 3 6 3" xfId="10855" xr:uid="{DE9935A7-115E-4AA4-8000-10DBE56F75E8}"/>
    <cellStyle name="40% - Accent2 2 3 7" xfId="4565" xr:uid="{00000000-0005-0000-0000-00009E040000}"/>
    <cellStyle name="40% - Accent2 2 3 7 2" xfId="13007" xr:uid="{537DA938-D869-4394-AB47-392579309F1A}"/>
    <cellStyle name="40% - Accent2 2 3 8" xfId="8789" xr:uid="{B9E11E99-CADF-4FE4-B75A-E52B8CB5F598}"/>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E2A14F17-E738-433C-80CF-00DE3CBBD984}"/>
    <cellStyle name="40% - Accent2 2 4 2 3" xfId="11345" xr:uid="{9FFD33B9-5DAF-4D86-80F4-877F4ED77681}"/>
    <cellStyle name="40% - Accent2 2 4 3" xfId="4976" xr:uid="{00000000-0005-0000-0000-0000A2040000}"/>
    <cellStyle name="40% - Accent2 2 4 3 2" xfId="13418" xr:uid="{AD5F877E-C329-4A5A-A91F-7CDA350314B1}"/>
    <cellStyle name="40% - Accent2 2 4 4" xfId="9200" xr:uid="{720A8AD9-D836-4A26-BEAB-190345966A78}"/>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CD89AB23-E8BD-4D7F-981B-F50C40A49029}"/>
    <cellStyle name="40% - Accent2 2 5 2 3" xfId="11758" xr:uid="{08E11D2F-BCC0-4F13-AC12-274FD829B70F}"/>
    <cellStyle name="40% - Accent2 2 5 3" xfId="5389" xr:uid="{00000000-0005-0000-0000-0000A6040000}"/>
    <cellStyle name="40% - Accent2 2 5 3 2" xfId="13831" xr:uid="{F64FBD7D-D04F-48DF-A08D-22687F3BEC5B}"/>
    <cellStyle name="40% - Accent2 2 5 4" xfId="9613" xr:uid="{5ADBA40C-C8F5-4159-98C2-5586B0DB581A}"/>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885183FF-3A31-4D80-A185-71AE95B81E27}"/>
    <cellStyle name="40% - Accent2 2 6 2 3" xfId="12171" xr:uid="{F8C92295-980C-4DE7-9DA2-A0AC3DB95223}"/>
    <cellStyle name="40% - Accent2 2 6 3" xfId="5802" xr:uid="{00000000-0005-0000-0000-0000AA040000}"/>
    <cellStyle name="40% - Accent2 2 6 3 2" xfId="14244" xr:uid="{FD33FEFE-51F3-4345-9308-0D6649B0B23D}"/>
    <cellStyle name="40% - Accent2 2 6 4" xfId="10026" xr:uid="{657E0A2B-59E7-44CA-93B9-2573102C5C7F}"/>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2F58A760-CFE4-4572-A69D-E8B484BF90AB}"/>
    <cellStyle name="40% - Accent2 2 7 2 3" xfId="12584" xr:uid="{20B901B9-C86F-489B-9BB3-6CCA2C4B85BC}"/>
    <cellStyle name="40% - Accent2 2 7 3" xfId="6215" xr:uid="{00000000-0005-0000-0000-0000AE040000}"/>
    <cellStyle name="40% - Accent2 2 7 3 2" xfId="14657" xr:uid="{DCC1EE6D-F646-4C0B-9EA7-79D3DDFAF5EB}"/>
    <cellStyle name="40% - Accent2 2 7 4" xfId="10439" xr:uid="{8261DBEB-99C9-432D-A327-4CB606411E4E}"/>
    <cellStyle name="40% - Accent2 2 8" xfId="2321" xr:uid="{00000000-0005-0000-0000-0000AF040000}"/>
    <cellStyle name="40% - Accent2 2 8 2" xfId="6628" xr:uid="{00000000-0005-0000-0000-0000B0040000}"/>
    <cellStyle name="40% - Accent2 2 8 2 2" xfId="15070" xr:uid="{051EE289-13DC-4920-A72F-CF09D5840C2F}"/>
    <cellStyle name="40% - Accent2 2 8 3" xfId="10852" xr:uid="{22D1B9AD-A4FD-4C8C-9B40-3FEDEFE0D6D6}"/>
    <cellStyle name="40% - Accent2 2 9" xfId="4562" xr:uid="{00000000-0005-0000-0000-0000B1040000}"/>
    <cellStyle name="40% - Accent2 2 9 2" xfId="13004" xr:uid="{28930D98-3508-417E-B55E-FEEF5739C029}"/>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A7FEAD1A-F8FB-40A8-A958-26AFF35F0BBF}"/>
    <cellStyle name="40% - Accent2 3 2 2 2 3" xfId="11350" xr:uid="{B51E81A9-E37C-4BE8-B8D7-CC27BC1D8CF7}"/>
    <cellStyle name="40% - Accent2 3 2 2 3" xfId="4981" xr:uid="{00000000-0005-0000-0000-0000B7040000}"/>
    <cellStyle name="40% - Accent2 3 2 2 3 2" xfId="13423" xr:uid="{1D7F56FF-D094-4A7E-8E38-99DA24A36D89}"/>
    <cellStyle name="40% - Accent2 3 2 2 4" xfId="9205" xr:uid="{60B823C9-D6A7-4169-B200-CD03A0930A2D}"/>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0950D909-D533-455E-9633-F65FFA675837}"/>
    <cellStyle name="40% - Accent2 3 2 3 2 3" xfId="11763" xr:uid="{0CBC6A0E-FD1C-42E9-8560-1A67E9258740}"/>
    <cellStyle name="40% - Accent2 3 2 3 3" xfId="5394" xr:uid="{00000000-0005-0000-0000-0000BB040000}"/>
    <cellStyle name="40% - Accent2 3 2 3 3 2" xfId="13836" xr:uid="{51754F87-1EA4-48DD-AB1B-71C20EB46FE1}"/>
    <cellStyle name="40% - Accent2 3 2 3 4" xfId="9618" xr:uid="{396065B8-3922-4677-AB48-130BBC84C16A}"/>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2F14EB22-DEC5-4FD8-8B3E-3D973888EE14}"/>
    <cellStyle name="40% - Accent2 3 2 4 2 3" xfId="12176" xr:uid="{947E6A35-FDF0-44AD-9ED6-E76A54F5603F}"/>
    <cellStyle name="40% - Accent2 3 2 4 3" xfId="5807" xr:uid="{00000000-0005-0000-0000-0000BF040000}"/>
    <cellStyle name="40% - Accent2 3 2 4 3 2" xfId="14249" xr:uid="{4AE4E94C-8493-47C8-BE16-5E3828E6061D}"/>
    <cellStyle name="40% - Accent2 3 2 4 4" xfId="10031" xr:uid="{59D26421-8865-4A63-9C5F-16E477C8A733}"/>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E9459EFA-9684-4F78-B72B-69697236FA5B}"/>
    <cellStyle name="40% - Accent2 3 2 5 2 3" xfId="12589" xr:uid="{28D22F73-472D-4670-8471-6ADA224C0CE2}"/>
    <cellStyle name="40% - Accent2 3 2 5 3" xfId="6220" xr:uid="{00000000-0005-0000-0000-0000C3040000}"/>
    <cellStyle name="40% - Accent2 3 2 5 3 2" xfId="14662" xr:uid="{44AE38E1-2F4B-4C04-A8B0-AA10924F06EF}"/>
    <cellStyle name="40% - Accent2 3 2 5 4" xfId="10444" xr:uid="{3FED9D8D-A62F-4614-B73D-8A9F7568248A}"/>
    <cellStyle name="40% - Accent2 3 2 6" xfId="2326" xr:uid="{00000000-0005-0000-0000-0000C4040000}"/>
    <cellStyle name="40% - Accent2 3 2 6 2" xfId="6633" xr:uid="{00000000-0005-0000-0000-0000C5040000}"/>
    <cellStyle name="40% - Accent2 3 2 6 2 2" xfId="15075" xr:uid="{106DCD6C-9E62-4D5C-96D3-50A8F41AB388}"/>
    <cellStyle name="40% - Accent2 3 2 6 3" xfId="10857" xr:uid="{828A0CD7-64CF-4065-BC96-83A1B34E2A25}"/>
    <cellStyle name="40% - Accent2 3 2 7" xfId="4567" xr:uid="{00000000-0005-0000-0000-0000C6040000}"/>
    <cellStyle name="40% - Accent2 3 2 7 2" xfId="13009" xr:uid="{ECC7BB28-F361-465D-AED3-9AA6E0F932C1}"/>
    <cellStyle name="40% - Accent2 3 2 8" xfId="8791" xr:uid="{C0D08CA8-C2E8-4B90-AE67-5C89C8CF9657}"/>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9026D397-D65F-4A6A-B0FE-49283D0EE03F}"/>
    <cellStyle name="40% - Accent2 3 3 2 3" xfId="11349" xr:uid="{8F8B4418-65F6-49AF-9883-EEA61D131A38}"/>
    <cellStyle name="40% - Accent2 3 3 3" xfId="4980" xr:uid="{00000000-0005-0000-0000-0000CA040000}"/>
    <cellStyle name="40% - Accent2 3 3 3 2" xfId="13422" xr:uid="{2E465162-2F23-4858-A5D3-E6742046E58C}"/>
    <cellStyle name="40% - Accent2 3 3 4" xfId="9204" xr:uid="{D72DBE67-740B-46E7-96E8-CE68207B59C2}"/>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319EEE58-7B90-44D2-A452-E36074112859}"/>
    <cellStyle name="40% - Accent2 3 4 2 3" xfId="11762" xr:uid="{6C9A5385-177C-49E2-B105-AD8CAF189AB3}"/>
    <cellStyle name="40% - Accent2 3 4 3" xfId="5393" xr:uid="{00000000-0005-0000-0000-0000CE040000}"/>
    <cellStyle name="40% - Accent2 3 4 3 2" xfId="13835" xr:uid="{15D1513D-DE3A-4958-8666-001F867D0A32}"/>
    <cellStyle name="40% - Accent2 3 4 4" xfId="9617" xr:uid="{A5560DC3-C12D-416A-BCCB-54809E85209E}"/>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DAF8E05D-E8B5-49F2-BEC8-D623882DC185}"/>
    <cellStyle name="40% - Accent2 3 5 2 3" xfId="12175" xr:uid="{3137F138-7F93-4745-B496-A74EEA550436}"/>
    <cellStyle name="40% - Accent2 3 5 3" xfId="5806" xr:uid="{00000000-0005-0000-0000-0000D2040000}"/>
    <cellStyle name="40% - Accent2 3 5 3 2" xfId="14248" xr:uid="{027BC14B-B1C7-44D1-B54E-AD329765B079}"/>
    <cellStyle name="40% - Accent2 3 5 4" xfId="10030" xr:uid="{580F8DC3-2953-4D29-B6AF-7604E9ACA662}"/>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557CF6FA-2C4A-4101-9D7F-841844D1EE22}"/>
    <cellStyle name="40% - Accent2 3 6 2 3" xfId="12588" xr:uid="{54467213-084C-460D-A00D-757315244EE7}"/>
    <cellStyle name="40% - Accent2 3 6 3" xfId="6219" xr:uid="{00000000-0005-0000-0000-0000D6040000}"/>
    <cellStyle name="40% - Accent2 3 6 3 2" xfId="14661" xr:uid="{699423A3-41BC-4641-8DA9-599CB94A24FE}"/>
    <cellStyle name="40% - Accent2 3 6 4" xfId="10443" xr:uid="{B2EFB516-9DEE-48ED-9539-ACE727CA1C6D}"/>
    <cellStyle name="40% - Accent2 3 7" xfId="2325" xr:uid="{00000000-0005-0000-0000-0000D7040000}"/>
    <cellStyle name="40% - Accent2 3 7 2" xfId="6632" xr:uid="{00000000-0005-0000-0000-0000D8040000}"/>
    <cellStyle name="40% - Accent2 3 7 2 2" xfId="15074" xr:uid="{47E34126-8722-40F1-A1AB-935427ACCA69}"/>
    <cellStyle name="40% - Accent2 3 7 3" xfId="10856" xr:uid="{5F87F0D8-85F8-4AB2-8C67-610DD6BC2ECB}"/>
    <cellStyle name="40% - Accent2 3 8" xfId="4566" xr:uid="{00000000-0005-0000-0000-0000D9040000}"/>
    <cellStyle name="40% - Accent2 3 8 2" xfId="13008" xr:uid="{3B0477AF-68F5-4826-80AE-51746E586D21}"/>
    <cellStyle name="40% - Accent2 3 9" xfId="8790" xr:uid="{0B9E5BF4-C5F6-4FE7-85EF-54C6FD3E04FC}"/>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7625FF13-A3C3-4FD0-A7B0-369D0362CE42}"/>
    <cellStyle name="40% - Accent2 4 2 2 3" xfId="11351" xr:uid="{EDA5EA1C-45C6-45E9-8023-39CF610A1B91}"/>
    <cellStyle name="40% - Accent2 4 2 3" xfId="4982" xr:uid="{00000000-0005-0000-0000-0000DE040000}"/>
    <cellStyle name="40% - Accent2 4 2 3 2" xfId="13424" xr:uid="{DC685F81-74C1-4CDD-8EE6-99D498BEF434}"/>
    <cellStyle name="40% - Accent2 4 2 4" xfId="9206" xr:uid="{FD0DAAD0-0C16-488F-85BB-9AEE9B8CB258}"/>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9CEB4375-772B-455A-BA01-181C6C0F6BAF}"/>
    <cellStyle name="40% - Accent2 4 3 2 3" xfId="11764" xr:uid="{7A9A2A29-B982-4CFC-A12E-A35CAF06E8AC}"/>
    <cellStyle name="40% - Accent2 4 3 3" xfId="5395" xr:uid="{00000000-0005-0000-0000-0000E2040000}"/>
    <cellStyle name="40% - Accent2 4 3 3 2" xfId="13837" xr:uid="{2055BDF5-D614-4DFE-9F4C-49099B46A015}"/>
    <cellStyle name="40% - Accent2 4 3 4" xfId="9619" xr:uid="{4299E66B-43CA-4498-BF9F-D4933F377B72}"/>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ADEF83D6-E682-4968-AC9D-CFDA4D825817}"/>
    <cellStyle name="40% - Accent2 4 4 2 3" xfId="12177" xr:uid="{971D4B19-C32A-455C-ADC1-957E35E8825A}"/>
    <cellStyle name="40% - Accent2 4 4 3" xfId="5808" xr:uid="{00000000-0005-0000-0000-0000E6040000}"/>
    <cellStyle name="40% - Accent2 4 4 3 2" xfId="14250" xr:uid="{E9FC7060-F62D-44D3-BC1A-0EA364651DF4}"/>
    <cellStyle name="40% - Accent2 4 4 4" xfId="10032" xr:uid="{B269FDC8-7CE6-4E0F-BA80-A13020F28432}"/>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BFEAB401-750E-466B-AF18-6FDD610187C4}"/>
    <cellStyle name="40% - Accent2 4 5 2 3" xfId="12590" xr:uid="{518E9B88-1228-4393-8BBD-47B8AC99FB41}"/>
    <cellStyle name="40% - Accent2 4 5 3" xfId="6221" xr:uid="{00000000-0005-0000-0000-0000EA040000}"/>
    <cellStyle name="40% - Accent2 4 5 3 2" xfId="14663" xr:uid="{220BA609-7410-4DFD-8CB8-1079F4F2CDBA}"/>
    <cellStyle name="40% - Accent2 4 5 4" xfId="10445" xr:uid="{9EB4B062-8B90-48EE-BDBE-443F54BD7428}"/>
    <cellStyle name="40% - Accent2 4 6" xfId="2327" xr:uid="{00000000-0005-0000-0000-0000EB040000}"/>
    <cellStyle name="40% - Accent2 4 6 2" xfId="6634" xr:uid="{00000000-0005-0000-0000-0000EC040000}"/>
    <cellStyle name="40% - Accent2 4 6 2 2" xfId="15076" xr:uid="{C16FBF94-7F5F-4E38-8F9C-397FB58F762E}"/>
    <cellStyle name="40% - Accent2 4 6 3" xfId="10858" xr:uid="{0FEC7551-4414-4BF2-BCF4-173D0D3BC67C}"/>
    <cellStyle name="40% - Accent2 4 7" xfId="4568" xr:uid="{00000000-0005-0000-0000-0000ED040000}"/>
    <cellStyle name="40% - Accent2 4 7 2" xfId="13010" xr:uid="{98557790-FD55-4E9A-A0B1-13B03816D811}"/>
    <cellStyle name="40% - Accent2 4 8" xfId="8792" xr:uid="{617E53AB-D046-4448-AD54-779ABBDF59FF}"/>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C40E7765-1E21-4BFC-BCA7-423D79EF39AD}"/>
    <cellStyle name="40% - Accent2 5 2 3" xfId="11344" xr:uid="{3BFC573E-9823-47E5-9337-3D13CA675B4F}"/>
    <cellStyle name="40% - Accent2 5 3" xfId="4975" xr:uid="{00000000-0005-0000-0000-0000F1040000}"/>
    <cellStyle name="40% - Accent2 5 3 2" xfId="13417" xr:uid="{E85EE940-2EC8-4D9A-A067-CEAB8AAA6638}"/>
    <cellStyle name="40% - Accent2 5 4" xfId="9199" xr:uid="{00905AB6-0189-4EB8-90FA-14ABB61AFFC2}"/>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AF631BC1-0567-46CB-AFD9-BEDC7BBA4F63}"/>
    <cellStyle name="40% - Accent2 6 2 3" xfId="11757" xr:uid="{9CE7E3D2-2BEB-4649-90BA-1FBACE0B5726}"/>
    <cellStyle name="40% - Accent2 6 3" xfId="5388" xr:uid="{00000000-0005-0000-0000-0000F5040000}"/>
    <cellStyle name="40% - Accent2 6 3 2" xfId="13830" xr:uid="{3BD9A58C-9223-44BA-9CFE-0F82A4BCBCA4}"/>
    <cellStyle name="40% - Accent2 6 4" xfId="9612" xr:uid="{FAA51A32-B879-4CE4-A103-61CB19D21518}"/>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6E48655E-2B35-4CEB-A032-8D4F958A4EA3}"/>
    <cellStyle name="40% - Accent2 7 2 3" xfId="12170" xr:uid="{5B7381BB-D706-4424-B728-B48B3260BF6F}"/>
    <cellStyle name="40% - Accent2 7 3" xfId="5801" xr:uid="{00000000-0005-0000-0000-0000F9040000}"/>
    <cellStyle name="40% - Accent2 7 3 2" xfId="14243" xr:uid="{85773880-98FB-48E9-89BD-8BD5CA64CF97}"/>
    <cellStyle name="40% - Accent2 7 4" xfId="10025" xr:uid="{17DB7E99-ED04-4852-8366-935D04EABE26}"/>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B28D1763-4248-4518-9170-81C4F0940561}"/>
    <cellStyle name="40% - Accent2 8 2 3" xfId="12583" xr:uid="{42F224F3-2721-408A-B669-7BF39D268E5A}"/>
    <cellStyle name="40% - Accent2 8 3" xfId="6214" xr:uid="{00000000-0005-0000-0000-0000FD040000}"/>
    <cellStyle name="40% - Accent2 8 3 2" xfId="14656" xr:uid="{56053082-E2DF-4E8F-9EF5-9646178CDCBE}"/>
    <cellStyle name="40% - Accent2 8 4" xfId="10438" xr:uid="{5C623742-F5D9-4CB8-9E44-9301C572830E}"/>
    <cellStyle name="40% - Accent2 9" xfId="2320" xr:uid="{00000000-0005-0000-0000-0000FE040000}"/>
    <cellStyle name="40% - Accent2 9 2" xfId="6627" xr:uid="{00000000-0005-0000-0000-0000FF040000}"/>
    <cellStyle name="40% - Accent2 9 2 2" xfId="15069" xr:uid="{E6657787-FC06-495F-8935-4B63CBB8DBE0}"/>
    <cellStyle name="40% - Accent2 9 3" xfId="10851" xr:uid="{8B7621C0-8D01-4347-8BAF-84DE640E5FF2}"/>
    <cellStyle name="40% - Accent3" xfId="65" builtinId="39" customBuiltin="1"/>
    <cellStyle name="40% - Accent3 10" xfId="4569" xr:uid="{00000000-0005-0000-0000-000001050000}"/>
    <cellStyle name="40% - Accent3 10 2" xfId="13011" xr:uid="{2D3A2B5C-B640-4E63-B2B6-68258B03135D}"/>
    <cellStyle name="40% - Accent3 11" xfId="8793" xr:uid="{4FDA3524-06DD-4B4B-B2E6-4EF348D700B8}"/>
    <cellStyle name="40% - Accent3 2" xfId="66" xr:uid="{00000000-0005-0000-0000-000002050000}"/>
    <cellStyle name="40% - Accent3 2 10" xfId="8794" xr:uid="{11ED255E-B4FD-4833-8758-8F063EA48EFD}"/>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F9229B3E-C9BC-4DCC-85FE-088B69EEE659}"/>
    <cellStyle name="40% - Accent3 2 2 2 2 2 3" xfId="11355" xr:uid="{C137BBC2-EB6C-4F0B-9F2B-35EECF153440}"/>
    <cellStyle name="40% - Accent3 2 2 2 2 3" xfId="4986" xr:uid="{00000000-0005-0000-0000-000008050000}"/>
    <cellStyle name="40% - Accent3 2 2 2 2 3 2" xfId="13428" xr:uid="{111647D4-11A4-443F-88AC-756A530AEB32}"/>
    <cellStyle name="40% - Accent3 2 2 2 2 4" xfId="9210" xr:uid="{5687B067-503D-44EC-B773-C8F1B23574E6}"/>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2719F123-A197-4889-9F39-549D1F37019C}"/>
    <cellStyle name="40% - Accent3 2 2 2 3 2 3" xfId="11768" xr:uid="{6D5D46EF-2E2D-40F8-9AA7-15D0A1ABF970}"/>
    <cellStyle name="40% - Accent3 2 2 2 3 3" xfId="5399" xr:uid="{00000000-0005-0000-0000-00000C050000}"/>
    <cellStyle name="40% - Accent3 2 2 2 3 3 2" xfId="13841" xr:uid="{4C751BDB-E083-4603-AB0E-2EC815B3EAA8}"/>
    <cellStyle name="40% - Accent3 2 2 2 3 4" xfId="9623" xr:uid="{A53E5F50-7992-4903-88FC-541EBC663731}"/>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D1BEC346-E164-4880-A856-7FACFF0FBF22}"/>
    <cellStyle name="40% - Accent3 2 2 2 4 2 3" xfId="12181" xr:uid="{E7117D1D-E59D-4B41-BD3A-2A803D825B73}"/>
    <cellStyle name="40% - Accent3 2 2 2 4 3" xfId="5812" xr:uid="{00000000-0005-0000-0000-000010050000}"/>
    <cellStyle name="40% - Accent3 2 2 2 4 3 2" xfId="14254" xr:uid="{FF16FA9E-201E-4996-BB22-D3F9E7BD1489}"/>
    <cellStyle name="40% - Accent3 2 2 2 4 4" xfId="10036" xr:uid="{BB97F48C-6A27-416C-92F5-16D808161224}"/>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B629F431-5596-47C1-988E-2AE9AD5C9F6A}"/>
    <cellStyle name="40% - Accent3 2 2 2 5 2 3" xfId="12594" xr:uid="{66FC9095-A132-4348-9B1A-713B9223D4D3}"/>
    <cellStyle name="40% - Accent3 2 2 2 5 3" xfId="6225" xr:uid="{00000000-0005-0000-0000-000014050000}"/>
    <cellStyle name="40% - Accent3 2 2 2 5 3 2" xfId="14667" xr:uid="{5F67D6D0-7051-44E1-91FD-7D4C95EC2BD0}"/>
    <cellStyle name="40% - Accent3 2 2 2 5 4" xfId="10449" xr:uid="{4BD12A37-8E90-4436-B849-3AD4C4D7E254}"/>
    <cellStyle name="40% - Accent3 2 2 2 6" xfId="2331" xr:uid="{00000000-0005-0000-0000-000015050000}"/>
    <cellStyle name="40% - Accent3 2 2 2 6 2" xfId="6638" xr:uid="{00000000-0005-0000-0000-000016050000}"/>
    <cellStyle name="40% - Accent3 2 2 2 6 2 2" xfId="15080" xr:uid="{F3D1B564-3E56-45AE-A137-9B08ACDA24B4}"/>
    <cellStyle name="40% - Accent3 2 2 2 6 3" xfId="10862" xr:uid="{B562F67B-81C2-49A9-A5BD-138AABE691CD}"/>
    <cellStyle name="40% - Accent3 2 2 2 7" xfId="4572" xr:uid="{00000000-0005-0000-0000-000017050000}"/>
    <cellStyle name="40% - Accent3 2 2 2 7 2" xfId="13014" xr:uid="{9B7A88E8-C610-49B2-A9E9-B3F0160DAF06}"/>
    <cellStyle name="40% - Accent3 2 2 2 8" xfId="8796" xr:uid="{02447137-098E-4200-8B11-911760592BB4}"/>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5505E5CA-4850-4FD0-9C82-97EC4B9556E6}"/>
    <cellStyle name="40% - Accent3 2 2 3 2 3" xfId="11354" xr:uid="{B2C98747-73C2-47CB-AD43-DD4AF59E59A6}"/>
    <cellStyle name="40% - Accent3 2 2 3 3" xfId="4985" xr:uid="{00000000-0005-0000-0000-00001B050000}"/>
    <cellStyle name="40% - Accent3 2 2 3 3 2" xfId="13427" xr:uid="{582ED030-17BD-4FA6-8015-A7B97BCD6616}"/>
    <cellStyle name="40% - Accent3 2 2 3 4" xfId="9209" xr:uid="{DA6052A6-763A-43D0-A66F-7DC586A17A20}"/>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95EB098D-987A-4EC4-A78E-72ACF0C40132}"/>
    <cellStyle name="40% - Accent3 2 2 4 2 3" xfId="11767" xr:uid="{5B5B38B4-781E-4A4B-8E7E-B866752E5D25}"/>
    <cellStyle name="40% - Accent3 2 2 4 3" xfId="5398" xr:uid="{00000000-0005-0000-0000-00001F050000}"/>
    <cellStyle name="40% - Accent3 2 2 4 3 2" xfId="13840" xr:uid="{E768D67C-A356-40DD-B572-15E45D624B7C}"/>
    <cellStyle name="40% - Accent3 2 2 4 4" xfId="9622" xr:uid="{E6155438-D834-4071-BA32-D10189BB88A2}"/>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3FDB56C0-50F1-42CC-89F9-468AF33EC0A2}"/>
    <cellStyle name="40% - Accent3 2 2 5 2 3" xfId="12180" xr:uid="{AFDD5102-DCBA-4B70-BFE1-00B88B7A761D}"/>
    <cellStyle name="40% - Accent3 2 2 5 3" xfId="5811" xr:uid="{00000000-0005-0000-0000-000023050000}"/>
    <cellStyle name="40% - Accent3 2 2 5 3 2" xfId="14253" xr:uid="{B20D0D48-DC0C-4FB6-A918-A15841264385}"/>
    <cellStyle name="40% - Accent3 2 2 5 4" xfId="10035" xr:uid="{C90621B3-8F52-4927-856A-9FD9141FA0AA}"/>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85C74966-C683-45B3-A393-A19494484958}"/>
    <cellStyle name="40% - Accent3 2 2 6 2 3" xfId="12593" xr:uid="{4F89D899-997A-44C9-B9B4-D524E2C004FC}"/>
    <cellStyle name="40% - Accent3 2 2 6 3" xfId="6224" xr:uid="{00000000-0005-0000-0000-000027050000}"/>
    <cellStyle name="40% - Accent3 2 2 6 3 2" xfId="14666" xr:uid="{67E943E2-CCE6-44C0-BD0C-B656936BAB8D}"/>
    <cellStyle name="40% - Accent3 2 2 6 4" xfId="10448" xr:uid="{C7ABAFCB-0018-487A-B3F5-8766824E4CE7}"/>
    <cellStyle name="40% - Accent3 2 2 7" xfId="2330" xr:uid="{00000000-0005-0000-0000-000028050000}"/>
    <cellStyle name="40% - Accent3 2 2 7 2" xfId="6637" xr:uid="{00000000-0005-0000-0000-000029050000}"/>
    <cellStyle name="40% - Accent3 2 2 7 2 2" xfId="15079" xr:uid="{9F7322F6-FFF2-4772-ACEE-B5888C244790}"/>
    <cellStyle name="40% - Accent3 2 2 7 3" xfId="10861" xr:uid="{2C3A2713-A6F7-4FA7-87EC-3FA491538BC5}"/>
    <cellStyle name="40% - Accent3 2 2 8" xfId="4571" xr:uid="{00000000-0005-0000-0000-00002A050000}"/>
    <cellStyle name="40% - Accent3 2 2 8 2" xfId="13013" xr:uid="{48FBC697-16C9-4D23-888D-2BBA4B0FE65B}"/>
    <cellStyle name="40% - Accent3 2 2 9" xfId="8795" xr:uid="{4288CFA9-6305-42F2-8865-AD7BE41FD284}"/>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B70549A1-139C-47AF-80DC-88CD62D2FD30}"/>
    <cellStyle name="40% - Accent3 2 3 2 2 3" xfId="11356" xr:uid="{3706686D-299A-42DC-8AAC-D307F9717B5A}"/>
    <cellStyle name="40% - Accent3 2 3 2 3" xfId="4987" xr:uid="{00000000-0005-0000-0000-00002F050000}"/>
    <cellStyle name="40% - Accent3 2 3 2 3 2" xfId="13429" xr:uid="{475F617B-377F-41FA-92B3-0B9FC7CB3EDB}"/>
    <cellStyle name="40% - Accent3 2 3 2 4" xfId="9211" xr:uid="{B9ABC888-42DE-49B2-B6DE-986440389835}"/>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A03A429A-15D3-45AC-B617-6FAEE94903F8}"/>
    <cellStyle name="40% - Accent3 2 3 3 2 3" xfId="11769" xr:uid="{B300ACD0-D30C-484C-9978-B3C073B0F06E}"/>
    <cellStyle name="40% - Accent3 2 3 3 3" xfId="5400" xr:uid="{00000000-0005-0000-0000-000033050000}"/>
    <cellStyle name="40% - Accent3 2 3 3 3 2" xfId="13842" xr:uid="{67301FAB-C8FD-45A2-8EF5-233B1954E25A}"/>
    <cellStyle name="40% - Accent3 2 3 3 4" xfId="9624" xr:uid="{8F26548B-37E2-4B9F-B21E-11E4493F3438}"/>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BF343590-4A7B-4E3D-AE5F-8446C018C481}"/>
    <cellStyle name="40% - Accent3 2 3 4 2 3" xfId="12182" xr:uid="{0D56A060-B848-45D5-940F-5168ADB99A6E}"/>
    <cellStyle name="40% - Accent3 2 3 4 3" xfId="5813" xr:uid="{00000000-0005-0000-0000-000037050000}"/>
    <cellStyle name="40% - Accent3 2 3 4 3 2" xfId="14255" xr:uid="{626BFD5A-CEF5-4A6E-9557-C1CC3540D36D}"/>
    <cellStyle name="40% - Accent3 2 3 4 4" xfId="10037" xr:uid="{F8CD0C80-0D36-457D-88D7-E9FD915060AC}"/>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FF99011B-CE25-4854-A574-FAD7CB285DCC}"/>
    <cellStyle name="40% - Accent3 2 3 5 2 3" xfId="12595" xr:uid="{09C1A4E9-8413-4803-BA0B-E5FE470E763A}"/>
    <cellStyle name="40% - Accent3 2 3 5 3" xfId="6226" xr:uid="{00000000-0005-0000-0000-00003B050000}"/>
    <cellStyle name="40% - Accent3 2 3 5 3 2" xfId="14668" xr:uid="{929275C5-2D5A-4243-ACAF-D685F4E211DA}"/>
    <cellStyle name="40% - Accent3 2 3 5 4" xfId="10450" xr:uid="{A91BE83E-EB96-4882-881F-FB105AA0DB7B}"/>
    <cellStyle name="40% - Accent3 2 3 6" xfId="2332" xr:uid="{00000000-0005-0000-0000-00003C050000}"/>
    <cellStyle name="40% - Accent3 2 3 6 2" xfId="6639" xr:uid="{00000000-0005-0000-0000-00003D050000}"/>
    <cellStyle name="40% - Accent3 2 3 6 2 2" xfId="15081" xr:uid="{CA315564-C60A-4AFB-A3E6-DCB147413A1E}"/>
    <cellStyle name="40% - Accent3 2 3 6 3" xfId="10863" xr:uid="{8DFE8102-32AC-4658-99BA-5392A46B5807}"/>
    <cellStyle name="40% - Accent3 2 3 7" xfId="4573" xr:uid="{00000000-0005-0000-0000-00003E050000}"/>
    <cellStyle name="40% - Accent3 2 3 7 2" xfId="13015" xr:uid="{DA4A58C9-483C-4A7B-9828-526A44FB483F}"/>
    <cellStyle name="40% - Accent3 2 3 8" xfId="8797" xr:uid="{763C40BC-E5FA-4F2D-8737-CD955A2E4097}"/>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0117CF63-D04D-47EE-B457-B3BD5C3BAB08}"/>
    <cellStyle name="40% - Accent3 2 4 2 3" xfId="11353" xr:uid="{50BA33B2-9DBB-4CC9-AC84-D97CE769805E}"/>
    <cellStyle name="40% - Accent3 2 4 3" xfId="4984" xr:uid="{00000000-0005-0000-0000-000042050000}"/>
    <cellStyle name="40% - Accent3 2 4 3 2" xfId="13426" xr:uid="{7612CE61-9D93-4018-BE5E-A423E7E63E5C}"/>
    <cellStyle name="40% - Accent3 2 4 4" xfId="9208" xr:uid="{4327C3A8-A17E-42E6-8A0D-63FFB134E55F}"/>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7F00F8BF-7A82-4824-A6DE-56B8A30E0AEE}"/>
    <cellStyle name="40% - Accent3 2 5 2 3" xfId="11766" xr:uid="{458F6E6F-F24D-4FD3-BE84-F10501D15A44}"/>
    <cellStyle name="40% - Accent3 2 5 3" xfId="5397" xr:uid="{00000000-0005-0000-0000-000046050000}"/>
    <cellStyle name="40% - Accent3 2 5 3 2" xfId="13839" xr:uid="{E8598FCE-95B7-4CE8-A153-5FA8AC6B4541}"/>
    <cellStyle name="40% - Accent3 2 5 4" xfId="9621" xr:uid="{555FACAA-C7FC-4A2F-96AA-51805B0D9BFA}"/>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8BF1BC5B-FCC3-4C48-B335-3EFFB9F6698F}"/>
    <cellStyle name="40% - Accent3 2 6 2 3" xfId="12179" xr:uid="{4FA6BDD3-4647-4DF2-B706-DDF9EC421FE2}"/>
    <cellStyle name="40% - Accent3 2 6 3" xfId="5810" xr:uid="{00000000-0005-0000-0000-00004A050000}"/>
    <cellStyle name="40% - Accent3 2 6 3 2" xfId="14252" xr:uid="{BFB21B15-4860-42E9-BD5B-F88BF2B8E6B7}"/>
    <cellStyle name="40% - Accent3 2 6 4" xfId="10034" xr:uid="{5B84991F-6746-4987-B0D3-34BAFF570C3A}"/>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C3116161-492F-432B-B1BF-550F7E7CCF36}"/>
    <cellStyle name="40% - Accent3 2 7 2 3" xfId="12592" xr:uid="{FF9F9F0E-1AD8-4602-A11A-540ACBA475A3}"/>
    <cellStyle name="40% - Accent3 2 7 3" xfId="6223" xr:uid="{00000000-0005-0000-0000-00004E050000}"/>
    <cellStyle name="40% - Accent3 2 7 3 2" xfId="14665" xr:uid="{2E3E3D06-EDF8-400F-A230-B47F48FABC75}"/>
    <cellStyle name="40% - Accent3 2 7 4" xfId="10447" xr:uid="{A322A5BB-67F8-4809-8DC8-677348228F78}"/>
    <cellStyle name="40% - Accent3 2 8" xfId="2329" xr:uid="{00000000-0005-0000-0000-00004F050000}"/>
    <cellStyle name="40% - Accent3 2 8 2" xfId="6636" xr:uid="{00000000-0005-0000-0000-000050050000}"/>
    <cellStyle name="40% - Accent3 2 8 2 2" xfId="15078" xr:uid="{1B4A1B64-0D30-444E-B838-4AACB372CF5B}"/>
    <cellStyle name="40% - Accent3 2 8 3" xfId="10860" xr:uid="{A4982ADD-0AAA-4683-94AC-2FBBD464D236}"/>
    <cellStyle name="40% - Accent3 2 9" xfId="4570" xr:uid="{00000000-0005-0000-0000-000051050000}"/>
    <cellStyle name="40% - Accent3 2 9 2" xfId="13012" xr:uid="{0A71724C-BF18-4F7D-B6AE-D4A994A44D43}"/>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A486CC94-13EB-400A-89E1-985F9484B208}"/>
    <cellStyle name="40% - Accent3 3 2 2 2 3" xfId="11358" xr:uid="{63B03DA8-17B2-4CB3-9725-13EDC4C251B6}"/>
    <cellStyle name="40% - Accent3 3 2 2 3" xfId="4989" xr:uid="{00000000-0005-0000-0000-000057050000}"/>
    <cellStyle name="40% - Accent3 3 2 2 3 2" xfId="13431" xr:uid="{A226727F-DF7F-4B9D-B705-CD52EC23C90C}"/>
    <cellStyle name="40% - Accent3 3 2 2 4" xfId="9213" xr:uid="{1167053A-88C2-4094-810F-4F7F265C6BB3}"/>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CDE49535-6B15-48DF-9896-B3EE932DAFBF}"/>
    <cellStyle name="40% - Accent3 3 2 3 2 3" xfId="11771" xr:uid="{F649F4E3-4488-4CE7-A42D-D8F10F13D92D}"/>
    <cellStyle name="40% - Accent3 3 2 3 3" xfId="5402" xr:uid="{00000000-0005-0000-0000-00005B050000}"/>
    <cellStyle name="40% - Accent3 3 2 3 3 2" xfId="13844" xr:uid="{AA2AF7B5-598D-415A-8009-25F6B7672AB2}"/>
    <cellStyle name="40% - Accent3 3 2 3 4" xfId="9626" xr:uid="{7B1EB6F3-7F22-4136-A472-EA4109833DA5}"/>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3B771C3A-A5AF-4738-843D-157AA7881A69}"/>
    <cellStyle name="40% - Accent3 3 2 4 2 3" xfId="12184" xr:uid="{A7DE17D9-A3F8-462E-B782-4250175DD32A}"/>
    <cellStyle name="40% - Accent3 3 2 4 3" xfId="5815" xr:uid="{00000000-0005-0000-0000-00005F050000}"/>
    <cellStyle name="40% - Accent3 3 2 4 3 2" xfId="14257" xr:uid="{83B51645-2C85-4FDC-A6AD-DC82069D3A72}"/>
    <cellStyle name="40% - Accent3 3 2 4 4" xfId="10039" xr:uid="{EC012556-B6A9-4472-829C-A0477EBCCB97}"/>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23AD73D9-E84B-4611-98D6-C0245AACBF5E}"/>
    <cellStyle name="40% - Accent3 3 2 5 2 3" xfId="12597" xr:uid="{09DFC002-7F9E-44D3-AB44-D6F60D074E48}"/>
    <cellStyle name="40% - Accent3 3 2 5 3" xfId="6228" xr:uid="{00000000-0005-0000-0000-000063050000}"/>
    <cellStyle name="40% - Accent3 3 2 5 3 2" xfId="14670" xr:uid="{DD1350C8-0117-449E-9FD1-504F034CA846}"/>
    <cellStyle name="40% - Accent3 3 2 5 4" xfId="10452" xr:uid="{F8A5601B-E30A-45EF-8B9A-9276D1BE7EFF}"/>
    <cellStyle name="40% - Accent3 3 2 6" xfId="2334" xr:uid="{00000000-0005-0000-0000-000064050000}"/>
    <cellStyle name="40% - Accent3 3 2 6 2" xfId="6641" xr:uid="{00000000-0005-0000-0000-000065050000}"/>
    <cellStyle name="40% - Accent3 3 2 6 2 2" xfId="15083" xr:uid="{BD34AD31-E8DC-49FF-A947-F904A36F1589}"/>
    <cellStyle name="40% - Accent3 3 2 6 3" xfId="10865" xr:uid="{B1655659-32C9-427F-AD19-18E246BC17D5}"/>
    <cellStyle name="40% - Accent3 3 2 7" xfId="4575" xr:uid="{00000000-0005-0000-0000-000066050000}"/>
    <cellStyle name="40% - Accent3 3 2 7 2" xfId="13017" xr:uid="{B34659A6-A3E9-4304-9021-E31F964B729C}"/>
    <cellStyle name="40% - Accent3 3 2 8" xfId="8799" xr:uid="{BF9DCE2E-77A8-426D-BA30-80F231B33A05}"/>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9D15F6CE-4BA5-49C4-B09D-A2007FAEA5E0}"/>
    <cellStyle name="40% - Accent3 3 3 2 3" xfId="11357" xr:uid="{B6E527D0-1C9C-4F46-A06D-ACF6568CF333}"/>
    <cellStyle name="40% - Accent3 3 3 3" xfId="4988" xr:uid="{00000000-0005-0000-0000-00006A050000}"/>
    <cellStyle name="40% - Accent3 3 3 3 2" xfId="13430" xr:uid="{159342DA-6758-4B0C-8B71-1FA966DEE47E}"/>
    <cellStyle name="40% - Accent3 3 3 4" xfId="9212" xr:uid="{50E2BC5B-EC48-4CBE-ADE1-BA89BF190504}"/>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2E1EC8AE-4D69-488A-8350-F5BC95FA1CE9}"/>
    <cellStyle name="40% - Accent3 3 4 2 3" xfId="11770" xr:uid="{3345CBC2-A257-4181-B8A5-7D77231E39F1}"/>
    <cellStyle name="40% - Accent3 3 4 3" xfId="5401" xr:uid="{00000000-0005-0000-0000-00006E050000}"/>
    <cellStyle name="40% - Accent3 3 4 3 2" xfId="13843" xr:uid="{6DD79188-4C5D-4337-8708-F63FAADD5EAB}"/>
    <cellStyle name="40% - Accent3 3 4 4" xfId="9625" xr:uid="{4651029A-42D7-4749-9482-D6E6D097CE4E}"/>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D6756110-98D5-4A06-AF4D-6FC640BE8861}"/>
    <cellStyle name="40% - Accent3 3 5 2 3" xfId="12183" xr:uid="{782D484F-5671-4685-A76A-3BA6C045DBAA}"/>
    <cellStyle name="40% - Accent3 3 5 3" xfId="5814" xr:uid="{00000000-0005-0000-0000-000072050000}"/>
    <cellStyle name="40% - Accent3 3 5 3 2" xfId="14256" xr:uid="{123FA6DB-7B43-407C-9594-07F2629036CB}"/>
    <cellStyle name="40% - Accent3 3 5 4" xfId="10038" xr:uid="{AD4938F9-468A-4355-8AE0-0053C04E5DE1}"/>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D8143C19-8AD1-4C8A-AC76-A7EA8C1AC6DC}"/>
    <cellStyle name="40% - Accent3 3 6 2 3" xfId="12596" xr:uid="{B3D1ED9D-C787-4BF7-A21A-E1B378EA124C}"/>
    <cellStyle name="40% - Accent3 3 6 3" xfId="6227" xr:uid="{00000000-0005-0000-0000-000076050000}"/>
    <cellStyle name="40% - Accent3 3 6 3 2" xfId="14669" xr:uid="{0454CE70-8328-4899-9714-7669981F9DB6}"/>
    <cellStyle name="40% - Accent3 3 6 4" xfId="10451" xr:uid="{7CAC1A7A-CBEA-423B-B058-9A5B99B1EA39}"/>
    <cellStyle name="40% - Accent3 3 7" xfId="2333" xr:uid="{00000000-0005-0000-0000-000077050000}"/>
    <cellStyle name="40% - Accent3 3 7 2" xfId="6640" xr:uid="{00000000-0005-0000-0000-000078050000}"/>
    <cellStyle name="40% - Accent3 3 7 2 2" xfId="15082" xr:uid="{52DBE9B3-0B9E-459B-9B63-4260EE00F7E1}"/>
    <cellStyle name="40% - Accent3 3 7 3" xfId="10864" xr:uid="{B409C5DF-4399-4614-8AA9-DA27567A01B6}"/>
    <cellStyle name="40% - Accent3 3 8" xfId="4574" xr:uid="{00000000-0005-0000-0000-000079050000}"/>
    <cellStyle name="40% - Accent3 3 8 2" xfId="13016" xr:uid="{AE98A08F-0CDE-4FA3-8796-18458E6B1AF6}"/>
    <cellStyle name="40% - Accent3 3 9" xfId="8798" xr:uid="{0F78E953-7F5A-4E68-9BCE-35DD3875918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2FE2544A-1566-46E6-ABA1-8E7A25F62FAB}"/>
    <cellStyle name="40% - Accent3 4 2 2 3" xfId="11359" xr:uid="{D61C00A7-0A00-4E15-84B2-ED3B37B73D4F}"/>
    <cellStyle name="40% - Accent3 4 2 3" xfId="4990" xr:uid="{00000000-0005-0000-0000-00007E050000}"/>
    <cellStyle name="40% - Accent3 4 2 3 2" xfId="13432" xr:uid="{BD61C236-432C-40EC-85AE-167915E79959}"/>
    <cellStyle name="40% - Accent3 4 2 4" xfId="9214" xr:uid="{4985A26E-9C29-4C2C-9E62-41A1757194D9}"/>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7B8FD832-ED66-474C-A163-A72D3AAE9D50}"/>
    <cellStyle name="40% - Accent3 4 3 2 3" xfId="11772" xr:uid="{5AD44394-BD84-4C6C-B05B-B9ECF7580AF1}"/>
    <cellStyle name="40% - Accent3 4 3 3" xfId="5403" xr:uid="{00000000-0005-0000-0000-000082050000}"/>
    <cellStyle name="40% - Accent3 4 3 3 2" xfId="13845" xr:uid="{3C79EA39-E115-47F9-A6E5-A9F10E89C06D}"/>
    <cellStyle name="40% - Accent3 4 3 4" xfId="9627" xr:uid="{1E3C7B82-1EDC-4B5C-A82A-0913B6323EA7}"/>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EFFFDE5-7F00-4502-923B-5C7EEA03A20A}"/>
    <cellStyle name="40% - Accent3 4 4 2 3" xfId="12185" xr:uid="{304DCDFB-FBC0-4243-A6F4-2E74EEB31107}"/>
    <cellStyle name="40% - Accent3 4 4 3" xfId="5816" xr:uid="{00000000-0005-0000-0000-000086050000}"/>
    <cellStyle name="40% - Accent3 4 4 3 2" xfId="14258" xr:uid="{58B71E14-9979-4712-ADED-660453CBD449}"/>
    <cellStyle name="40% - Accent3 4 4 4" xfId="10040" xr:uid="{DECD3F36-26F7-4ED6-8E7A-93315973FE86}"/>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DB441D99-58BE-47C2-818A-5496AC3D8BC8}"/>
    <cellStyle name="40% - Accent3 4 5 2 3" xfId="12598" xr:uid="{B7F228AC-9311-4DB1-8361-DD0C840BFE25}"/>
    <cellStyle name="40% - Accent3 4 5 3" xfId="6229" xr:uid="{00000000-0005-0000-0000-00008A050000}"/>
    <cellStyle name="40% - Accent3 4 5 3 2" xfId="14671" xr:uid="{6A6B2A15-5A5E-4C0B-B607-D9E5F91FB08B}"/>
    <cellStyle name="40% - Accent3 4 5 4" xfId="10453" xr:uid="{14B25399-804D-4837-8AB8-0CE78370E9EA}"/>
    <cellStyle name="40% - Accent3 4 6" xfId="2335" xr:uid="{00000000-0005-0000-0000-00008B050000}"/>
    <cellStyle name="40% - Accent3 4 6 2" xfId="6642" xr:uid="{00000000-0005-0000-0000-00008C050000}"/>
    <cellStyle name="40% - Accent3 4 6 2 2" xfId="15084" xr:uid="{732B83C1-5222-4054-813C-64AC3E5E9216}"/>
    <cellStyle name="40% - Accent3 4 6 3" xfId="10866" xr:uid="{1674DBC9-3541-4BF3-8190-10EBA27D2238}"/>
    <cellStyle name="40% - Accent3 4 7" xfId="4576" xr:uid="{00000000-0005-0000-0000-00008D050000}"/>
    <cellStyle name="40% - Accent3 4 7 2" xfId="13018" xr:uid="{61113104-7613-463D-968C-A3C91C52A55C}"/>
    <cellStyle name="40% - Accent3 4 8" xfId="8800" xr:uid="{30220B03-BAB0-45C8-8457-10C54DEAAC2C}"/>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C2E09C59-14A9-47C0-BD86-C1095686D782}"/>
    <cellStyle name="40% - Accent3 5 2 3" xfId="11352" xr:uid="{21886B0A-6E52-4086-8153-EA3A62A2DB97}"/>
    <cellStyle name="40% - Accent3 5 3" xfId="4983" xr:uid="{00000000-0005-0000-0000-000091050000}"/>
    <cellStyle name="40% - Accent3 5 3 2" xfId="13425" xr:uid="{CB5FE6CF-B552-45ED-A692-A86F07DFA541}"/>
    <cellStyle name="40% - Accent3 5 4" xfId="9207" xr:uid="{7C28DDF2-CBF6-45E1-9C47-C44D1D961F55}"/>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3C4F8E1A-C05D-4275-AB0D-98CB6A510D1D}"/>
    <cellStyle name="40% - Accent3 6 2 3" xfId="11765" xr:uid="{312FFA2A-2AFF-4C6F-8039-E3A55EE03BDD}"/>
    <cellStyle name="40% - Accent3 6 3" xfId="5396" xr:uid="{00000000-0005-0000-0000-000095050000}"/>
    <cellStyle name="40% - Accent3 6 3 2" xfId="13838" xr:uid="{5BB200A1-B737-470C-AF4D-9E51167BF441}"/>
    <cellStyle name="40% - Accent3 6 4" xfId="9620" xr:uid="{6806A9A0-C0C7-45CC-9E10-A59B3F6CFA51}"/>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A9BD9E07-4D1C-4124-8843-17581E7C2A7C}"/>
    <cellStyle name="40% - Accent3 7 2 3" xfId="12178" xr:uid="{009FF90F-1274-41B0-8759-6B66F7645449}"/>
    <cellStyle name="40% - Accent3 7 3" xfId="5809" xr:uid="{00000000-0005-0000-0000-000099050000}"/>
    <cellStyle name="40% - Accent3 7 3 2" xfId="14251" xr:uid="{288848F1-329A-4BE3-BDEF-AFBB210B6DFF}"/>
    <cellStyle name="40% - Accent3 7 4" xfId="10033" xr:uid="{4B301F5E-E47E-4AF8-B20A-B49510BDECD4}"/>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2831A76D-1AEF-4979-9711-2AC6B9D68001}"/>
    <cellStyle name="40% - Accent3 8 2 3" xfId="12591" xr:uid="{8A0CA592-9644-422D-A706-530C2A1A7D09}"/>
    <cellStyle name="40% - Accent3 8 3" xfId="6222" xr:uid="{00000000-0005-0000-0000-00009D050000}"/>
    <cellStyle name="40% - Accent3 8 3 2" xfId="14664" xr:uid="{707F9C9E-F9CE-4B55-8876-57058DCD5F59}"/>
    <cellStyle name="40% - Accent3 8 4" xfId="10446" xr:uid="{8050FDB6-C092-4037-8DD7-94DC86116A92}"/>
    <cellStyle name="40% - Accent3 9" xfId="2328" xr:uid="{00000000-0005-0000-0000-00009E050000}"/>
    <cellStyle name="40% - Accent3 9 2" xfId="6635" xr:uid="{00000000-0005-0000-0000-00009F050000}"/>
    <cellStyle name="40% - Accent3 9 2 2" xfId="15077" xr:uid="{DBD01D66-7F7F-410D-A975-6FC94930F3B7}"/>
    <cellStyle name="40% - Accent3 9 3" xfId="10859" xr:uid="{10EDD3D2-1889-4795-8A7B-CF00CB76D35F}"/>
    <cellStyle name="40% - Accent4" xfId="73" builtinId="43" customBuiltin="1"/>
    <cellStyle name="40% - Accent4 10" xfId="4577" xr:uid="{00000000-0005-0000-0000-0000A1050000}"/>
    <cellStyle name="40% - Accent4 10 2" xfId="13019" xr:uid="{DDEB2D53-1A85-4CCD-9BC1-E766601FC85D}"/>
    <cellStyle name="40% - Accent4 11" xfId="8801" xr:uid="{20FF6A2C-FF92-4D2B-8C73-51DEAC2F0999}"/>
    <cellStyle name="40% - Accent4 2" xfId="74" xr:uid="{00000000-0005-0000-0000-0000A2050000}"/>
    <cellStyle name="40% - Accent4 2 10" xfId="8802" xr:uid="{079A8BA2-9979-45CB-ACF8-FAE75BC31F25}"/>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6452D751-2AC9-4513-A561-B20BF37F3581}"/>
    <cellStyle name="40% - Accent4 2 2 2 2 2 3" xfId="11363" xr:uid="{5147D169-A83A-45D8-BC68-C347D6FB7BA2}"/>
    <cellStyle name="40% - Accent4 2 2 2 2 3" xfId="4994" xr:uid="{00000000-0005-0000-0000-0000A8050000}"/>
    <cellStyle name="40% - Accent4 2 2 2 2 3 2" xfId="13436" xr:uid="{0894DDD7-C57A-431B-BABE-5F5BDD268A0D}"/>
    <cellStyle name="40% - Accent4 2 2 2 2 4" xfId="9218" xr:uid="{7C40EC4C-E0F9-4266-8BBB-AF0775AF4F4A}"/>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19791D4B-04F0-4B53-9F4C-B059250AEDA2}"/>
    <cellStyle name="40% - Accent4 2 2 2 3 2 3" xfId="11776" xr:uid="{477B0FAE-3227-46A7-9261-4A401D4FAE93}"/>
    <cellStyle name="40% - Accent4 2 2 2 3 3" xfId="5407" xr:uid="{00000000-0005-0000-0000-0000AC050000}"/>
    <cellStyle name="40% - Accent4 2 2 2 3 3 2" xfId="13849" xr:uid="{1DF7E1BF-22E7-4A61-9B8A-D939CB1B6519}"/>
    <cellStyle name="40% - Accent4 2 2 2 3 4" xfId="9631" xr:uid="{CBE80621-242C-4A2F-86DD-3124F893FA4F}"/>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537941AD-C114-4904-84D8-1328CA1C2019}"/>
    <cellStyle name="40% - Accent4 2 2 2 4 2 3" xfId="12189" xr:uid="{EF8E7C5D-316A-4CCA-B77A-2F053C3EA2CF}"/>
    <cellStyle name="40% - Accent4 2 2 2 4 3" xfId="5820" xr:uid="{00000000-0005-0000-0000-0000B0050000}"/>
    <cellStyle name="40% - Accent4 2 2 2 4 3 2" xfId="14262" xr:uid="{7591FECC-3156-46F8-AB33-2FD5326DE395}"/>
    <cellStyle name="40% - Accent4 2 2 2 4 4" xfId="10044" xr:uid="{B11137D4-3307-4294-89B1-EA8217EFC0C8}"/>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802BCF2D-AB5C-44DF-BD0E-BD891EA5FABE}"/>
    <cellStyle name="40% - Accent4 2 2 2 5 2 3" xfId="12602" xr:uid="{9AA45390-1FCF-4ABA-8634-7630DE950DC5}"/>
    <cellStyle name="40% - Accent4 2 2 2 5 3" xfId="6233" xr:uid="{00000000-0005-0000-0000-0000B4050000}"/>
    <cellStyle name="40% - Accent4 2 2 2 5 3 2" xfId="14675" xr:uid="{8020AA28-8713-45DE-8719-D8896B673E2C}"/>
    <cellStyle name="40% - Accent4 2 2 2 5 4" xfId="10457" xr:uid="{991A7415-533F-4B0F-8C83-84D3F0DDF941}"/>
    <cellStyle name="40% - Accent4 2 2 2 6" xfId="2339" xr:uid="{00000000-0005-0000-0000-0000B5050000}"/>
    <cellStyle name="40% - Accent4 2 2 2 6 2" xfId="6646" xr:uid="{00000000-0005-0000-0000-0000B6050000}"/>
    <cellStyle name="40% - Accent4 2 2 2 6 2 2" xfId="15088" xr:uid="{04A03A5A-868F-4254-893B-986C82AC8258}"/>
    <cellStyle name="40% - Accent4 2 2 2 6 3" xfId="10870" xr:uid="{30C9C721-F0CF-4FF3-87FB-87C9FFFE7A4C}"/>
    <cellStyle name="40% - Accent4 2 2 2 7" xfId="4580" xr:uid="{00000000-0005-0000-0000-0000B7050000}"/>
    <cellStyle name="40% - Accent4 2 2 2 7 2" xfId="13022" xr:uid="{739DF53F-0F04-4C15-9AB1-066097EAE3D0}"/>
    <cellStyle name="40% - Accent4 2 2 2 8" xfId="8804" xr:uid="{D076EBCD-F16C-44CA-94EF-E9BDF0F36993}"/>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F14D1C60-A812-4623-9AB8-A52F038D7573}"/>
    <cellStyle name="40% - Accent4 2 2 3 2 3" xfId="11362" xr:uid="{C17BC7B2-AD8D-4D3A-8236-20F4D4FE88BC}"/>
    <cellStyle name="40% - Accent4 2 2 3 3" xfId="4993" xr:uid="{00000000-0005-0000-0000-0000BB050000}"/>
    <cellStyle name="40% - Accent4 2 2 3 3 2" xfId="13435" xr:uid="{3B5AD70D-D556-4192-A0DE-BA83EAD517E7}"/>
    <cellStyle name="40% - Accent4 2 2 3 4" xfId="9217" xr:uid="{6E49CF50-94B3-462E-9F27-235353491669}"/>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54427559-5852-4DDB-AA6E-910FC2250434}"/>
    <cellStyle name="40% - Accent4 2 2 4 2 3" xfId="11775" xr:uid="{7F138103-28CE-4572-AA23-7DC86BA9A44B}"/>
    <cellStyle name="40% - Accent4 2 2 4 3" xfId="5406" xr:uid="{00000000-0005-0000-0000-0000BF050000}"/>
    <cellStyle name="40% - Accent4 2 2 4 3 2" xfId="13848" xr:uid="{DBFB033E-879B-401D-83B3-121131C63A88}"/>
    <cellStyle name="40% - Accent4 2 2 4 4" xfId="9630" xr:uid="{8CBD09B4-76DE-47DD-AE9D-CC8ADE95704E}"/>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797C0BAE-6249-4CAC-B35D-DF7C2CEDBE74}"/>
    <cellStyle name="40% - Accent4 2 2 5 2 3" xfId="12188" xr:uid="{DDCF32BA-0A98-4CB4-BD28-1D55FB1D4901}"/>
    <cellStyle name="40% - Accent4 2 2 5 3" xfId="5819" xr:uid="{00000000-0005-0000-0000-0000C3050000}"/>
    <cellStyle name="40% - Accent4 2 2 5 3 2" xfId="14261" xr:uid="{8542CC69-B226-458D-A5DD-03445500408E}"/>
    <cellStyle name="40% - Accent4 2 2 5 4" xfId="10043" xr:uid="{E5998DC2-49C9-4648-985D-F063B8B88C11}"/>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9968D1D5-D446-4AF6-B467-E24DE9A42057}"/>
    <cellStyle name="40% - Accent4 2 2 6 2 3" xfId="12601" xr:uid="{75F58636-D93B-4A4B-9391-7A8037DC6889}"/>
    <cellStyle name="40% - Accent4 2 2 6 3" xfId="6232" xr:uid="{00000000-0005-0000-0000-0000C7050000}"/>
    <cellStyle name="40% - Accent4 2 2 6 3 2" xfId="14674" xr:uid="{1BB4B1D4-F088-41D8-B56D-DB9441CCD18C}"/>
    <cellStyle name="40% - Accent4 2 2 6 4" xfId="10456" xr:uid="{EB9F44F9-E07D-4C5C-9BB3-D9194A7192AC}"/>
    <cellStyle name="40% - Accent4 2 2 7" xfId="2338" xr:uid="{00000000-0005-0000-0000-0000C8050000}"/>
    <cellStyle name="40% - Accent4 2 2 7 2" xfId="6645" xr:uid="{00000000-0005-0000-0000-0000C9050000}"/>
    <cellStyle name="40% - Accent4 2 2 7 2 2" xfId="15087" xr:uid="{38D351C7-7E00-4F29-8FE1-A167B35505F7}"/>
    <cellStyle name="40% - Accent4 2 2 7 3" xfId="10869" xr:uid="{A6CD317B-C7AA-4B51-9802-8B0F990A782E}"/>
    <cellStyle name="40% - Accent4 2 2 8" xfId="4579" xr:uid="{00000000-0005-0000-0000-0000CA050000}"/>
    <cellStyle name="40% - Accent4 2 2 8 2" xfId="13021" xr:uid="{80FC4B38-795B-4554-ADFD-CD00EFDE2453}"/>
    <cellStyle name="40% - Accent4 2 2 9" xfId="8803" xr:uid="{C095325D-96C3-4253-88F7-ABC597B503D6}"/>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F512DE4D-4BE1-4EDC-87C1-BCF2243C27ED}"/>
    <cellStyle name="40% - Accent4 2 3 2 2 3" xfId="11364" xr:uid="{73223004-590F-4B39-8B52-882B489D99BE}"/>
    <cellStyle name="40% - Accent4 2 3 2 3" xfId="4995" xr:uid="{00000000-0005-0000-0000-0000CF050000}"/>
    <cellStyle name="40% - Accent4 2 3 2 3 2" xfId="13437" xr:uid="{58C57D19-B94F-49F6-8D1D-5721BF292EA9}"/>
    <cellStyle name="40% - Accent4 2 3 2 4" xfId="9219" xr:uid="{9C9DF124-85FD-43C1-A7E1-DF3577C995EE}"/>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8669546F-9D00-43C7-BDA7-FB88B9FA13AA}"/>
    <cellStyle name="40% - Accent4 2 3 3 2 3" xfId="11777" xr:uid="{808936BB-FE00-4EA6-9F89-3248940C6E99}"/>
    <cellStyle name="40% - Accent4 2 3 3 3" xfId="5408" xr:uid="{00000000-0005-0000-0000-0000D3050000}"/>
    <cellStyle name="40% - Accent4 2 3 3 3 2" xfId="13850" xr:uid="{22216ABE-B4F3-477C-A7D3-48AF95EC5262}"/>
    <cellStyle name="40% - Accent4 2 3 3 4" xfId="9632" xr:uid="{AAF8E0C9-A6B9-4B9B-9192-ACFE31FBC5B3}"/>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36458169-8B3B-432C-AB9F-09842D8B7A63}"/>
    <cellStyle name="40% - Accent4 2 3 4 2 3" xfId="12190" xr:uid="{8DD4455F-DA8D-4102-885E-4F77F8A428D9}"/>
    <cellStyle name="40% - Accent4 2 3 4 3" xfId="5821" xr:uid="{00000000-0005-0000-0000-0000D7050000}"/>
    <cellStyle name="40% - Accent4 2 3 4 3 2" xfId="14263" xr:uid="{CEA45077-27B9-42DA-964B-569ED9753DB2}"/>
    <cellStyle name="40% - Accent4 2 3 4 4" xfId="10045" xr:uid="{81B3F836-D881-41F9-AB3A-969F576CF0A8}"/>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CBD435D9-A720-4434-B745-2D6018E423C7}"/>
    <cellStyle name="40% - Accent4 2 3 5 2 3" xfId="12603" xr:uid="{15F28DA3-D261-4649-B4B1-52F32E9B9E95}"/>
    <cellStyle name="40% - Accent4 2 3 5 3" xfId="6234" xr:uid="{00000000-0005-0000-0000-0000DB050000}"/>
    <cellStyle name="40% - Accent4 2 3 5 3 2" xfId="14676" xr:uid="{F11B4AAE-DDC2-4A1B-B08C-A24322FA0B61}"/>
    <cellStyle name="40% - Accent4 2 3 5 4" xfId="10458" xr:uid="{609673FE-1EDA-4B47-A192-E3DC1149F855}"/>
    <cellStyle name="40% - Accent4 2 3 6" xfId="2340" xr:uid="{00000000-0005-0000-0000-0000DC050000}"/>
    <cellStyle name="40% - Accent4 2 3 6 2" xfId="6647" xr:uid="{00000000-0005-0000-0000-0000DD050000}"/>
    <cellStyle name="40% - Accent4 2 3 6 2 2" xfId="15089" xr:uid="{D8A41709-0D7B-4E20-A812-043CEFE3169F}"/>
    <cellStyle name="40% - Accent4 2 3 6 3" xfId="10871" xr:uid="{715E6E6E-907C-4A42-AD3A-AB959A66C532}"/>
    <cellStyle name="40% - Accent4 2 3 7" xfId="4581" xr:uid="{00000000-0005-0000-0000-0000DE050000}"/>
    <cellStyle name="40% - Accent4 2 3 7 2" xfId="13023" xr:uid="{680470EE-BD2E-4E86-A691-252A88D1297E}"/>
    <cellStyle name="40% - Accent4 2 3 8" xfId="8805" xr:uid="{A73046B1-A0CB-4BC9-BFA8-FD83988C839D}"/>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097809AF-F6B2-4FF2-A9B4-EBE7D8C7CC60}"/>
    <cellStyle name="40% - Accent4 2 4 2 3" xfId="11361" xr:uid="{B17AF7C9-967A-4F11-93A0-AFD0F6251BA7}"/>
    <cellStyle name="40% - Accent4 2 4 3" xfId="4992" xr:uid="{00000000-0005-0000-0000-0000E2050000}"/>
    <cellStyle name="40% - Accent4 2 4 3 2" xfId="13434" xr:uid="{3D343DD2-628C-4698-BF50-E8C44E99C53B}"/>
    <cellStyle name="40% - Accent4 2 4 4" xfId="9216" xr:uid="{D13C1902-780E-4BE2-837E-21864C85EF19}"/>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0B241628-9A18-4A49-890C-B6F2A530E942}"/>
    <cellStyle name="40% - Accent4 2 5 2 3" xfId="11774" xr:uid="{A1F47E19-7976-4583-9B52-14FBEFA29423}"/>
    <cellStyle name="40% - Accent4 2 5 3" xfId="5405" xr:uid="{00000000-0005-0000-0000-0000E6050000}"/>
    <cellStyle name="40% - Accent4 2 5 3 2" xfId="13847" xr:uid="{400F2349-9C75-4A5A-8D5B-E0CEE5DF2010}"/>
    <cellStyle name="40% - Accent4 2 5 4" xfId="9629" xr:uid="{4EC15793-80AB-4651-BEA4-0139F1936443}"/>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DA8D64AD-88C5-4A8D-8E0B-8D2D846BAA66}"/>
    <cellStyle name="40% - Accent4 2 6 2 3" xfId="12187" xr:uid="{BA7EB011-DEE2-4019-A1DA-87BB424F188A}"/>
    <cellStyle name="40% - Accent4 2 6 3" xfId="5818" xr:uid="{00000000-0005-0000-0000-0000EA050000}"/>
    <cellStyle name="40% - Accent4 2 6 3 2" xfId="14260" xr:uid="{F919E714-7F6D-4D82-AB75-3FF1BDF33F57}"/>
    <cellStyle name="40% - Accent4 2 6 4" xfId="10042" xr:uid="{A8271D72-548D-4723-BDB9-7EFAE06745C3}"/>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F534CD7D-B610-46D7-94E3-DC3F8606B30D}"/>
    <cellStyle name="40% - Accent4 2 7 2 3" xfId="12600" xr:uid="{7F0DDB20-F1D1-402A-986A-86583E77F3A3}"/>
    <cellStyle name="40% - Accent4 2 7 3" xfId="6231" xr:uid="{00000000-0005-0000-0000-0000EE050000}"/>
    <cellStyle name="40% - Accent4 2 7 3 2" xfId="14673" xr:uid="{689E8347-4CA6-48A7-8E63-6D220A30468C}"/>
    <cellStyle name="40% - Accent4 2 7 4" xfId="10455" xr:uid="{06685E15-30B5-4597-8546-CEA0A8E90FCB}"/>
    <cellStyle name="40% - Accent4 2 8" xfId="2337" xr:uid="{00000000-0005-0000-0000-0000EF050000}"/>
    <cellStyle name="40% - Accent4 2 8 2" xfId="6644" xr:uid="{00000000-0005-0000-0000-0000F0050000}"/>
    <cellStyle name="40% - Accent4 2 8 2 2" xfId="15086" xr:uid="{21D73B7C-B4BA-4F87-ADDA-63AC9010A4BB}"/>
    <cellStyle name="40% - Accent4 2 8 3" xfId="10868" xr:uid="{5B13ABB4-7191-40DB-BB1B-DB6668F02074}"/>
    <cellStyle name="40% - Accent4 2 9" xfId="4578" xr:uid="{00000000-0005-0000-0000-0000F1050000}"/>
    <cellStyle name="40% - Accent4 2 9 2" xfId="13020" xr:uid="{3C798A3A-7981-4E92-9273-DACD9D9EF3D5}"/>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4999B114-665B-40EE-ACF2-06E703151897}"/>
    <cellStyle name="40% - Accent4 3 2 2 2 3" xfId="11366" xr:uid="{3CE8E17F-6B8C-458A-B034-DB42E25B1695}"/>
    <cellStyle name="40% - Accent4 3 2 2 3" xfId="4997" xr:uid="{00000000-0005-0000-0000-0000F7050000}"/>
    <cellStyle name="40% - Accent4 3 2 2 3 2" xfId="13439" xr:uid="{016249C3-4E88-4EF8-B64D-1F737989F303}"/>
    <cellStyle name="40% - Accent4 3 2 2 4" xfId="9221" xr:uid="{A7534135-AFAA-4461-8A5C-1554B5632813}"/>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B6A73F59-0A28-40E8-9421-457B8A0974D6}"/>
    <cellStyle name="40% - Accent4 3 2 3 2 3" xfId="11779" xr:uid="{05AA0AD2-6503-42D9-AC33-8B4859A3FB43}"/>
    <cellStyle name="40% - Accent4 3 2 3 3" xfId="5410" xr:uid="{00000000-0005-0000-0000-0000FB050000}"/>
    <cellStyle name="40% - Accent4 3 2 3 3 2" xfId="13852" xr:uid="{B375E9B5-D050-4272-B244-14C6FAC549E8}"/>
    <cellStyle name="40% - Accent4 3 2 3 4" xfId="9634" xr:uid="{3BBC0150-0509-4625-A4B2-EFD9387DFD91}"/>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F9A315D9-A43D-479C-B81E-8B2FCBFA38BF}"/>
    <cellStyle name="40% - Accent4 3 2 4 2 3" xfId="12192" xr:uid="{25E94A44-935E-4EAE-A791-0AF6DFE7D2FD}"/>
    <cellStyle name="40% - Accent4 3 2 4 3" xfId="5823" xr:uid="{00000000-0005-0000-0000-0000FF050000}"/>
    <cellStyle name="40% - Accent4 3 2 4 3 2" xfId="14265" xr:uid="{C45299DF-6784-4C5C-B718-30C641911842}"/>
    <cellStyle name="40% - Accent4 3 2 4 4" xfId="10047" xr:uid="{C5AD8214-46D7-448A-9A7B-A98342A2224C}"/>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02AF2E5A-A3D6-44AC-BF4D-084192AB025B}"/>
    <cellStyle name="40% - Accent4 3 2 5 2 3" xfId="12605" xr:uid="{A52A86E5-BD74-452D-B6BC-67E938F79CCD}"/>
    <cellStyle name="40% - Accent4 3 2 5 3" xfId="6236" xr:uid="{00000000-0005-0000-0000-000003060000}"/>
    <cellStyle name="40% - Accent4 3 2 5 3 2" xfId="14678" xr:uid="{266020ED-3971-4205-98BF-25B166250375}"/>
    <cellStyle name="40% - Accent4 3 2 5 4" xfId="10460" xr:uid="{B61FD49A-8EB1-4D05-9504-2909F1678866}"/>
    <cellStyle name="40% - Accent4 3 2 6" xfId="2342" xr:uid="{00000000-0005-0000-0000-000004060000}"/>
    <cellStyle name="40% - Accent4 3 2 6 2" xfId="6649" xr:uid="{00000000-0005-0000-0000-000005060000}"/>
    <cellStyle name="40% - Accent4 3 2 6 2 2" xfId="15091" xr:uid="{A1CB18E8-6DF9-4FFA-B184-C1DC7237F01E}"/>
    <cellStyle name="40% - Accent4 3 2 6 3" xfId="10873" xr:uid="{68BE7F9A-F819-4F0E-AF42-7E185BF74522}"/>
    <cellStyle name="40% - Accent4 3 2 7" xfId="4583" xr:uid="{00000000-0005-0000-0000-000006060000}"/>
    <cellStyle name="40% - Accent4 3 2 7 2" xfId="13025" xr:uid="{FC391A71-2032-4AC4-81AB-DBC15CC3A8EA}"/>
    <cellStyle name="40% - Accent4 3 2 8" xfId="8807" xr:uid="{97FA5B0D-B8D9-49A2-A799-52C3A89A7025}"/>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E98F24F2-D9D6-4380-94C7-FE86E5B372C9}"/>
    <cellStyle name="40% - Accent4 3 3 2 3" xfId="11365" xr:uid="{1A8E22F4-941B-4244-887E-87E8C11D75CE}"/>
    <cellStyle name="40% - Accent4 3 3 3" xfId="4996" xr:uid="{00000000-0005-0000-0000-00000A060000}"/>
    <cellStyle name="40% - Accent4 3 3 3 2" xfId="13438" xr:uid="{54235619-092C-43EB-8505-DFF5F2590E74}"/>
    <cellStyle name="40% - Accent4 3 3 4" xfId="9220" xr:uid="{C72251FC-93CD-48D1-8A71-A7EC12F5D84C}"/>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D59B4FB1-413E-4D96-B223-6548B06E5436}"/>
    <cellStyle name="40% - Accent4 3 4 2 3" xfId="11778" xr:uid="{B5884957-0A95-4038-BA97-383EFB4093C9}"/>
    <cellStyle name="40% - Accent4 3 4 3" xfId="5409" xr:uid="{00000000-0005-0000-0000-00000E060000}"/>
    <cellStyle name="40% - Accent4 3 4 3 2" xfId="13851" xr:uid="{E57F2C7B-D28C-450A-8164-F40DEE82250B}"/>
    <cellStyle name="40% - Accent4 3 4 4" xfId="9633" xr:uid="{7567CFD5-EE5E-4D5C-9542-017A7AFA9E2B}"/>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42405A84-AEFF-4B4A-8B20-B19533B14DDD}"/>
    <cellStyle name="40% - Accent4 3 5 2 3" xfId="12191" xr:uid="{9A3A1664-05F0-43EC-92B4-FAEE564985DC}"/>
    <cellStyle name="40% - Accent4 3 5 3" xfId="5822" xr:uid="{00000000-0005-0000-0000-000012060000}"/>
    <cellStyle name="40% - Accent4 3 5 3 2" xfId="14264" xr:uid="{5747850D-5BF2-4984-8977-96CFBA41A34B}"/>
    <cellStyle name="40% - Accent4 3 5 4" xfId="10046" xr:uid="{9F2B3F17-9241-4EA1-8E7A-932200DBF113}"/>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FE003CBE-A69D-43C4-AB12-2F5224825E3F}"/>
    <cellStyle name="40% - Accent4 3 6 2 3" xfId="12604" xr:uid="{98D86C4E-2748-4181-B5BD-A34A724F2BB2}"/>
    <cellStyle name="40% - Accent4 3 6 3" xfId="6235" xr:uid="{00000000-0005-0000-0000-000016060000}"/>
    <cellStyle name="40% - Accent4 3 6 3 2" xfId="14677" xr:uid="{E68BD4C9-B27D-4089-B2E4-4CB7966EE668}"/>
    <cellStyle name="40% - Accent4 3 6 4" xfId="10459" xr:uid="{743E1759-2107-41C6-84A4-EA5B0D058917}"/>
    <cellStyle name="40% - Accent4 3 7" xfId="2341" xr:uid="{00000000-0005-0000-0000-000017060000}"/>
    <cellStyle name="40% - Accent4 3 7 2" xfId="6648" xr:uid="{00000000-0005-0000-0000-000018060000}"/>
    <cellStyle name="40% - Accent4 3 7 2 2" xfId="15090" xr:uid="{48CAF8C2-1C86-48D4-A7BC-C4269172F98E}"/>
    <cellStyle name="40% - Accent4 3 7 3" xfId="10872" xr:uid="{4C9244DC-608F-4417-94D8-8B3D7CEBD751}"/>
    <cellStyle name="40% - Accent4 3 8" xfId="4582" xr:uid="{00000000-0005-0000-0000-000019060000}"/>
    <cellStyle name="40% - Accent4 3 8 2" xfId="13024" xr:uid="{1A94C383-E9A6-4A17-88BE-799AAF487E4F}"/>
    <cellStyle name="40% - Accent4 3 9" xfId="8806" xr:uid="{36C88DB9-C709-4945-8776-0C2662EE715E}"/>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D2B87C8A-61D5-4076-A878-C5F69400191C}"/>
    <cellStyle name="40% - Accent4 4 2 2 3" xfId="11367" xr:uid="{2C815D89-0CAC-43C3-92FE-8E0E2724608E}"/>
    <cellStyle name="40% - Accent4 4 2 3" xfId="4998" xr:uid="{00000000-0005-0000-0000-00001E060000}"/>
    <cellStyle name="40% - Accent4 4 2 3 2" xfId="13440" xr:uid="{EE28B293-5C7C-4080-8A8F-07E11ECD9B01}"/>
    <cellStyle name="40% - Accent4 4 2 4" xfId="9222" xr:uid="{F09B15F2-CB7C-484C-ABFF-FA2505D0AF88}"/>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ECF5432B-6D3A-4300-B2CF-77ED0D0D5C87}"/>
    <cellStyle name="40% - Accent4 4 3 2 3" xfId="11780" xr:uid="{A1A4656D-3BDF-4069-9B8B-C1811223D951}"/>
    <cellStyle name="40% - Accent4 4 3 3" xfId="5411" xr:uid="{00000000-0005-0000-0000-000022060000}"/>
    <cellStyle name="40% - Accent4 4 3 3 2" xfId="13853" xr:uid="{4A99E3EF-F38B-474E-AFD8-36DF75B1DAAA}"/>
    <cellStyle name="40% - Accent4 4 3 4" xfId="9635" xr:uid="{7C516556-9569-4BF4-BCED-69B2A5C3C4BB}"/>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9AB6DDA0-759B-4AB9-9D68-EE8FCB10124C}"/>
    <cellStyle name="40% - Accent4 4 4 2 3" xfId="12193" xr:uid="{5C2280A0-7560-47E7-BB50-5566967BA6E1}"/>
    <cellStyle name="40% - Accent4 4 4 3" xfId="5824" xr:uid="{00000000-0005-0000-0000-000026060000}"/>
    <cellStyle name="40% - Accent4 4 4 3 2" xfId="14266" xr:uid="{95E7ADF7-C097-43E1-B871-7516BEC5E7F3}"/>
    <cellStyle name="40% - Accent4 4 4 4" xfId="10048" xr:uid="{6E76A094-4A19-44A8-8D9F-10C67BAB18AC}"/>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3E4FED45-AE8A-4F62-B3D6-EC6AE1AF8DDA}"/>
    <cellStyle name="40% - Accent4 4 5 2 3" xfId="12606" xr:uid="{A1324E4B-8B6E-4B3F-BA76-FAFD2DFFACD7}"/>
    <cellStyle name="40% - Accent4 4 5 3" xfId="6237" xr:uid="{00000000-0005-0000-0000-00002A060000}"/>
    <cellStyle name="40% - Accent4 4 5 3 2" xfId="14679" xr:uid="{FF975744-067B-44AE-928C-89D82AED3A72}"/>
    <cellStyle name="40% - Accent4 4 5 4" xfId="10461" xr:uid="{449EB271-3E1E-4C38-9331-7D850D13F1A3}"/>
    <cellStyle name="40% - Accent4 4 6" xfId="2343" xr:uid="{00000000-0005-0000-0000-00002B060000}"/>
    <cellStyle name="40% - Accent4 4 6 2" xfId="6650" xr:uid="{00000000-0005-0000-0000-00002C060000}"/>
    <cellStyle name="40% - Accent4 4 6 2 2" xfId="15092" xr:uid="{87DD0A3C-510F-4D6B-BD69-10E67403F9C4}"/>
    <cellStyle name="40% - Accent4 4 6 3" xfId="10874" xr:uid="{7D46D8F3-CC37-4810-BD38-112577576419}"/>
    <cellStyle name="40% - Accent4 4 7" xfId="4584" xr:uid="{00000000-0005-0000-0000-00002D060000}"/>
    <cellStyle name="40% - Accent4 4 7 2" xfId="13026" xr:uid="{DCC63514-AB20-4EB3-833C-0065F9497335}"/>
    <cellStyle name="40% - Accent4 4 8" xfId="8808" xr:uid="{13C5FD88-E373-4E32-BF18-87DE4CFFABF6}"/>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ED6AFA5E-34B5-4DCE-BAC7-550D6B64ACDE}"/>
    <cellStyle name="40% - Accent4 5 2 3" xfId="11360" xr:uid="{FAD79D11-212E-4CCC-9C65-D1BC837D7F34}"/>
    <cellStyle name="40% - Accent4 5 3" xfId="4991" xr:uid="{00000000-0005-0000-0000-000031060000}"/>
    <cellStyle name="40% - Accent4 5 3 2" xfId="13433" xr:uid="{6D92BEE2-B5BE-4D14-92B9-C620FC1E02B4}"/>
    <cellStyle name="40% - Accent4 5 4" xfId="9215" xr:uid="{4C134A40-14BA-4BFD-B17A-A94E0D19753F}"/>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988588EC-8785-43A2-A727-02360BEC6BBE}"/>
    <cellStyle name="40% - Accent4 6 2 3" xfId="11773" xr:uid="{020B5C1D-1C53-471D-A4E2-76BD687744F8}"/>
    <cellStyle name="40% - Accent4 6 3" xfId="5404" xr:uid="{00000000-0005-0000-0000-000035060000}"/>
    <cellStyle name="40% - Accent4 6 3 2" xfId="13846" xr:uid="{EB582AE0-23E0-4D41-A72D-07E7FAA5BC8C}"/>
    <cellStyle name="40% - Accent4 6 4" xfId="9628" xr:uid="{16A7452B-7370-4AC1-AE1B-D261D1E1B969}"/>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BD63A85F-E272-4C90-B588-223F50C4FACF}"/>
    <cellStyle name="40% - Accent4 7 2 3" xfId="12186" xr:uid="{99263CB6-7F02-460C-ADE0-225CA78F016D}"/>
    <cellStyle name="40% - Accent4 7 3" xfId="5817" xr:uid="{00000000-0005-0000-0000-000039060000}"/>
    <cellStyle name="40% - Accent4 7 3 2" xfId="14259" xr:uid="{292D72F1-915C-4036-8F44-8B993FD3C9C0}"/>
    <cellStyle name="40% - Accent4 7 4" xfId="10041" xr:uid="{E3323D63-8062-43E9-B230-68951169DFD6}"/>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98CA5A27-A99C-4AC7-9793-432F4F6A1361}"/>
    <cellStyle name="40% - Accent4 8 2 3" xfId="12599" xr:uid="{BA7DD65E-10E9-4DA8-A436-FB5E3B91D9E2}"/>
    <cellStyle name="40% - Accent4 8 3" xfId="6230" xr:uid="{00000000-0005-0000-0000-00003D060000}"/>
    <cellStyle name="40% - Accent4 8 3 2" xfId="14672" xr:uid="{D1DB9A98-F36D-45A9-9310-FBF14D8C1E75}"/>
    <cellStyle name="40% - Accent4 8 4" xfId="10454" xr:uid="{E31F4E9D-C3FA-486D-9112-AC18ECBA99AA}"/>
    <cellStyle name="40% - Accent4 9" xfId="2336" xr:uid="{00000000-0005-0000-0000-00003E060000}"/>
    <cellStyle name="40% - Accent4 9 2" xfId="6643" xr:uid="{00000000-0005-0000-0000-00003F060000}"/>
    <cellStyle name="40% - Accent4 9 2 2" xfId="15085" xr:uid="{DBEFD5DB-4A9C-4D41-BBF6-A17B73E9F9AD}"/>
    <cellStyle name="40% - Accent4 9 3" xfId="10867" xr:uid="{869D4A2E-C1E3-49A8-8B4C-7E7AB6657D36}"/>
    <cellStyle name="40% - Accent5" xfId="81" builtinId="47" customBuiltin="1"/>
    <cellStyle name="40% - Accent5 10" xfId="4585" xr:uid="{00000000-0005-0000-0000-000041060000}"/>
    <cellStyle name="40% - Accent5 10 2" xfId="13027" xr:uid="{9E49900C-CB3A-4FE2-92FF-D21474563E3D}"/>
    <cellStyle name="40% - Accent5 11" xfId="8809" xr:uid="{61F3A2D7-FBFD-4585-8DFF-C05B69C8C033}"/>
    <cellStyle name="40% - Accent5 2" xfId="82" xr:uid="{00000000-0005-0000-0000-000042060000}"/>
    <cellStyle name="40% - Accent5 2 10" xfId="8810" xr:uid="{91C3A19C-96C0-4D4E-8201-5960B8690112}"/>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035EE0EC-3998-429D-A097-D036A0356C94}"/>
    <cellStyle name="40% - Accent5 2 2 2 2 2 3" xfId="11371" xr:uid="{89750CAC-1E9E-4D23-9C3E-83A5B936BBEE}"/>
    <cellStyle name="40% - Accent5 2 2 2 2 3" xfId="5002" xr:uid="{00000000-0005-0000-0000-000048060000}"/>
    <cellStyle name="40% - Accent5 2 2 2 2 3 2" xfId="13444" xr:uid="{502487AB-ABE8-4298-930E-F0386E2708E1}"/>
    <cellStyle name="40% - Accent5 2 2 2 2 4" xfId="9226" xr:uid="{BA0BDDC1-A53D-4529-B9A5-9D0C0B6DBCD4}"/>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4E7DA8A9-DC86-4326-A9F7-3A33ABAF2D2F}"/>
    <cellStyle name="40% - Accent5 2 2 2 3 2 3" xfId="11784" xr:uid="{5E482C6F-C5B3-4B56-A910-25465BBBBE16}"/>
    <cellStyle name="40% - Accent5 2 2 2 3 3" xfId="5415" xr:uid="{00000000-0005-0000-0000-00004C060000}"/>
    <cellStyle name="40% - Accent5 2 2 2 3 3 2" xfId="13857" xr:uid="{8389CF15-F030-4E9E-AA36-F99A411C514E}"/>
    <cellStyle name="40% - Accent5 2 2 2 3 4" xfId="9639" xr:uid="{93AF644D-3066-4EC0-BDFE-A835A0DB1EC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C21F7615-3C38-4E39-B3ED-56AD80AC5C1A}"/>
    <cellStyle name="40% - Accent5 2 2 2 4 2 3" xfId="12197" xr:uid="{C2EAEB9A-6A16-4231-8037-771F1F5ED41B}"/>
    <cellStyle name="40% - Accent5 2 2 2 4 3" xfId="5828" xr:uid="{00000000-0005-0000-0000-000050060000}"/>
    <cellStyle name="40% - Accent5 2 2 2 4 3 2" xfId="14270" xr:uid="{DF88274B-3315-483A-840B-6CE64B73FDEB}"/>
    <cellStyle name="40% - Accent5 2 2 2 4 4" xfId="10052" xr:uid="{1FB12B70-8670-4420-843F-43743D256D18}"/>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1CDCB6D5-145F-4A4A-8B65-D08B5921EB77}"/>
    <cellStyle name="40% - Accent5 2 2 2 5 2 3" xfId="12610" xr:uid="{1EA84074-19B0-435C-BBA6-28F05C3602B8}"/>
    <cellStyle name="40% - Accent5 2 2 2 5 3" xfId="6241" xr:uid="{00000000-0005-0000-0000-000054060000}"/>
    <cellStyle name="40% - Accent5 2 2 2 5 3 2" xfId="14683" xr:uid="{E503E8FF-BD2F-4A9D-87A7-BA01EBE66611}"/>
    <cellStyle name="40% - Accent5 2 2 2 5 4" xfId="10465" xr:uid="{1BF4E203-75A2-4BAC-8860-52172A1DA304}"/>
    <cellStyle name="40% - Accent5 2 2 2 6" xfId="2347" xr:uid="{00000000-0005-0000-0000-000055060000}"/>
    <cellStyle name="40% - Accent5 2 2 2 6 2" xfId="6654" xr:uid="{00000000-0005-0000-0000-000056060000}"/>
    <cellStyle name="40% - Accent5 2 2 2 6 2 2" xfId="15096" xr:uid="{C960F389-1926-42BB-80A4-7F62CB7312DF}"/>
    <cellStyle name="40% - Accent5 2 2 2 6 3" xfId="10878" xr:uid="{AE68A1A3-9A9F-4A2D-9166-04BB1E20805A}"/>
    <cellStyle name="40% - Accent5 2 2 2 7" xfId="4588" xr:uid="{00000000-0005-0000-0000-000057060000}"/>
    <cellStyle name="40% - Accent5 2 2 2 7 2" xfId="13030" xr:uid="{A7B6BDF7-E9A3-4855-8B44-113614A64B09}"/>
    <cellStyle name="40% - Accent5 2 2 2 8" xfId="8812" xr:uid="{A0E30F66-E831-4567-9398-D4071ABC3924}"/>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7B18EA2F-BD85-415B-BE75-BADA857F9FD8}"/>
    <cellStyle name="40% - Accent5 2 2 3 2 3" xfId="11370" xr:uid="{BB86980C-1560-4CE3-9AB1-09C7ED3DDE66}"/>
    <cellStyle name="40% - Accent5 2 2 3 3" xfId="5001" xr:uid="{00000000-0005-0000-0000-00005B060000}"/>
    <cellStyle name="40% - Accent5 2 2 3 3 2" xfId="13443" xr:uid="{65484784-60FA-442C-A532-95227F4C2D4D}"/>
    <cellStyle name="40% - Accent5 2 2 3 4" xfId="9225" xr:uid="{1B79D1AE-CC1A-403D-8BF1-B581F9B32705}"/>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29F0E548-EF85-4D6F-B89B-7C3E39EE2B03}"/>
    <cellStyle name="40% - Accent5 2 2 4 2 3" xfId="11783" xr:uid="{5D33C2F4-46B2-46A4-A5F3-A8734FF088C0}"/>
    <cellStyle name="40% - Accent5 2 2 4 3" xfId="5414" xr:uid="{00000000-0005-0000-0000-00005F060000}"/>
    <cellStyle name="40% - Accent5 2 2 4 3 2" xfId="13856" xr:uid="{A4CD5A1B-548D-48BF-A1D8-857B9E04F77E}"/>
    <cellStyle name="40% - Accent5 2 2 4 4" xfId="9638" xr:uid="{04CB68F5-FFA1-430F-93D7-9C3D1563FA7D}"/>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BDBC2C42-A213-4973-902D-C0E75FB04657}"/>
    <cellStyle name="40% - Accent5 2 2 5 2 3" xfId="12196" xr:uid="{9F63E7AB-6F62-43FC-ADDA-0EC4DC419E9A}"/>
    <cellStyle name="40% - Accent5 2 2 5 3" xfId="5827" xr:uid="{00000000-0005-0000-0000-000063060000}"/>
    <cellStyle name="40% - Accent5 2 2 5 3 2" xfId="14269" xr:uid="{2FD7E16B-7E39-411D-A7FC-C6FB7A4EEB18}"/>
    <cellStyle name="40% - Accent5 2 2 5 4" xfId="10051" xr:uid="{1AFE9F3D-1505-4794-B6A9-EE6658524D8E}"/>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6AB96228-4C14-40F7-A28F-01753C1F63FD}"/>
    <cellStyle name="40% - Accent5 2 2 6 2 3" xfId="12609" xr:uid="{B6423427-8F0F-4D5B-B9C2-F9CB5A496836}"/>
    <cellStyle name="40% - Accent5 2 2 6 3" xfId="6240" xr:uid="{00000000-0005-0000-0000-000067060000}"/>
    <cellStyle name="40% - Accent5 2 2 6 3 2" xfId="14682" xr:uid="{4CC4BE5A-3061-4CCE-A41F-8653D26D795D}"/>
    <cellStyle name="40% - Accent5 2 2 6 4" xfId="10464" xr:uid="{4C278751-E107-4B56-B451-7787FFB38BAB}"/>
    <cellStyle name="40% - Accent5 2 2 7" xfId="2346" xr:uid="{00000000-0005-0000-0000-000068060000}"/>
    <cellStyle name="40% - Accent5 2 2 7 2" xfId="6653" xr:uid="{00000000-0005-0000-0000-000069060000}"/>
    <cellStyle name="40% - Accent5 2 2 7 2 2" xfId="15095" xr:uid="{3A04D807-69E8-4D16-8242-0E26AE987C6F}"/>
    <cellStyle name="40% - Accent5 2 2 7 3" xfId="10877" xr:uid="{9D77D081-3FBD-4AD7-A414-13A5700B0C01}"/>
    <cellStyle name="40% - Accent5 2 2 8" xfId="4587" xr:uid="{00000000-0005-0000-0000-00006A060000}"/>
    <cellStyle name="40% - Accent5 2 2 8 2" xfId="13029" xr:uid="{454E87C5-B687-4606-8C2F-84A996B01913}"/>
    <cellStyle name="40% - Accent5 2 2 9" xfId="8811" xr:uid="{9A3C3DD1-8C01-4D49-8051-78E9A7B32423}"/>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8E236A9D-8BFF-4BA9-BA1C-512D09E5615A}"/>
    <cellStyle name="40% - Accent5 2 3 2 2 3" xfId="11372" xr:uid="{D529049F-EF4E-4E3D-BCF6-3386E0577446}"/>
    <cellStyle name="40% - Accent5 2 3 2 3" xfId="5003" xr:uid="{00000000-0005-0000-0000-00006F060000}"/>
    <cellStyle name="40% - Accent5 2 3 2 3 2" xfId="13445" xr:uid="{2EBDF314-4AEC-43C9-A02C-37CA93E848F2}"/>
    <cellStyle name="40% - Accent5 2 3 2 4" xfId="9227" xr:uid="{04A015CD-7B40-4354-A7A8-19BE60992278}"/>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4DDBD8BF-2926-46F3-B025-9804AA06A9A5}"/>
    <cellStyle name="40% - Accent5 2 3 3 2 3" xfId="11785" xr:uid="{FAC61305-D147-4FA1-8399-CCE640EDC209}"/>
    <cellStyle name="40% - Accent5 2 3 3 3" xfId="5416" xr:uid="{00000000-0005-0000-0000-000073060000}"/>
    <cellStyle name="40% - Accent5 2 3 3 3 2" xfId="13858" xr:uid="{42DC70D6-0C7B-49C3-8A69-4594BACA70D4}"/>
    <cellStyle name="40% - Accent5 2 3 3 4" xfId="9640" xr:uid="{07E096BD-0CB6-4342-9B7C-50CCBD19A20F}"/>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560D23EB-A446-438C-A95B-9C8ECB4A776D}"/>
    <cellStyle name="40% - Accent5 2 3 4 2 3" xfId="12198" xr:uid="{918B6D2E-B76C-44FE-B5D9-483F217AEF84}"/>
    <cellStyle name="40% - Accent5 2 3 4 3" xfId="5829" xr:uid="{00000000-0005-0000-0000-000077060000}"/>
    <cellStyle name="40% - Accent5 2 3 4 3 2" xfId="14271" xr:uid="{381BF737-4621-4BAA-BB2B-E02D49256EB3}"/>
    <cellStyle name="40% - Accent5 2 3 4 4" xfId="10053" xr:uid="{C57B7D5B-2EBC-42C5-B8DD-78BA2A292C69}"/>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EB08043C-9172-4710-9820-0EA8307CD21C}"/>
    <cellStyle name="40% - Accent5 2 3 5 2 3" xfId="12611" xr:uid="{00D50CD8-5956-4850-9754-179B7A31683B}"/>
    <cellStyle name="40% - Accent5 2 3 5 3" xfId="6242" xr:uid="{00000000-0005-0000-0000-00007B060000}"/>
    <cellStyle name="40% - Accent5 2 3 5 3 2" xfId="14684" xr:uid="{0F069E2F-F0F6-4E53-88B4-BB0122B7786A}"/>
    <cellStyle name="40% - Accent5 2 3 5 4" xfId="10466" xr:uid="{56C77D79-1FF6-4F57-BDD5-DD3949E7079A}"/>
    <cellStyle name="40% - Accent5 2 3 6" xfId="2348" xr:uid="{00000000-0005-0000-0000-00007C060000}"/>
    <cellStyle name="40% - Accent5 2 3 6 2" xfId="6655" xr:uid="{00000000-0005-0000-0000-00007D060000}"/>
    <cellStyle name="40% - Accent5 2 3 6 2 2" xfId="15097" xr:uid="{B2117088-1CAE-4021-BD49-0C443E20E5B4}"/>
    <cellStyle name="40% - Accent5 2 3 6 3" xfId="10879" xr:uid="{194BB21F-109A-49FD-92DD-536C26261B03}"/>
    <cellStyle name="40% - Accent5 2 3 7" xfId="4589" xr:uid="{00000000-0005-0000-0000-00007E060000}"/>
    <cellStyle name="40% - Accent5 2 3 7 2" xfId="13031" xr:uid="{E65803FB-1D49-4023-BF20-9E9F674D0762}"/>
    <cellStyle name="40% - Accent5 2 3 8" xfId="8813" xr:uid="{A9D8204B-FC6B-4988-87A9-2692DB47F88C}"/>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17893412-DAA1-4A3D-9221-CAEB766FFF90}"/>
    <cellStyle name="40% - Accent5 2 4 2 3" xfId="11369" xr:uid="{6271827B-0D34-4E3B-B36A-8158A568AF46}"/>
    <cellStyle name="40% - Accent5 2 4 3" xfId="5000" xr:uid="{00000000-0005-0000-0000-000082060000}"/>
    <cellStyle name="40% - Accent5 2 4 3 2" xfId="13442" xr:uid="{C07A74BA-B302-4A99-8534-147D5DB8336C}"/>
    <cellStyle name="40% - Accent5 2 4 4" xfId="9224" xr:uid="{56DDDC74-92C5-4E24-A09A-7331CF5C9C93}"/>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69193BE5-81C8-48F0-9DEA-1CF4A4790748}"/>
    <cellStyle name="40% - Accent5 2 5 2 3" xfId="11782" xr:uid="{1B747458-DBD6-475A-A87C-350E051BC910}"/>
    <cellStyle name="40% - Accent5 2 5 3" xfId="5413" xr:uid="{00000000-0005-0000-0000-000086060000}"/>
    <cellStyle name="40% - Accent5 2 5 3 2" xfId="13855" xr:uid="{5210EEC3-57D1-4D5A-9775-976EE8ED2D19}"/>
    <cellStyle name="40% - Accent5 2 5 4" xfId="9637" xr:uid="{5FB5B321-DC2A-4E0E-965A-4CD078FCB66A}"/>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E145A666-5488-4F64-BC63-A2F4477B4CE9}"/>
    <cellStyle name="40% - Accent5 2 6 2 3" xfId="12195" xr:uid="{FDBF3F9F-B847-48A7-AE7A-938EBC053DE7}"/>
    <cellStyle name="40% - Accent5 2 6 3" xfId="5826" xr:uid="{00000000-0005-0000-0000-00008A060000}"/>
    <cellStyle name="40% - Accent5 2 6 3 2" xfId="14268" xr:uid="{6D71A2F9-60E3-489E-9452-D1E428099EDF}"/>
    <cellStyle name="40% - Accent5 2 6 4" xfId="10050" xr:uid="{9FACC8B3-437E-4F0E-98C1-3B8E646DE4F4}"/>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173609B6-1335-4226-816E-38BCF74DBF2A}"/>
    <cellStyle name="40% - Accent5 2 7 2 3" xfId="12608" xr:uid="{DF9E00B1-4479-4038-A125-7D6579C7675F}"/>
    <cellStyle name="40% - Accent5 2 7 3" xfId="6239" xr:uid="{00000000-0005-0000-0000-00008E060000}"/>
    <cellStyle name="40% - Accent5 2 7 3 2" xfId="14681" xr:uid="{1E6BF9BD-1083-4D67-B0C6-BA7381208666}"/>
    <cellStyle name="40% - Accent5 2 7 4" xfId="10463" xr:uid="{2401B8FF-3411-4EE5-872A-705C606975B9}"/>
    <cellStyle name="40% - Accent5 2 8" xfId="2345" xr:uid="{00000000-0005-0000-0000-00008F060000}"/>
    <cellStyle name="40% - Accent5 2 8 2" xfId="6652" xr:uid="{00000000-0005-0000-0000-000090060000}"/>
    <cellStyle name="40% - Accent5 2 8 2 2" xfId="15094" xr:uid="{FBC55A6E-ACFB-461D-80F3-E152092A3593}"/>
    <cellStyle name="40% - Accent5 2 8 3" xfId="10876" xr:uid="{324EC3F7-4CE7-4076-9581-FC40AA67D593}"/>
    <cellStyle name="40% - Accent5 2 9" xfId="4586" xr:uid="{00000000-0005-0000-0000-000091060000}"/>
    <cellStyle name="40% - Accent5 2 9 2" xfId="13028" xr:uid="{9E1F8E73-8203-4672-87A6-2C9C9B08990F}"/>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C0A17A84-0A70-44D0-8507-4532AC915A59}"/>
    <cellStyle name="40% - Accent5 3 2 2 2 3" xfId="11374" xr:uid="{E5AA41F1-5046-4689-BB9D-7255A8B4FE55}"/>
    <cellStyle name="40% - Accent5 3 2 2 3" xfId="5005" xr:uid="{00000000-0005-0000-0000-000097060000}"/>
    <cellStyle name="40% - Accent5 3 2 2 3 2" xfId="13447" xr:uid="{B344D3DA-53DA-43C4-B783-95C35D8576C7}"/>
    <cellStyle name="40% - Accent5 3 2 2 4" xfId="9229" xr:uid="{2A034CDB-A141-4DD7-834B-6A53DB406106}"/>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863119FE-4625-4E4A-B470-CB5D22FA6C50}"/>
    <cellStyle name="40% - Accent5 3 2 3 2 3" xfId="11787" xr:uid="{460D7496-5CC4-4F51-BC6D-1006671A2BCD}"/>
    <cellStyle name="40% - Accent5 3 2 3 3" xfId="5418" xr:uid="{00000000-0005-0000-0000-00009B060000}"/>
    <cellStyle name="40% - Accent5 3 2 3 3 2" xfId="13860" xr:uid="{2A4633ED-09AF-4C3C-8B34-27796F1EAB2B}"/>
    <cellStyle name="40% - Accent5 3 2 3 4" xfId="9642" xr:uid="{0EF0470C-A4CF-4793-8851-B3FA9F3B4649}"/>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0AD32E01-467F-4A18-8C85-24F9BFB63BF1}"/>
    <cellStyle name="40% - Accent5 3 2 4 2 3" xfId="12200" xr:uid="{93175E96-31EF-400C-97CF-2DC88B04DD43}"/>
    <cellStyle name="40% - Accent5 3 2 4 3" xfId="5831" xr:uid="{00000000-0005-0000-0000-00009F060000}"/>
    <cellStyle name="40% - Accent5 3 2 4 3 2" xfId="14273" xr:uid="{3BFDEC17-3C1A-49A1-8BBD-3EBFCDC32B57}"/>
    <cellStyle name="40% - Accent5 3 2 4 4" xfId="10055" xr:uid="{6787F811-0AD5-4F0A-9C1A-9DCA7D24C614}"/>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57BE3105-F6CB-468D-88DD-F16292F2FB56}"/>
    <cellStyle name="40% - Accent5 3 2 5 2 3" xfId="12613" xr:uid="{0FF30042-E92E-4BBA-900A-3696380F9985}"/>
    <cellStyle name="40% - Accent5 3 2 5 3" xfId="6244" xr:uid="{00000000-0005-0000-0000-0000A3060000}"/>
    <cellStyle name="40% - Accent5 3 2 5 3 2" xfId="14686" xr:uid="{1F87404E-196C-4CC1-879C-558F16F1B4DD}"/>
    <cellStyle name="40% - Accent5 3 2 5 4" xfId="10468" xr:uid="{5EEAF3F0-E64A-4F7A-A6CB-E8A2BD2183D4}"/>
    <cellStyle name="40% - Accent5 3 2 6" xfId="2350" xr:uid="{00000000-0005-0000-0000-0000A4060000}"/>
    <cellStyle name="40% - Accent5 3 2 6 2" xfId="6657" xr:uid="{00000000-0005-0000-0000-0000A5060000}"/>
    <cellStyle name="40% - Accent5 3 2 6 2 2" xfId="15099" xr:uid="{B4C82442-A275-47FD-914E-571EA9A454F3}"/>
    <cellStyle name="40% - Accent5 3 2 6 3" xfId="10881" xr:uid="{F607E6E9-1FB2-4838-98A6-EF7F1B972539}"/>
    <cellStyle name="40% - Accent5 3 2 7" xfId="4591" xr:uid="{00000000-0005-0000-0000-0000A6060000}"/>
    <cellStyle name="40% - Accent5 3 2 7 2" xfId="13033" xr:uid="{D03798BD-9017-4105-964F-551CD9FAD9B2}"/>
    <cellStyle name="40% - Accent5 3 2 8" xfId="8815" xr:uid="{C85F15A9-7848-4274-BDCC-060BDD3CC7A7}"/>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93A52EA1-2CB5-4AF5-913E-C51844CB3AF6}"/>
    <cellStyle name="40% - Accent5 3 3 2 3" xfId="11373" xr:uid="{51317490-0E72-4BA5-ADB6-561899B2B67C}"/>
    <cellStyle name="40% - Accent5 3 3 3" xfId="5004" xr:uid="{00000000-0005-0000-0000-0000AA060000}"/>
    <cellStyle name="40% - Accent5 3 3 3 2" xfId="13446" xr:uid="{93CBC2C9-725A-4124-AFEC-CB18BCE6AD53}"/>
    <cellStyle name="40% - Accent5 3 3 4" xfId="9228" xr:uid="{AF0C43D3-089C-4D14-A1C6-DC78FB1F9ED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9DF08920-E1F5-47C5-B8E5-E77897FB3FEF}"/>
    <cellStyle name="40% - Accent5 3 4 2 3" xfId="11786" xr:uid="{0174A43B-01A3-4346-8FE3-A1E953F01B58}"/>
    <cellStyle name="40% - Accent5 3 4 3" xfId="5417" xr:uid="{00000000-0005-0000-0000-0000AE060000}"/>
    <cellStyle name="40% - Accent5 3 4 3 2" xfId="13859" xr:uid="{B6CDB355-3214-4229-8986-42EE4CF9BCA2}"/>
    <cellStyle name="40% - Accent5 3 4 4" xfId="9641" xr:uid="{C49D3BA0-9350-4B62-BEA0-D4EA1964D44A}"/>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D4039F0C-8DBF-41D4-A5F5-4F77BE44F927}"/>
    <cellStyle name="40% - Accent5 3 5 2 3" xfId="12199" xr:uid="{1AED29F5-C207-49F6-9262-C0C59070A2A4}"/>
    <cellStyle name="40% - Accent5 3 5 3" xfId="5830" xr:uid="{00000000-0005-0000-0000-0000B2060000}"/>
    <cellStyle name="40% - Accent5 3 5 3 2" xfId="14272" xr:uid="{F27E5EDE-C7C0-4617-8A41-81CDA53E0C5C}"/>
    <cellStyle name="40% - Accent5 3 5 4" xfId="10054" xr:uid="{F1266FEA-C9CC-43A1-9C3F-E4CF21D115FA}"/>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38CAC075-AA12-489D-9281-DA9C993F11AD}"/>
    <cellStyle name="40% - Accent5 3 6 2 3" xfId="12612" xr:uid="{9FF9D6D2-BAAF-4FA9-A75B-B8C775ACA5D8}"/>
    <cellStyle name="40% - Accent5 3 6 3" xfId="6243" xr:uid="{00000000-0005-0000-0000-0000B6060000}"/>
    <cellStyle name="40% - Accent5 3 6 3 2" xfId="14685" xr:uid="{1A78B20B-B575-4D3E-8244-6489E40DC4D6}"/>
    <cellStyle name="40% - Accent5 3 6 4" xfId="10467" xr:uid="{69AFF203-4161-45DF-B1A6-A87DADFCE3D9}"/>
    <cellStyle name="40% - Accent5 3 7" xfId="2349" xr:uid="{00000000-0005-0000-0000-0000B7060000}"/>
    <cellStyle name="40% - Accent5 3 7 2" xfId="6656" xr:uid="{00000000-0005-0000-0000-0000B8060000}"/>
    <cellStyle name="40% - Accent5 3 7 2 2" xfId="15098" xr:uid="{9C4DA6D4-999B-47CC-B6D8-EB2B693B3064}"/>
    <cellStyle name="40% - Accent5 3 7 3" xfId="10880" xr:uid="{1613D4A3-1219-4FEE-BCF9-CCAA021560FD}"/>
    <cellStyle name="40% - Accent5 3 8" xfId="4590" xr:uid="{00000000-0005-0000-0000-0000B9060000}"/>
    <cellStyle name="40% - Accent5 3 8 2" xfId="13032" xr:uid="{D1AFB132-88E9-4E19-934E-2B4613FA6104}"/>
    <cellStyle name="40% - Accent5 3 9" xfId="8814" xr:uid="{F4AF2DC8-FA29-40BD-999A-8095B23CFD66}"/>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9ECF3281-7862-424C-8DAE-B49F729ABF23}"/>
    <cellStyle name="40% - Accent5 4 2 2 3" xfId="11375" xr:uid="{7460401C-0730-48D1-802B-88AA5FAC8903}"/>
    <cellStyle name="40% - Accent5 4 2 3" xfId="5006" xr:uid="{00000000-0005-0000-0000-0000BE060000}"/>
    <cellStyle name="40% - Accent5 4 2 3 2" xfId="13448" xr:uid="{09DD8C9C-0A51-4008-8846-DBBEA1FC1BF0}"/>
    <cellStyle name="40% - Accent5 4 2 4" xfId="9230" xr:uid="{3970DEB7-DA8F-4288-8EF0-1531140E7365}"/>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487F6F28-B78B-4A7C-9E77-2E517E6818F4}"/>
    <cellStyle name="40% - Accent5 4 3 2 3" xfId="11788" xr:uid="{FE9FF699-1C95-4331-B4B2-9F25DBDDD920}"/>
    <cellStyle name="40% - Accent5 4 3 3" xfId="5419" xr:uid="{00000000-0005-0000-0000-0000C2060000}"/>
    <cellStyle name="40% - Accent5 4 3 3 2" xfId="13861" xr:uid="{DA2667BE-1AC0-485E-BD1D-0202C912E18C}"/>
    <cellStyle name="40% - Accent5 4 3 4" xfId="9643" xr:uid="{ECCFCCDA-54A1-408F-AE83-9FD3492CF976}"/>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AA94E7A1-D188-4111-8E56-7D8CB3309755}"/>
    <cellStyle name="40% - Accent5 4 4 2 3" xfId="12201" xr:uid="{3AC7155E-5965-4526-8C4D-16CDF5CD2762}"/>
    <cellStyle name="40% - Accent5 4 4 3" xfId="5832" xr:uid="{00000000-0005-0000-0000-0000C6060000}"/>
    <cellStyle name="40% - Accent5 4 4 3 2" xfId="14274" xr:uid="{9B1B1D3D-A84F-48E3-895C-9FC990DC89FC}"/>
    <cellStyle name="40% - Accent5 4 4 4" xfId="10056" xr:uid="{5152AFFB-C594-48A2-B2EC-05B4FD8D9314}"/>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CB15BDF5-F59F-4BB2-818D-40191B46E4E9}"/>
    <cellStyle name="40% - Accent5 4 5 2 3" xfId="12614" xr:uid="{5C549E36-8CF4-477A-9688-6FF4D7A7B043}"/>
    <cellStyle name="40% - Accent5 4 5 3" xfId="6245" xr:uid="{00000000-0005-0000-0000-0000CA060000}"/>
    <cellStyle name="40% - Accent5 4 5 3 2" xfId="14687" xr:uid="{0C4C6CE8-FC09-4A7E-97D5-52F7C10395D0}"/>
    <cellStyle name="40% - Accent5 4 5 4" xfId="10469" xr:uid="{B8DC4BC9-918E-4726-ABC0-4463E4242B98}"/>
    <cellStyle name="40% - Accent5 4 6" xfId="2351" xr:uid="{00000000-0005-0000-0000-0000CB060000}"/>
    <cellStyle name="40% - Accent5 4 6 2" xfId="6658" xr:uid="{00000000-0005-0000-0000-0000CC060000}"/>
    <cellStyle name="40% - Accent5 4 6 2 2" xfId="15100" xr:uid="{2144F6D4-5778-417C-BA11-85F66F2379B8}"/>
    <cellStyle name="40% - Accent5 4 6 3" xfId="10882" xr:uid="{9DFF7831-0562-4F13-BB7C-229D182FDFB7}"/>
    <cellStyle name="40% - Accent5 4 7" xfId="4592" xr:uid="{00000000-0005-0000-0000-0000CD060000}"/>
    <cellStyle name="40% - Accent5 4 7 2" xfId="13034" xr:uid="{B247A810-F634-4680-8486-5C90A427F35D}"/>
    <cellStyle name="40% - Accent5 4 8" xfId="8816" xr:uid="{3C5764DD-724A-48D0-B200-36F5412FEC52}"/>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14F7CAFC-596C-4F34-8813-18E3884DBE6E}"/>
    <cellStyle name="40% - Accent5 5 2 3" xfId="11368" xr:uid="{E613E1BD-2FBF-41B8-B3A2-26529E1E1B88}"/>
    <cellStyle name="40% - Accent5 5 3" xfId="4999" xr:uid="{00000000-0005-0000-0000-0000D1060000}"/>
    <cellStyle name="40% - Accent5 5 3 2" xfId="13441" xr:uid="{6E627318-9A69-46A0-9512-4AC0DB458B8C}"/>
    <cellStyle name="40% - Accent5 5 4" xfId="9223" xr:uid="{9B6A7BEE-123C-4C44-93CC-96A52C8D4B32}"/>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B8F28B16-1C1F-4CE2-951F-C367AE8857E1}"/>
    <cellStyle name="40% - Accent5 6 2 3" xfId="11781" xr:uid="{BD3E97B1-3F7F-4A49-BC6F-CB45E5682C49}"/>
    <cellStyle name="40% - Accent5 6 3" xfId="5412" xr:uid="{00000000-0005-0000-0000-0000D5060000}"/>
    <cellStyle name="40% - Accent5 6 3 2" xfId="13854" xr:uid="{077B0125-189C-4703-A268-6FD131949E78}"/>
    <cellStyle name="40% - Accent5 6 4" xfId="9636" xr:uid="{F8D3F06A-C0D2-44B4-BCF6-D7913091CCF1}"/>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892680A9-CF15-487C-AB5E-B90CE7205F27}"/>
    <cellStyle name="40% - Accent5 7 2 3" xfId="12194" xr:uid="{B946C1AB-3171-4ACE-AE9B-F3C945E2E9DC}"/>
    <cellStyle name="40% - Accent5 7 3" xfId="5825" xr:uid="{00000000-0005-0000-0000-0000D9060000}"/>
    <cellStyle name="40% - Accent5 7 3 2" xfId="14267" xr:uid="{61DDA54C-1DBE-4A95-8638-B5C107AF2152}"/>
    <cellStyle name="40% - Accent5 7 4" xfId="10049" xr:uid="{6FE785DD-A86D-4257-BB18-F253F44332D3}"/>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E6E641E9-CF5B-4CA2-8C4F-E0CCC14CA725}"/>
    <cellStyle name="40% - Accent5 8 2 3" xfId="12607" xr:uid="{AAB56736-F651-4EE5-8266-C5332C27F623}"/>
    <cellStyle name="40% - Accent5 8 3" xfId="6238" xr:uid="{00000000-0005-0000-0000-0000DD060000}"/>
    <cellStyle name="40% - Accent5 8 3 2" xfId="14680" xr:uid="{CA71DF72-E3AF-4517-97A0-B25C4F393EF6}"/>
    <cellStyle name="40% - Accent5 8 4" xfId="10462" xr:uid="{4DE8ED14-3EB3-4E6F-BF1C-51658F15183B}"/>
    <cellStyle name="40% - Accent5 9" xfId="2344" xr:uid="{00000000-0005-0000-0000-0000DE060000}"/>
    <cellStyle name="40% - Accent5 9 2" xfId="6651" xr:uid="{00000000-0005-0000-0000-0000DF060000}"/>
    <cellStyle name="40% - Accent5 9 2 2" xfId="15093" xr:uid="{69562885-A61F-44FB-B72F-FA1647A77F7B}"/>
    <cellStyle name="40% - Accent5 9 3" xfId="10875" xr:uid="{66BC4BED-F6AE-4EC3-B9C7-004545BB65A9}"/>
    <cellStyle name="40% - Accent6" xfId="89" builtinId="51" customBuiltin="1"/>
    <cellStyle name="40% - Accent6 10" xfId="4593" xr:uid="{00000000-0005-0000-0000-0000E1060000}"/>
    <cellStyle name="40% - Accent6 10 2" xfId="13035" xr:uid="{E7E425A5-FC25-46A8-BC74-FC6B0E657FC8}"/>
    <cellStyle name="40% - Accent6 11" xfId="8817" xr:uid="{738C1006-941A-4C84-970B-46ACB2709837}"/>
    <cellStyle name="40% - Accent6 2" xfId="90" xr:uid="{00000000-0005-0000-0000-0000E2060000}"/>
    <cellStyle name="40% - Accent6 2 10" xfId="8818" xr:uid="{AD452CF8-B517-45D5-B067-3D4402CD921C}"/>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3E4081A2-60C5-49BB-B487-FE090A3122D5}"/>
    <cellStyle name="40% - Accent6 2 2 2 2 2 3" xfId="11379" xr:uid="{9E36566A-FADF-41FB-8A33-A4CED16002EA}"/>
    <cellStyle name="40% - Accent6 2 2 2 2 3" xfId="5010" xr:uid="{00000000-0005-0000-0000-0000E8060000}"/>
    <cellStyle name="40% - Accent6 2 2 2 2 3 2" xfId="13452" xr:uid="{12E4A665-FC19-44A3-ADCE-247C08E05842}"/>
    <cellStyle name="40% - Accent6 2 2 2 2 4" xfId="9234" xr:uid="{72A0CFE4-48B3-46F6-B120-A604303F8E5E}"/>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83330D2E-0552-41BF-BCA7-BBEE120FC272}"/>
    <cellStyle name="40% - Accent6 2 2 2 3 2 3" xfId="11792" xr:uid="{32DB151B-4583-4BC0-B512-02DC26EFDE55}"/>
    <cellStyle name="40% - Accent6 2 2 2 3 3" xfId="5423" xr:uid="{00000000-0005-0000-0000-0000EC060000}"/>
    <cellStyle name="40% - Accent6 2 2 2 3 3 2" xfId="13865" xr:uid="{848458D3-CD92-4A36-9A15-C7F3399B3AB7}"/>
    <cellStyle name="40% - Accent6 2 2 2 3 4" xfId="9647" xr:uid="{7E2313FF-A99D-432D-A0F4-28580CD4ED14}"/>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56BB33BC-1A69-485D-9C23-F2FCF1CA98E8}"/>
    <cellStyle name="40% - Accent6 2 2 2 4 2 3" xfId="12205" xr:uid="{C3BAAE85-4C7A-40EB-934D-04F9DA7BAAB0}"/>
    <cellStyle name="40% - Accent6 2 2 2 4 3" xfId="5836" xr:uid="{00000000-0005-0000-0000-0000F0060000}"/>
    <cellStyle name="40% - Accent6 2 2 2 4 3 2" xfId="14278" xr:uid="{E0715F31-CB14-403B-9BC6-5F4D958CBE5B}"/>
    <cellStyle name="40% - Accent6 2 2 2 4 4" xfId="10060" xr:uid="{73139055-DD9F-4486-A0DD-82B859EF6E3F}"/>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94E11855-873B-450C-B5A3-808150FFEC73}"/>
    <cellStyle name="40% - Accent6 2 2 2 5 2 3" xfId="12618" xr:uid="{2C818273-B753-444C-9DF9-54E0164AB4BD}"/>
    <cellStyle name="40% - Accent6 2 2 2 5 3" xfId="6249" xr:uid="{00000000-0005-0000-0000-0000F4060000}"/>
    <cellStyle name="40% - Accent6 2 2 2 5 3 2" xfId="14691" xr:uid="{06BB2CAD-8B00-4281-97CD-4DA007390836}"/>
    <cellStyle name="40% - Accent6 2 2 2 5 4" xfId="10473" xr:uid="{5CD95DFF-43C0-445B-B576-3E1A8323438C}"/>
    <cellStyle name="40% - Accent6 2 2 2 6" xfId="2355" xr:uid="{00000000-0005-0000-0000-0000F5060000}"/>
    <cellStyle name="40% - Accent6 2 2 2 6 2" xfId="6662" xr:uid="{00000000-0005-0000-0000-0000F6060000}"/>
    <cellStyle name="40% - Accent6 2 2 2 6 2 2" xfId="15104" xr:uid="{E21C9F60-3198-41D6-A0E4-702C7D1F164A}"/>
    <cellStyle name="40% - Accent6 2 2 2 6 3" xfId="10886" xr:uid="{837C1683-B8B8-42EE-A970-F895B0080685}"/>
    <cellStyle name="40% - Accent6 2 2 2 7" xfId="4596" xr:uid="{00000000-0005-0000-0000-0000F7060000}"/>
    <cellStyle name="40% - Accent6 2 2 2 7 2" xfId="13038" xr:uid="{7EEC7244-A64F-430E-A697-BAF3F48AF5FD}"/>
    <cellStyle name="40% - Accent6 2 2 2 8" xfId="8820" xr:uid="{7E749C60-082E-4205-875A-F20B26376B28}"/>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12998B6B-5B28-4575-840D-E4C9C44F1672}"/>
    <cellStyle name="40% - Accent6 2 2 3 2 3" xfId="11378" xr:uid="{974EFE18-A1A2-4F75-8AD1-F870EC6EE04B}"/>
    <cellStyle name="40% - Accent6 2 2 3 3" xfId="5009" xr:uid="{00000000-0005-0000-0000-0000FB060000}"/>
    <cellStyle name="40% - Accent6 2 2 3 3 2" xfId="13451" xr:uid="{6F04617D-D3A4-4C3E-B88B-D0D568FD0FC9}"/>
    <cellStyle name="40% - Accent6 2 2 3 4" xfId="9233" xr:uid="{D48CF453-5F03-4CF8-ABB6-E70379817782}"/>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4D7B93D8-60B3-4450-BE72-86ED7EB410DC}"/>
    <cellStyle name="40% - Accent6 2 2 4 2 3" xfId="11791" xr:uid="{D64631B8-C769-410D-B5E0-E83250D8FBE0}"/>
    <cellStyle name="40% - Accent6 2 2 4 3" xfId="5422" xr:uid="{00000000-0005-0000-0000-0000FF060000}"/>
    <cellStyle name="40% - Accent6 2 2 4 3 2" xfId="13864" xr:uid="{D8938A3A-8D98-4D9D-9171-E32352581349}"/>
    <cellStyle name="40% - Accent6 2 2 4 4" xfId="9646" xr:uid="{728AC696-9926-44B0-BF5C-16939970B8A1}"/>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EA95718F-03A3-49CB-A679-B937B5687B19}"/>
    <cellStyle name="40% - Accent6 2 2 5 2 3" xfId="12204" xr:uid="{D5E74ED4-3FE9-48B1-9014-4D8306FE44A3}"/>
    <cellStyle name="40% - Accent6 2 2 5 3" xfId="5835" xr:uid="{00000000-0005-0000-0000-000003070000}"/>
    <cellStyle name="40% - Accent6 2 2 5 3 2" xfId="14277" xr:uid="{31CD2C6A-8A22-44FF-B7ED-3F3FC2F6CE9D}"/>
    <cellStyle name="40% - Accent6 2 2 5 4" xfId="10059" xr:uid="{FF705953-DAE1-4AF8-9BBB-BA34D0288779}"/>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A3C5B672-C687-4C87-8D1B-97DBAC094F7A}"/>
    <cellStyle name="40% - Accent6 2 2 6 2 3" xfId="12617" xr:uid="{468C1EEB-6E7F-4D27-9EDF-CEB8B41DDF4F}"/>
    <cellStyle name="40% - Accent6 2 2 6 3" xfId="6248" xr:uid="{00000000-0005-0000-0000-000007070000}"/>
    <cellStyle name="40% - Accent6 2 2 6 3 2" xfId="14690" xr:uid="{7DF297E0-0E09-40F8-93BC-23CA1B82DE45}"/>
    <cellStyle name="40% - Accent6 2 2 6 4" xfId="10472" xr:uid="{4269515E-2431-44A9-B39B-1E2E91C596D7}"/>
    <cellStyle name="40% - Accent6 2 2 7" xfId="2354" xr:uid="{00000000-0005-0000-0000-000008070000}"/>
    <cellStyle name="40% - Accent6 2 2 7 2" xfId="6661" xr:uid="{00000000-0005-0000-0000-000009070000}"/>
    <cellStyle name="40% - Accent6 2 2 7 2 2" xfId="15103" xr:uid="{5D15994C-4089-4A8F-9E0A-704031CF840F}"/>
    <cellStyle name="40% - Accent6 2 2 7 3" xfId="10885" xr:uid="{24B5CBC9-0A9B-401F-A565-FAF863305F83}"/>
    <cellStyle name="40% - Accent6 2 2 8" xfId="4595" xr:uid="{00000000-0005-0000-0000-00000A070000}"/>
    <cellStyle name="40% - Accent6 2 2 8 2" xfId="13037" xr:uid="{3ED4025D-1FD9-4452-BE92-C479A78D3611}"/>
    <cellStyle name="40% - Accent6 2 2 9" xfId="8819" xr:uid="{253BAB7F-7D3E-46DC-BC8B-73CF21128257}"/>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35035463-1C11-4C25-8C44-2611198547C1}"/>
    <cellStyle name="40% - Accent6 2 3 2 2 3" xfId="11380" xr:uid="{0A3AAF99-BCB7-4668-9631-FBF16A3E4249}"/>
    <cellStyle name="40% - Accent6 2 3 2 3" xfId="5011" xr:uid="{00000000-0005-0000-0000-00000F070000}"/>
    <cellStyle name="40% - Accent6 2 3 2 3 2" xfId="13453" xr:uid="{3F480B6A-75E6-4950-985D-F59843205666}"/>
    <cellStyle name="40% - Accent6 2 3 2 4" xfId="9235" xr:uid="{D28811FF-750A-4D18-A832-554DF1B0F6A9}"/>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D2E7FA77-2CCD-48BE-A583-7AC17841BCBB}"/>
    <cellStyle name="40% - Accent6 2 3 3 2 3" xfId="11793" xr:uid="{725710D1-D7AC-482D-ACAA-FA906F2C2A5D}"/>
    <cellStyle name="40% - Accent6 2 3 3 3" xfId="5424" xr:uid="{00000000-0005-0000-0000-000013070000}"/>
    <cellStyle name="40% - Accent6 2 3 3 3 2" xfId="13866" xr:uid="{F2F8B8A7-DDC0-446D-8760-940A9A0A03B3}"/>
    <cellStyle name="40% - Accent6 2 3 3 4" xfId="9648" xr:uid="{03529123-76EE-4525-BBB8-33A15F6392A0}"/>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93588866-36B1-4ECD-9B8C-44A12DEEB559}"/>
    <cellStyle name="40% - Accent6 2 3 4 2 3" xfId="12206" xr:uid="{948A931B-A1AC-4E29-A748-F38FD4DEFF5A}"/>
    <cellStyle name="40% - Accent6 2 3 4 3" xfId="5837" xr:uid="{00000000-0005-0000-0000-000017070000}"/>
    <cellStyle name="40% - Accent6 2 3 4 3 2" xfId="14279" xr:uid="{1DC9E956-C9EB-444E-98CA-F448015E992E}"/>
    <cellStyle name="40% - Accent6 2 3 4 4" xfId="10061" xr:uid="{B933E838-A3D1-438A-85BA-0DED6C3DF9CD}"/>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D32338E5-2868-432E-9039-B6804AD3A36A}"/>
    <cellStyle name="40% - Accent6 2 3 5 2 3" xfId="12619" xr:uid="{FE59CF82-80BB-4C5E-91BA-658A8B455992}"/>
    <cellStyle name="40% - Accent6 2 3 5 3" xfId="6250" xr:uid="{00000000-0005-0000-0000-00001B070000}"/>
    <cellStyle name="40% - Accent6 2 3 5 3 2" xfId="14692" xr:uid="{0EA8E4D9-E82F-4D26-A348-68BCA30CA011}"/>
    <cellStyle name="40% - Accent6 2 3 5 4" xfId="10474" xr:uid="{A8806754-0C61-48E1-85AF-A4D888E19EA0}"/>
    <cellStyle name="40% - Accent6 2 3 6" xfId="2356" xr:uid="{00000000-0005-0000-0000-00001C070000}"/>
    <cellStyle name="40% - Accent6 2 3 6 2" xfId="6663" xr:uid="{00000000-0005-0000-0000-00001D070000}"/>
    <cellStyle name="40% - Accent6 2 3 6 2 2" xfId="15105" xr:uid="{78700209-A180-4F9D-BADC-0F18E5F41965}"/>
    <cellStyle name="40% - Accent6 2 3 6 3" xfId="10887" xr:uid="{6F03D65D-201D-490A-A399-2D3FD1DB4B08}"/>
    <cellStyle name="40% - Accent6 2 3 7" xfId="4597" xr:uid="{00000000-0005-0000-0000-00001E070000}"/>
    <cellStyle name="40% - Accent6 2 3 7 2" xfId="13039" xr:uid="{67CEF56B-BAA1-4B68-8C96-6A58D38DBA4B}"/>
    <cellStyle name="40% - Accent6 2 3 8" xfId="8821" xr:uid="{C10FDDD6-B946-4C99-9E38-58B0E133B6DE}"/>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D7B1560E-CEA2-4813-BFAA-78F9895CA7A6}"/>
    <cellStyle name="40% - Accent6 2 4 2 3" xfId="11377" xr:uid="{8F2C889E-3981-45A6-A806-DCC44E1FB9CD}"/>
    <cellStyle name="40% - Accent6 2 4 3" xfId="5008" xr:uid="{00000000-0005-0000-0000-000022070000}"/>
    <cellStyle name="40% - Accent6 2 4 3 2" xfId="13450" xr:uid="{EF530A33-D66D-4AC5-AA8E-CDCC6715A2EC}"/>
    <cellStyle name="40% - Accent6 2 4 4" xfId="9232" xr:uid="{72EA4E1F-4079-4801-BEB6-4EB46DC8180A}"/>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ACFE7DA4-1C75-4EBD-B1C6-39B3ED9C90FD}"/>
    <cellStyle name="40% - Accent6 2 5 2 3" xfId="11790" xr:uid="{F2DB190D-8AEF-45D3-8E60-CAE4FC204371}"/>
    <cellStyle name="40% - Accent6 2 5 3" xfId="5421" xr:uid="{00000000-0005-0000-0000-000026070000}"/>
    <cellStyle name="40% - Accent6 2 5 3 2" xfId="13863" xr:uid="{261B692F-1FC7-438A-A10A-2FD60DC18C74}"/>
    <cellStyle name="40% - Accent6 2 5 4" xfId="9645" xr:uid="{991F014B-397F-499E-B60A-CCD918D918F2}"/>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35161725-BCC8-4F91-977F-12E79E43858E}"/>
    <cellStyle name="40% - Accent6 2 6 2 3" xfId="12203" xr:uid="{FE633575-17DA-4CA3-BE19-80B94A71F264}"/>
    <cellStyle name="40% - Accent6 2 6 3" xfId="5834" xr:uid="{00000000-0005-0000-0000-00002A070000}"/>
    <cellStyle name="40% - Accent6 2 6 3 2" xfId="14276" xr:uid="{2BE2D6A4-F923-489B-B0F3-DEB654A6F97B}"/>
    <cellStyle name="40% - Accent6 2 6 4" xfId="10058" xr:uid="{76D3C074-272A-4ACB-9856-8882201B4644}"/>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0D1C22C9-803A-456F-8E1E-A40C9A90593E}"/>
    <cellStyle name="40% - Accent6 2 7 2 3" xfId="12616" xr:uid="{FFF84701-688B-4825-8082-F0486D500197}"/>
    <cellStyle name="40% - Accent6 2 7 3" xfId="6247" xr:uid="{00000000-0005-0000-0000-00002E070000}"/>
    <cellStyle name="40% - Accent6 2 7 3 2" xfId="14689" xr:uid="{AAE7FA93-CBB5-4B10-9268-3A6DA84B32E3}"/>
    <cellStyle name="40% - Accent6 2 7 4" xfId="10471" xr:uid="{8A443133-92A2-49BA-88FB-F528A3CF9DDD}"/>
    <cellStyle name="40% - Accent6 2 8" xfId="2353" xr:uid="{00000000-0005-0000-0000-00002F070000}"/>
    <cellStyle name="40% - Accent6 2 8 2" xfId="6660" xr:uid="{00000000-0005-0000-0000-000030070000}"/>
    <cellStyle name="40% - Accent6 2 8 2 2" xfId="15102" xr:uid="{36B77601-2B80-4370-A82D-724FC385E841}"/>
    <cellStyle name="40% - Accent6 2 8 3" xfId="10884" xr:uid="{00D4EBB3-E962-41B8-9B30-8D46B18DCE85}"/>
    <cellStyle name="40% - Accent6 2 9" xfId="4594" xr:uid="{00000000-0005-0000-0000-000031070000}"/>
    <cellStyle name="40% - Accent6 2 9 2" xfId="13036" xr:uid="{AA13617A-44D7-4C92-981A-E00C417F0C72}"/>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8E61F21D-91D1-4452-801C-FBE6ADE738D3}"/>
    <cellStyle name="40% - Accent6 3 2 2 2 3" xfId="11382" xr:uid="{49E14A4F-BB50-4332-987F-C781DD39AB99}"/>
    <cellStyle name="40% - Accent6 3 2 2 3" xfId="5013" xr:uid="{00000000-0005-0000-0000-000037070000}"/>
    <cellStyle name="40% - Accent6 3 2 2 3 2" xfId="13455" xr:uid="{E0306D55-393D-4193-8F40-AF30A6CD1436}"/>
    <cellStyle name="40% - Accent6 3 2 2 4" xfId="9237" xr:uid="{AB9468B7-019E-4F37-ADAB-13037091EBC6}"/>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53E27A69-2560-451F-94A2-CA4F7098DD30}"/>
    <cellStyle name="40% - Accent6 3 2 3 2 3" xfId="11795" xr:uid="{F4CD78C6-18FD-4A1B-9C21-C02FEE95817C}"/>
    <cellStyle name="40% - Accent6 3 2 3 3" xfId="5426" xr:uid="{00000000-0005-0000-0000-00003B070000}"/>
    <cellStyle name="40% - Accent6 3 2 3 3 2" xfId="13868" xr:uid="{C8ADE167-A5E7-404D-8702-2D5F5558DE23}"/>
    <cellStyle name="40% - Accent6 3 2 3 4" xfId="9650" xr:uid="{6C52388C-6A38-441C-A419-6C831B612F7C}"/>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4A5EC465-44C0-446E-A729-9605555D06A2}"/>
    <cellStyle name="40% - Accent6 3 2 4 2 3" xfId="12208" xr:uid="{609F4232-7A1B-45E6-8212-3A73D9D6092F}"/>
    <cellStyle name="40% - Accent6 3 2 4 3" xfId="5839" xr:uid="{00000000-0005-0000-0000-00003F070000}"/>
    <cellStyle name="40% - Accent6 3 2 4 3 2" xfId="14281" xr:uid="{E11569F0-53DF-4F79-A603-FC0BB7D134AE}"/>
    <cellStyle name="40% - Accent6 3 2 4 4" xfId="10063" xr:uid="{E3BD0812-4120-4499-90EE-D3F0D665FFDE}"/>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33EC0199-BCF9-4289-8EBC-AF50D47B1DB8}"/>
    <cellStyle name="40% - Accent6 3 2 5 2 3" xfId="12621" xr:uid="{1151C5ED-A3E5-4B99-92C6-49DB7EB578F8}"/>
    <cellStyle name="40% - Accent6 3 2 5 3" xfId="6252" xr:uid="{00000000-0005-0000-0000-000043070000}"/>
    <cellStyle name="40% - Accent6 3 2 5 3 2" xfId="14694" xr:uid="{D19660EA-D24F-4660-AFD4-6BD1B1E451C7}"/>
    <cellStyle name="40% - Accent6 3 2 5 4" xfId="10476" xr:uid="{88450E5D-DEE3-472C-9171-55E739946C62}"/>
    <cellStyle name="40% - Accent6 3 2 6" xfId="2358" xr:uid="{00000000-0005-0000-0000-000044070000}"/>
    <cellStyle name="40% - Accent6 3 2 6 2" xfId="6665" xr:uid="{00000000-0005-0000-0000-000045070000}"/>
    <cellStyle name="40% - Accent6 3 2 6 2 2" xfId="15107" xr:uid="{42F26433-33B4-4ED7-B15D-04DF15FEB29D}"/>
    <cellStyle name="40% - Accent6 3 2 6 3" xfId="10889" xr:uid="{F0222DE2-3D79-4E62-9318-5674062446E2}"/>
    <cellStyle name="40% - Accent6 3 2 7" xfId="4599" xr:uid="{00000000-0005-0000-0000-000046070000}"/>
    <cellStyle name="40% - Accent6 3 2 7 2" xfId="13041" xr:uid="{27DF38D9-23EB-4386-ABDE-1D5854595853}"/>
    <cellStyle name="40% - Accent6 3 2 8" xfId="8823" xr:uid="{726372ED-EF17-4299-872C-5BA3D85FEE6A}"/>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A4586878-005A-4C52-9238-4828DDC03C71}"/>
    <cellStyle name="40% - Accent6 3 3 2 3" xfId="11381" xr:uid="{02081CEB-F810-418B-B87D-3A3B8AD5C763}"/>
    <cellStyle name="40% - Accent6 3 3 3" xfId="5012" xr:uid="{00000000-0005-0000-0000-00004A070000}"/>
    <cellStyle name="40% - Accent6 3 3 3 2" xfId="13454" xr:uid="{8CE6513E-096B-4E06-9353-4DADA1BD2CD8}"/>
    <cellStyle name="40% - Accent6 3 3 4" xfId="9236" xr:uid="{7E491EFE-94F2-4463-8A0C-3AF51B816753}"/>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08B647E4-437B-4799-8A3A-880F20871D2F}"/>
    <cellStyle name="40% - Accent6 3 4 2 3" xfId="11794" xr:uid="{9F12773D-55A9-49A5-9576-1FC72AB87C4C}"/>
    <cellStyle name="40% - Accent6 3 4 3" xfId="5425" xr:uid="{00000000-0005-0000-0000-00004E070000}"/>
    <cellStyle name="40% - Accent6 3 4 3 2" xfId="13867" xr:uid="{99443F96-5E5C-4E7D-B43E-F79B29F851CA}"/>
    <cellStyle name="40% - Accent6 3 4 4" xfId="9649" xr:uid="{9F06CE62-69CA-4009-BEA8-4515C7ABDB60}"/>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2E23B0ED-681B-433B-9050-CB14478C57AB}"/>
    <cellStyle name="40% - Accent6 3 5 2 3" xfId="12207" xr:uid="{90C60AE8-BC28-4826-B74B-89B78ECDA547}"/>
    <cellStyle name="40% - Accent6 3 5 3" xfId="5838" xr:uid="{00000000-0005-0000-0000-000052070000}"/>
    <cellStyle name="40% - Accent6 3 5 3 2" xfId="14280" xr:uid="{7B74D289-DF15-428F-889B-057027B495F2}"/>
    <cellStyle name="40% - Accent6 3 5 4" xfId="10062" xr:uid="{09BECCEB-1979-4EDE-AA26-A272842B39A3}"/>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E9C34437-9FDC-419F-9008-5A4229E42716}"/>
    <cellStyle name="40% - Accent6 3 6 2 3" xfId="12620" xr:uid="{F9927B94-6CC2-4E1C-B2BB-5C49F8F37A33}"/>
    <cellStyle name="40% - Accent6 3 6 3" xfId="6251" xr:uid="{00000000-0005-0000-0000-000056070000}"/>
    <cellStyle name="40% - Accent6 3 6 3 2" xfId="14693" xr:uid="{231C279C-2212-4E87-B8D0-F6942AFD055F}"/>
    <cellStyle name="40% - Accent6 3 6 4" xfId="10475" xr:uid="{DD1F91AE-52B5-4111-BA1B-2846F54FDECF}"/>
    <cellStyle name="40% - Accent6 3 7" xfId="2357" xr:uid="{00000000-0005-0000-0000-000057070000}"/>
    <cellStyle name="40% - Accent6 3 7 2" xfId="6664" xr:uid="{00000000-0005-0000-0000-000058070000}"/>
    <cellStyle name="40% - Accent6 3 7 2 2" xfId="15106" xr:uid="{6EAF12D1-EDD8-49E7-BA71-3C202AB252A9}"/>
    <cellStyle name="40% - Accent6 3 7 3" xfId="10888" xr:uid="{04704C06-DD35-4550-9744-B8BA0E0652CF}"/>
    <cellStyle name="40% - Accent6 3 8" xfId="4598" xr:uid="{00000000-0005-0000-0000-000059070000}"/>
    <cellStyle name="40% - Accent6 3 8 2" xfId="13040" xr:uid="{9820DEC9-5259-4349-885F-F9963BB3D486}"/>
    <cellStyle name="40% - Accent6 3 9" xfId="8822" xr:uid="{3C36D12B-1B85-4C39-B7CD-08294607D7E1}"/>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B429681B-EB76-4180-9746-67285877BDDE}"/>
    <cellStyle name="40% - Accent6 4 2 2 3" xfId="11383" xr:uid="{63EE3978-1D00-49F3-9198-73EF26F88D53}"/>
    <cellStyle name="40% - Accent6 4 2 3" xfId="5014" xr:uid="{00000000-0005-0000-0000-00005E070000}"/>
    <cellStyle name="40% - Accent6 4 2 3 2" xfId="13456" xr:uid="{D5AEC17C-E041-4F8B-ADCA-59C83610F293}"/>
    <cellStyle name="40% - Accent6 4 2 4" xfId="9238" xr:uid="{5B19E21D-CAB4-425F-BC06-FA58DC63400D}"/>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DCC79215-7302-412D-AA5F-C5EB7DA742D0}"/>
    <cellStyle name="40% - Accent6 4 3 2 3" xfId="11796" xr:uid="{3C8DC937-1C76-49C0-AB49-B0867D790686}"/>
    <cellStyle name="40% - Accent6 4 3 3" xfId="5427" xr:uid="{00000000-0005-0000-0000-000062070000}"/>
    <cellStyle name="40% - Accent6 4 3 3 2" xfId="13869" xr:uid="{10158C86-747D-4E61-A59C-E5B0E616D6DB}"/>
    <cellStyle name="40% - Accent6 4 3 4" xfId="9651" xr:uid="{5E204C57-74A2-4DC1-8F76-A3569CE2507D}"/>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BBD3EAD1-DFB1-4D6E-8FDD-CEBE42ADBC18}"/>
    <cellStyle name="40% - Accent6 4 4 2 3" xfId="12209" xr:uid="{5528437F-FEF8-4599-BD36-B28B3A78AE5F}"/>
    <cellStyle name="40% - Accent6 4 4 3" xfId="5840" xr:uid="{00000000-0005-0000-0000-000066070000}"/>
    <cellStyle name="40% - Accent6 4 4 3 2" xfId="14282" xr:uid="{54B0E41B-35E8-4C1D-9223-74DCE57B84D7}"/>
    <cellStyle name="40% - Accent6 4 4 4" xfId="10064" xr:uid="{14DEBAA8-71BE-47D2-BCF6-BE29528D2D86}"/>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A5B7D473-58FA-4703-B0F6-8E3CE39CB831}"/>
    <cellStyle name="40% - Accent6 4 5 2 3" xfId="12622" xr:uid="{87737A95-1B83-4159-BF5A-6399CD45197F}"/>
    <cellStyle name="40% - Accent6 4 5 3" xfId="6253" xr:uid="{00000000-0005-0000-0000-00006A070000}"/>
    <cellStyle name="40% - Accent6 4 5 3 2" xfId="14695" xr:uid="{9E160DE0-9A7E-40FD-B2C5-8B5442671145}"/>
    <cellStyle name="40% - Accent6 4 5 4" xfId="10477" xr:uid="{E76E3256-7CF1-4A83-9035-3F7ECDC52FF0}"/>
    <cellStyle name="40% - Accent6 4 6" xfId="2359" xr:uid="{00000000-0005-0000-0000-00006B070000}"/>
    <cellStyle name="40% - Accent6 4 6 2" xfId="6666" xr:uid="{00000000-0005-0000-0000-00006C070000}"/>
    <cellStyle name="40% - Accent6 4 6 2 2" xfId="15108" xr:uid="{F4DFC104-005B-455F-B783-19678381992D}"/>
    <cellStyle name="40% - Accent6 4 6 3" xfId="10890" xr:uid="{7149172E-2C5B-4790-9512-CE0922257BE6}"/>
    <cellStyle name="40% - Accent6 4 7" xfId="4600" xr:uid="{00000000-0005-0000-0000-00006D070000}"/>
    <cellStyle name="40% - Accent6 4 7 2" xfId="13042" xr:uid="{E50C2ECF-2DC9-4CF3-A3DF-61CE480DD86C}"/>
    <cellStyle name="40% - Accent6 4 8" xfId="8824" xr:uid="{7F25340B-1E72-4803-8540-B8AF59A2BEA0}"/>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35B4B1D6-DCDB-41CE-B189-83DBD19C71C2}"/>
    <cellStyle name="40% - Accent6 5 2 3" xfId="11376" xr:uid="{DB9D4CBB-2A9B-4961-874C-7EC9195D1246}"/>
    <cellStyle name="40% - Accent6 5 3" xfId="5007" xr:uid="{00000000-0005-0000-0000-000071070000}"/>
    <cellStyle name="40% - Accent6 5 3 2" xfId="13449" xr:uid="{93ABE398-0710-4CA3-B7A7-D88B97505F9A}"/>
    <cellStyle name="40% - Accent6 5 4" xfId="9231" xr:uid="{698984D0-0324-4940-8148-D3D777AD6ED7}"/>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4D1E8762-5824-4232-9564-6D0ECCCBAEC8}"/>
    <cellStyle name="40% - Accent6 6 2 3" xfId="11789" xr:uid="{A97C0696-6632-44C6-92BE-661FF4385813}"/>
    <cellStyle name="40% - Accent6 6 3" xfId="5420" xr:uid="{00000000-0005-0000-0000-000075070000}"/>
    <cellStyle name="40% - Accent6 6 3 2" xfId="13862" xr:uid="{D22F088B-1CAB-43D8-93F5-A578E0DEEA67}"/>
    <cellStyle name="40% - Accent6 6 4" xfId="9644" xr:uid="{CE9B0DFF-86E3-40B6-B748-D865E9187860}"/>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036844BD-0818-4A95-9D5A-A3D7F10DE338}"/>
    <cellStyle name="40% - Accent6 7 2 3" xfId="12202" xr:uid="{6503EC60-4FB9-4EC5-AEC1-BE9098FB2791}"/>
    <cellStyle name="40% - Accent6 7 3" xfId="5833" xr:uid="{00000000-0005-0000-0000-000079070000}"/>
    <cellStyle name="40% - Accent6 7 3 2" xfId="14275" xr:uid="{9D50BF8F-6AAA-4884-8FD0-810C2C3F2C21}"/>
    <cellStyle name="40% - Accent6 7 4" xfId="10057" xr:uid="{F9AE55C2-23AA-4682-8F31-A926ED0C5FE2}"/>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2011034C-219D-4344-A592-7AA2058741AE}"/>
    <cellStyle name="40% - Accent6 8 2 3" xfId="12615" xr:uid="{14719E7B-A056-4704-9E82-09DA275C5E1B}"/>
    <cellStyle name="40% - Accent6 8 3" xfId="6246" xr:uid="{00000000-0005-0000-0000-00007D070000}"/>
    <cellStyle name="40% - Accent6 8 3 2" xfId="14688" xr:uid="{41C46868-03E5-49F4-9471-D6142B720B4F}"/>
    <cellStyle name="40% - Accent6 8 4" xfId="10470" xr:uid="{192A5AE5-0BF6-4106-829B-B0FCC79BB93E}"/>
    <cellStyle name="40% - Accent6 9" xfId="2352" xr:uid="{00000000-0005-0000-0000-00007E070000}"/>
    <cellStyle name="40% - Accent6 9 2" xfId="6659" xr:uid="{00000000-0005-0000-0000-00007F070000}"/>
    <cellStyle name="40% - Accent6 9 2 2" xfId="15101" xr:uid="{7747069A-AA82-4A4B-8789-5BFEA5AE74E9}"/>
    <cellStyle name="40% - Accent6 9 3" xfId="10883" xr:uid="{9726590B-7534-43EE-B1BE-8E504C3EE0ED}"/>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50FDE964-CB93-40BD-961B-DD66CEADB074}"/>
    <cellStyle name="Comma 4 2 2 2 10 3" xfId="11208" xr:uid="{AB7312B6-D350-4627-8F32-3B7EFF8F2680}"/>
    <cellStyle name="Comma 4 2 2 2 11" xfId="4601" xr:uid="{00000000-0005-0000-0000-0000A3070000}"/>
    <cellStyle name="Comma 4 2 2 2 11 2" xfId="13043" xr:uid="{568DA4CC-6BD5-47B3-90A0-DA4ADBC1FF37}"/>
    <cellStyle name="Comma 4 2 2 2 12" xfId="8825" xr:uid="{6786A43B-91BA-4E41-B794-AABF9B7BB22D}"/>
    <cellStyle name="Comma 4 2 2 2 2" xfId="129" xr:uid="{00000000-0005-0000-0000-0000A4070000}"/>
    <cellStyle name="Comma 4 2 2 2 2 10" xfId="4602" xr:uid="{00000000-0005-0000-0000-0000A5070000}"/>
    <cellStyle name="Comma 4 2 2 2 2 10 2" xfId="13044" xr:uid="{76C58FEC-184B-4376-ADC2-27FE63E9DA4D}"/>
    <cellStyle name="Comma 4 2 2 2 2 11" xfId="8826" xr:uid="{18EEA123-83A6-48E0-A599-701FF7072A3D}"/>
    <cellStyle name="Comma 4 2 2 2 2 2" xfId="130" xr:uid="{00000000-0005-0000-0000-0000A6070000}"/>
    <cellStyle name="Comma 4 2 2 2 2 2 10" xfId="8827" xr:uid="{206DE5EF-40B2-48A0-81C3-0D4EFE170432}"/>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F241197F-AFCD-43E9-AE9A-D6E26D8CAD00}"/>
    <cellStyle name="Comma 4 2 2 2 2 2 2 2 3" xfId="11386" xr:uid="{C4DEDD72-842B-4C00-836A-C300F09A8811}"/>
    <cellStyle name="Comma 4 2 2 2 2 2 2 3" xfId="5017" xr:uid="{00000000-0005-0000-0000-0000AA070000}"/>
    <cellStyle name="Comma 4 2 2 2 2 2 2 3 2" xfId="13459" xr:uid="{80BD7251-C3C4-472D-8FF2-91EF97DBD177}"/>
    <cellStyle name="Comma 4 2 2 2 2 2 2 4" xfId="9241" xr:uid="{E15F07E6-0934-411A-BEAE-7303EDFEDC9B}"/>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72662CFB-56FB-4AD6-B1BA-9C05E9336E88}"/>
    <cellStyle name="Comma 4 2 2 2 2 2 3 2 3" xfId="11799" xr:uid="{5461A1CF-4890-4DAA-9D29-7802D6604552}"/>
    <cellStyle name="Comma 4 2 2 2 2 2 3 3" xfId="5430" xr:uid="{00000000-0005-0000-0000-0000AE070000}"/>
    <cellStyle name="Comma 4 2 2 2 2 2 3 3 2" xfId="13872" xr:uid="{AB9E8362-9010-4D6A-8C76-86C8DB0EE00A}"/>
    <cellStyle name="Comma 4 2 2 2 2 2 3 4" xfId="9654" xr:uid="{61F7D411-04B3-423F-88AC-38125F899E3D}"/>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C204B3E2-57BD-4602-9B40-5A3FD9319382}"/>
    <cellStyle name="Comma 4 2 2 2 2 2 4 2 3" xfId="12212" xr:uid="{E0A3A867-2D72-4248-8E8D-14B95984B5C4}"/>
    <cellStyle name="Comma 4 2 2 2 2 2 4 3" xfId="5843" xr:uid="{00000000-0005-0000-0000-0000B2070000}"/>
    <cellStyle name="Comma 4 2 2 2 2 2 4 3 2" xfId="14285" xr:uid="{F73A105E-4F95-48AA-8F93-3013460BE996}"/>
    <cellStyle name="Comma 4 2 2 2 2 2 4 4" xfId="10067" xr:uid="{75685763-FF08-44D1-B8A5-B91CB4891633}"/>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6D5F10A7-C1F6-46F3-A48F-AFC519A4BDA8}"/>
    <cellStyle name="Comma 4 2 2 2 2 2 5 2 3" xfId="12625" xr:uid="{536DD2F3-657E-4675-A6AC-437A1EEF0A03}"/>
    <cellStyle name="Comma 4 2 2 2 2 2 5 3" xfId="6256" xr:uid="{00000000-0005-0000-0000-0000B6070000}"/>
    <cellStyle name="Comma 4 2 2 2 2 2 5 3 2" xfId="14698" xr:uid="{61D0C3BA-3DBD-46DF-9EC9-DAD4B7FFA1B6}"/>
    <cellStyle name="Comma 4 2 2 2 2 2 5 4" xfId="10480" xr:uid="{F4BE7B29-5677-4343-B347-D25C8AF48BA4}"/>
    <cellStyle name="Comma 4 2 2 2 2 2 6" xfId="2384" xr:uid="{00000000-0005-0000-0000-0000B7070000}"/>
    <cellStyle name="Comma 4 2 2 2 2 2 6 2" xfId="6669" xr:uid="{00000000-0005-0000-0000-0000B8070000}"/>
    <cellStyle name="Comma 4 2 2 2 2 2 6 2 2" xfId="15111" xr:uid="{8C080D4D-A8F4-4D16-ACB7-611E5E61BAFE}"/>
    <cellStyle name="Comma 4 2 2 2 2 2 6 3" xfId="10893" xr:uid="{6B3EF83F-85C9-4AB8-BE62-A4780B2724D0}"/>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F114BEA9-B726-47E1-8616-FA362F656F88}"/>
    <cellStyle name="Comma 4 2 2 2 2 2 8 3" xfId="11210" xr:uid="{7A20612C-355A-4653-A3C2-8AED260BB311}"/>
    <cellStyle name="Comma 4 2 2 2 2 2 9" xfId="4603" xr:uid="{00000000-0005-0000-0000-0000BC070000}"/>
    <cellStyle name="Comma 4 2 2 2 2 2 9 2" xfId="13045" xr:uid="{7832F601-DA4A-4012-9F19-B20EABBB2A35}"/>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0B01CCBC-319A-4AB5-812D-AB88F566583E}"/>
    <cellStyle name="Comma 4 2 2 2 2 3 2 3" xfId="11385" xr:uid="{954780C7-DA09-4CF5-9C05-6DC192257F77}"/>
    <cellStyle name="Comma 4 2 2 2 2 3 3" xfId="5016" xr:uid="{00000000-0005-0000-0000-0000C0070000}"/>
    <cellStyle name="Comma 4 2 2 2 2 3 3 2" xfId="13458" xr:uid="{CB555C4B-9458-4F79-BEDD-DC5712A8C98F}"/>
    <cellStyle name="Comma 4 2 2 2 2 3 4" xfId="9240" xr:uid="{635303ED-2E92-4DFE-B7F5-CF80B76733D2}"/>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FFCF44EB-6567-4D40-A92A-D13B13CC324E}"/>
    <cellStyle name="Comma 4 2 2 2 2 4 2 3" xfId="11798" xr:uid="{E227C8E4-D139-443D-8AFA-DF9CB438567B}"/>
    <cellStyle name="Comma 4 2 2 2 2 4 3" xfId="5429" xr:uid="{00000000-0005-0000-0000-0000C4070000}"/>
    <cellStyle name="Comma 4 2 2 2 2 4 3 2" xfId="13871" xr:uid="{4EC514A0-DD3A-403D-B3C5-18F2CAE7EEE9}"/>
    <cellStyle name="Comma 4 2 2 2 2 4 4" xfId="9653" xr:uid="{29519CB4-BAD9-453D-9554-5D85CF468BEC}"/>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84D199B0-2E2C-40B2-ADE8-5D369EA0B307}"/>
    <cellStyle name="Comma 4 2 2 2 2 5 2 3" xfId="12211" xr:uid="{DEE92650-D94A-435D-94CE-CA7824C3A67B}"/>
    <cellStyle name="Comma 4 2 2 2 2 5 3" xfId="5842" xr:uid="{00000000-0005-0000-0000-0000C8070000}"/>
    <cellStyle name="Comma 4 2 2 2 2 5 3 2" xfId="14284" xr:uid="{41368657-84C9-4DB5-8F6B-685C6E823B4A}"/>
    <cellStyle name="Comma 4 2 2 2 2 5 4" xfId="10066" xr:uid="{7A1A3BDA-2E67-42AD-8E02-0DF401D927DE}"/>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E444B031-796F-4683-8B36-E68336A51291}"/>
    <cellStyle name="Comma 4 2 2 2 2 6 2 3" xfId="12624" xr:uid="{2A4AC293-B368-4A0D-B257-7A8804F7DC30}"/>
    <cellStyle name="Comma 4 2 2 2 2 6 3" xfId="6255" xr:uid="{00000000-0005-0000-0000-0000CC070000}"/>
    <cellStyle name="Comma 4 2 2 2 2 6 3 2" xfId="14697" xr:uid="{01D83397-F2F1-42E6-BCE0-EA7F90A1052A}"/>
    <cellStyle name="Comma 4 2 2 2 2 6 4" xfId="10479" xr:uid="{856DAC0D-1878-472D-8A84-3381B714D3D8}"/>
    <cellStyle name="Comma 4 2 2 2 2 7" xfId="2383" xr:uid="{00000000-0005-0000-0000-0000CD070000}"/>
    <cellStyle name="Comma 4 2 2 2 2 7 2" xfId="6668" xr:uid="{00000000-0005-0000-0000-0000CE070000}"/>
    <cellStyle name="Comma 4 2 2 2 2 7 2 2" xfId="15110" xr:uid="{0A099B59-F2A6-4651-9177-73066792197A}"/>
    <cellStyle name="Comma 4 2 2 2 2 7 3" xfId="10892" xr:uid="{A8228BBC-32F5-4E51-BC68-5C4108306C79}"/>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24EDD0A0-83A7-49DB-9BB9-8727E3705109}"/>
    <cellStyle name="Comma 4 2 2 2 2 9 3" xfId="11209" xr:uid="{FDBDE368-7130-473B-BF36-6C259466467D}"/>
    <cellStyle name="Comma 4 2 2 2 3" xfId="131" xr:uid="{00000000-0005-0000-0000-0000D2070000}"/>
    <cellStyle name="Comma 4 2 2 2 3 10" xfId="8828" xr:uid="{36EB753A-F385-4474-B3EE-ED9579D54D18}"/>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F68D696F-CCA8-4FE8-B4C6-F4754A892EA8}"/>
    <cellStyle name="Comma 4 2 2 2 3 2 2 3" xfId="11387" xr:uid="{19350F50-5BCD-4D53-BFAB-4F043844A65F}"/>
    <cellStyle name="Comma 4 2 2 2 3 2 3" xfId="5018" xr:uid="{00000000-0005-0000-0000-0000D6070000}"/>
    <cellStyle name="Comma 4 2 2 2 3 2 3 2" xfId="13460" xr:uid="{795F456E-F53A-4A01-8BAB-6E5126CCD0B2}"/>
    <cellStyle name="Comma 4 2 2 2 3 2 4" xfId="9242" xr:uid="{BF30B72F-569D-423F-962B-CE9F83B97B14}"/>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C23F61EA-1C2B-438A-BA78-AA0563B9A813}"/>
    <cellStyle name="Comma 4 2 2 2 3 3 2 3" xfId="11800" xr:uid="{78A74A2E-0F50-47F8-9CC2-BAFC6B00EEA2}"/>
    <cellStyle name="Comma 4 2 2 2 3 3 3" xfId="5431" xr:uid="{00000000-0005-0000-0000-0000DA070000}"/>
    <cellStyle name="Comma 4 2 2 2 3 3 3 2" xfId="13873" xr:uid="{8D35E416-3632-49C6-9BED-2688D63E7A34}"/>
    <cellStyle name="Comma 4 2 2 2 3 3 4" xfId="9655" xr:uid="{A7BA2958-6836-469A-BC05-FDB67FBE78BF}"/>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99B1A2D9-60D3-4533-826A-2546A5D68D85}"/>
    <cellStyle name="Comma 4 2 2 2 3 4 2 3" xfId="12213" xr:uid="{C0E3013D-461F-4753-ABB6-508AA852D677}"/>
    <cellStyle name="Comma 4 2 2 2 3 4 3" xfId="5844" xr:uid="{00000000-0005-0000-0000-0000DE070000}"/>
    <cellStyle name="Comma 4 2 2 2 3 4 3 2" xfId="14286" xr:uid="{BD9ED7B5-3DD8-40C7-8949-94053869E3D4}"/>
    <cellStyle name="Comma 4 2 2 2 3 4 4" xfId="10068" xr:uid="{2B712184-AE23-4BEC-99E8-05FD8444FD0D}"/>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03393EAA-26A0-4E82-99A8-4AA0A2DA7726}"/>
    <cellStyle name="Comma 4 2 2 2 3 5 2 3" xfId="12626" xr:uid="{DE9D8036-B125-407C-AC59-AC7D71CFBBB0}"/>
    <cellStyle name="Comma 4 2 2 2 3 5 3" xfId="6257" xr:uid="{00000000-0005-0000-0000-0000E2070000}"/>
    <cellStyle name="Comma 4 2 2 2 3 5 3 2" xfId="14699" xr:uid="{92336708-43E9-434F-87DA-561E1F5F5B39}"/>
    <cellStyle name="Comma 4 2 2 2 3 5 4" xfId="10481" xr:uid="{05CC2814-74A1-4028-8447-7E3DE6A11837}"/>
    <cellStyle name="Comma 4 2 2 2 3 6" xfId="2385" xr:uid="{00000000-0005-0000-0000-0000E3070000}"/>
    <cellStyle name="Comma 4 2 2 2 3 6 2" xfId="6670" xr:uid="{00000000-0005-0000-0000-0000E4070000}"/>
    <cellStyle name="Comma 4 2 2 2 3 6 2 2" xfId="15112" xr:uid="{DFF37904-2CF3-48DD-98A2-6565734BDD4E}"/>
    <cellStyle name="Comma 4 2 2 2 3 6 3" xfId="10894" xr:uid="{AA41E41F-036F-40EA-BFEE-38A1A48A6868}"/>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4C512304-406D-46FF-BC62-A58D1FBCA04C}"/>
    <cellStyle name="Comma 4 2 2 2 3 8 3" xfId="11211" xr:uid="{6F7BF9B7-9E6F-4A67-BB11-894C5EBBCE39}"/>
    <cellStyle name="Comma 4 2 2 2 3 9" xfId="4604" xr:uid="{00000000-0005-0000-0000-0000E8070000}"/>
    <cellStyle name="Comma 4 2 2 2 3 9 2" xfId="13046" xr:uid="{E5D8AD65-D9D7-47E0-A6A6-D31D95700244}"/>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5EBD6558-5D43-49DF-A947-508969568BB4}"/>
    <cellStyle name="Comma 4 2 2 2 4 2 3" xfId="11384" xr:uid="{4DDCD97C-ED13-42D2-9B58-E59C669F1B7B}"/>
    <cellStyle name="Comma 4 2 2 2 4 3" xfId="5015" xr:uid="{00000000-0005-0000-0000-0000EC070000}"/>
    <cellStyle name="Comma 4 2 2 2 4 3 2" xfId="13457" xr:uid="{A55FAC81-618A-4610-875D-B50616000E31}"/>
    <cellStyle name="Comma 4 2 2 2 4 4" xfId="9239" xr:uid="{3E919F65-25C3-467D-9441-A977366A32FA}"/>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B78B1A02-EA3F-4053-B164-894E6321110A}"/>
    <cellStyle name="Comma 4 2 2 2 5 2 3" xfId="11797" xr:uid="{0C93BA82-656B-484A-BD11-7727FCB49981}"/>
    <cellStyle name="Comma 4 2 2 2 5 3" xfId="5428" xr:uid="{00000000-0005-0000-0000-0000F0070000}"/>
    <cellStyle name="Comma 4 2 2 2 5 3 2" xfId="13870" xr:uid="{30097E2B-F4CE-4AAD-B5B2-E1D52F6BC1F5}"/>
    <cellStyle name="Comma 4 2 2 2 5 4" xfId="9652" xr:uid="{9FE817A3-E853-4D17-95EF-77263A744FAA}"/>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186BB830-2602-40E4-8B0C-633002FEE9C7}"/>
    <cellStyle name="Comma 4 2 2 2 6 2 3" xfId="12210" xr:uid="{FD3469B4-BB97-4075-9088-BE1EB22D41BE}"/>
    <cellStyle name="Comma 4 2 2 2 6 3" xfId="5841" xr:uid="{00000000-0005-0000-0000-0000F4070000}"/>
    <cellStyle name="Comma 4 2 2 2 6 3 2" xfId="14283" xr:uid="{792FC4B8-E20C-408C-8D36-0F65B1BA28EA}"/>
    <cellStyle name="Comma 4 2 2 2 6 4" xfId="10065" xr:uid="{2F214136-C867-4EA2-A0B0-47D9EF3D2C5E}"/>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FAE13A51-AABE-40CD-9952-DA3B02CBBADF}"/>
    <cellStyle name="Comma 4 2 2 2 7 2 3" xfId="12623" xr:uid="{A5B661BC-199A-4F30-94AE-85F66F7C0DA6}"/>
    <cellStyle name="Comma 4 2 2 2 7 3" xfId="6254" xr:uid="{00000000-0005-0000-0000-0000F8070000}"/>
    <cellStyle name="Comma 4 2 2 2 7 3 2" xfId="14696" xr:uid="{6EB3CA98-F1F9-45AC-8BA0-782DD11A1941}"/>
    <cellStyle name="Comma 4 2 2 2 7 4" xfId="10478" xr:uid="{DF5CF4D5-8720-4788-A7A8-7E72D1FC390C}"/>
    <cellStyle name="Comma 4 2 2 2 8" xfId="2382" xr:uid="{00000000-0005-0000-0000-0000F9070000}"/>
    <cellStyle name="Comma 4 2 2 2 8 2" xfId="6667" xr:uid="{00000000-0005-0000-0000-0000FA070000}"/>
    <cellStyle name="Comma 4 2 2 2 8 2 2" xfId="15109" xr:uid="{71951C88-2FC9-4FD9-8D9D-86F86E487B37}"/>
    <cellStyle name="Comma 4 2 2 2 8 3" xfId="10891" xr:uid="{9C266618-CCAE-493C-A799-8214A4FD13C9}"/>
    <cellStyle name="Comma 4 2 2 2 9" xfId="2381" xr:uid="{00000000-0005-0000-0000-0000FB070000}"/>
    <cellStyle name="Comma 4 2 2 3" xfId="132" xr:uid="{00000000-0005-0000-0000-0000FC070000}"/>
    <cellStyle name="Comma 4 2 2 3 10" xfId="4605" xr:uid="{00000000-0005-0000-0000-0000FD070000}"/>
    <cellStyle name="Comma 4 2 2 3 10 2" xfId="13047" xr:uid="{FC047ED6-17D1-429E-A8CB-A074E5788FE6}"/>
    <cellStyle name="Comma 4 2 2 3 11" xfId="8829" xr:uid="{6C3081B5-1694-4148-8651-7EDE9BF25291}"/>
    <cellStyle name="Comma 4 2 2 3 2" xfId="133" xr:uid="{00000000-0005-0000-0000-0000FE070000}"/>
    <cellStyle name="Comma 4 2 2 3 2 10" xfId="8830" xr:uid="{9AFB2054-2742-4DB2-9F35-F1452844D1DB}"/>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B5488B68-30CC-4AC4-96B2-547CEE6AEFBC}"/>
    <cellStyle name="Comma 4 2 2 3 2 2 2 3" xfId="11389" xr:uid="{7E3ABCE6-2CD6-4B1E-ADF5-9C38983A0270}"/>
    <cellStyle name="Comma 4 2 2 3 2 2 3" xfId="5020" xr:uid="{00000000-0005-0000-0000-000002080000}"/>
    <cellStyle name="Comma 4 2 2 3 2 2 3 2" xfId="13462" xr:uid="{372045FB-90D6-4D64-9FB4-DD757375AA84}"/>
    <cellStyle name="Comma 4 2 2 3 2 2 4" xfId="9244" xr:uid="{6A59388C-2775-4717-84C9-84FAEFFC5183}"/>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CC1662CE-51AF-4608-B3D0-88E4370FFAEE}"/>
    <cellStyle name="Comma 4 2 2 3 2 3 2 3" xfId="11802" xr:uid="{6692DAED-75D1-4CB6-AA19-627D3A7A99B7}"/>
    <cellStyle name="Comma 4 2 2 3 2 3 3" xfId="5433" xr:uid="{00000000-0005-0000-0000-000006080000}"/>
    <cellStyle name="Comma 4 2 2 3 2 3 3 2" xfId="13875" xr:uid="{3B99D243-CD93-4E0F-809F-758419423536}"/>
    <cellStyle name="Comma 4 2 2 3 2 3 4" xfId="9657" xr:uid="{16CC2D65-8E28-4A66-96BA-A4F5CE4D6321}"/>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96F21C37-B03E-4C82-A92D-5C62F88BA1CB}"/>
    <cellStyle name="Comma 4 2 2 3 2 4 2 3" xfId="12215" xr:uid="{F8AE6740-9030-4B04-8106-5C5CBEF8D99B}"/>
    <cellStyle name="Comma 4 2 2 3 2 4 3" xfId="5846" xr:uid="{00000000-0005-0000-0000-00000A080000}"/>
    <cellStyle name="Comma 4 2 2 3 2 4 3 2" xfId="14288" xr:uid="{7E84507C-96D1-45F0-92FE-F9075CE689C7}"/>
    <cellStyle name="Comma 4 2 2 3 2 4 4" xfId="10070" xr:uid="{667AD3FD-CCFE-4687-B413-E5B5025A924D}"/>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1ACDF96F-407C-4DCE-BF8F-2E7BE51C98A4}"/>
    <cellStyle name="Comma 4 2 2 3 2 5 2 3" xfId="12628" xr:uid="{FB58D220-4D3A-482E-927D-EC1ED12FB773}"/>
    <cellStyle name="Comma 4 2 2 3 2 5 3" xfId="6259" xr:uid="{00000000-0005-0000-0000-00000E080000}"/>
    <cellStyle name="Comma 4 2 2 3 2 5 3 2" xfId="14701" xr:uid="{8D31344D-59BD-4708-8D6A-220A4A441A7A}"/>
    <cellStyle name="Comma 4 2 2 3 2 5 4" xfId="10483" xr:uid="{481897B6-8895-4475-84AD-8C42EA4D7EF7}"/>
    <cellStyle name="Comma 4 2 2 3 2 6" xfId="2387" xr:uid="{00000000-0005-0000-0000-00000F080000}"/>
    <cellStyle name="Comma 4 2 2 3 2 6 2" xfId="6672" xr:uid="{00000000-0005-0000-0000-000010080000}"/>
    <cellStyle name="Comma 4 2 2 3 2 6 2 2" xfId="15114" xr:uid="{A3F238A1-3F62-48EE-B041-657FB7F4A972}"/>
    <cellStyle name="Comma 4 2 2 3 2 6 3" xfId="10896" xr:uid="{D9A64E56-0DC3-496A-A384-B912C91259F2}"/>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5D0E3998-6A9A-4A49-8ECA-1048AE2584C7}"/>
    <cellStyle name="Comma 4 2 2 3 2 8 3" xfId="11213" xr:uid="{89DC8B9F-A41A-47B7-895F-FD37A77571A8}"/>
    <cellStyle name="Comma 4 2 2 3 2 9" xfId="4606" xr:uid="{00000000-0005-0000-0000-000014080000}"/>
    <cellStyle name="Comma 4 2 2 3 2 9 2" xfId="13048" xr:uid="{3D8A69F6-1073-45E0-9D69-73DFADACFBA3}"/>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F31A985C-B67B-4C6B-9974-C8803EF5E170}"/>
    <cellStyle name="Comma 4 2 2 3 3 2 3" xfId="11388" xr:uid="{1D5B90C0-FB6E-4873-82E4-BCE5595842FE}"/>
    <cellStyle name="Comma 4 2 2 3 3 3" xfId="5019" xr:uid="{00000000-0005-0000-0000-000018080000}"/>
    <cellStyle name="Comma 4 2 2 3 3 3 2" xfId="13461" xr:uid="{211FA2BE-8A6F-4F87-94D6-0E8A18199303}"/>
    <cellStyle name="Comma 4 2 2 3 3 4" xfId="9243" xr:uid="{CC2F9181-75FF-4C8E-885D-4C743A6A537A}"/>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D67E31FD-1D17-46E8-B83A-99CE085B87C0}"/>
    <cellStyle name="Comma 4 2 2 3 4 2 3" xfId="11801" xr:uid="{BE41520F-33D0-4981-AE15-F1C8A838CDF4}"/>
    <cellStyle name="Comma 4 2 2 3 4 3" xfId="5432" xr:uid="{00000000-0005-0000-0000-00001C080000}"/>
    <cellStyle name="Comma 4 2 2 3 4 3 2" xfId="13874" xr:uid="{BC6D2746-4BD6-4288-86EF-05ED2E1681F4}"/>
    <cellStyle name="Comma 4 2 2 3 4 4" xfId="9656" xr:uid="{AFAAAD73-F73B-4C3F-BDE5-B3CC3AE11914}"/>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F2EA5C29-035B-4E97-91B5-2E8861DD039E}"/>
    <cellStyle name="Comma 4 2 2 3 5 2 3" xfId="12214" xr:uid="{AB31A6F5-D06F-4DA9-A71B-7C6FEB399CCA}"/>
    <cellStyle name="Comma 4 2 2 3 5 3" xfId="5845" xr:uid="{00000000-0005-0000-0000-000020080000}"/>
    <cellStyle name="Comma 4 2 2 3 5 3 2" xfId="14287" xr:uid="{6AC55048-8214-4F95-9DE7-B1F9E2613BA3}"/>
    <cellStyle name="Comma 4 2 2 3 5 4" xfId="10069" xr:uid="{DD4E078B-75D0-41E0-ABAF-4461BDAB748F}"/>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ACE51838-D082-4936-A4FC-314C57877887}"/>
    <cellStyle name="Comma 4 2 2 3 6 2 3" xfId="12627" xr:uid="{90D95C58-DC45-4269-B024-7A01628BD40C}"/>
    <cellStyle name="Comma 4 2 2 3 6 3" xfId="6258" xr:uid="{00000000-0005-0000-0000-000024080000}"/>
    <cellStyle name="Comma 4 2 2 3 6 3 2" xfId="14700" xr:uid="{CE270DED-F785-4A8F-942D-04BBB57016A0}"/>
    <cellStyle name="Comma 4 2 2 3 6 4" xfId="10482" xr:uid="{E6D31A8B-D988-45F9-A399-D5E4BC246FC4}"/>
    <cellStyle name="Comma 4 2 2 3 7" xfId="2386" xr:uid="{00000000-0005-0000-0000-000025080000}"/>
    <cellStyle name="Comma 4 2 2 3 7 2" xfId="6671" xr:uid="{00000000-0005-0000-0000-000026080000}"/>
    <cellStyle name="Comma 4 2 2 3 7 2 2" xfId="15113" xr:uid="{A8804982-58C2-46A9-B0E4-5497BDE77124}"/>
    <cellStyle name="Comma 4 2 2 3 7 3" xfId="10895" xr:uid="{2A9E8538-EBBC-4662-9346-F6E41D9860C6}"/>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EBBDF69D-E2AD-4366-A460-6D2BC65AE2FE}"/>
    <cellStyle name="Comma 4 2 2 3 9 3" xfId="11212" xr:uid="{028E8431-D9F2-41FF-9754-72C3DECBCF62}"/>
    <cellStyle name="Comma 4 2 2 4" xfId="134" xr:uid="{00000000-0005-0000-0000-00002A080000}"/>
    <cellStyle name="Comma 4 2 2 4 10" xfId="8831" xr:uid="{8923D3AF-0D7E-4E25-B642-369392256F8E}"/>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2879F62C-8143-4443-A425-BBA6CBAFCB3B}"/>
    <cellStyle name="Comma 4 2 2 4 2 2 3" xfId="11390" xr:uid="{A3FA879D-8A41-4248-A9C2-386C7177AB28}"/>
    <cellStyle name="Comma 4 2 2 4 2 3" xfId="5021" xr:uid="{00000000-0005-0000-0000-00002E080000}"/>
    <cellStyle name="Comma 4 2 2 4 2 3 2" xfId="13463" xr:uid="{187AFF19-A72F-4BF9-B331-D936CAB11CDA}"/>
    <cellStyle name="Comma 4 2 2 4 2 4" xfId="9245" xr:uid="{9B91B2D7-6195-49E4-AC52-37188A758873}"/>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D6420560-3F92-4D81-B1D5-6EAF0C575498}"/>
    <cellStyle name="Comma 4 2 2 4 3 2 3" xfId="11803" xr:uid="{9F474627-2DC3-40E9-AE5F-BB551A58D61C}"/>
    <cellStyle name="Comma 4 2 2 4 3 3" xfId="5434" xr:uid="{00000000-0005-0000-0000-000032080000}"/>
    <cellStyle name="Comma 4 2 2 4 3 3 2" xfId="13876" xr:uid="{749B816E-DE9C-4F3D-A95B-2C3F4D79301D}"/>
    <cellStyle name="Comma 4 2 2 4 3 4" xfId="9658" xr:uid="{15AE53B6-99AB-4080-AAB0-B4F1A0FC1534}"/>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DC75D5A9-EDD3-40E2-B853-390DA4A3ABBC}"/>
    <cellStyle name="Comma 4 2 2 4 4 2 3" xfId="12216" xr:uid="{A6FD1561-8BC3-45DA-9876-F84E28E76AB5}"/>
    <cellStyle name="Comma 4 2 2 4 4 3" xfId="5847" xr:uid="{00000000-0005-0000-0000-000036080000}"/>
    <cellStyle name="Comma 4 2 2 4 4 3 2" xfId="14289" xr:uid="{7A78B553-74FA-41B2-9CAC-52EF8A56A602}"/>
    <cellStyle name="Comma 4 2 2 4 4 4" xfId="10071" xr:uid="{D818985F-3B6E-442C-8B93-F959F704E58A}"/>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71F991B0-5510-4649-88AF-D5748C050AF8}"/>
    <cellStyle name="Comma 4 2 2 4 5 2 3" xfId="12629" xr:uid="{28DA8B52-A520-4531-93CC-11AB932FE6D4}"/>
    <cellStyle name="Comma 4 2 2 4 5 3" xfId="6260" xr:uid="{00000000-0005-0000-0000-00003A080000}"/>
    <cellStyle name="Comma 4 2 2 4 5 3 2" xfId="14702" xr:uid="{B4C6753A-D52F-4459-9E55-20563001869E}"/>
    <cellStyle name="Comma 4 2 2 4 5 4" xfId="10484" xr:uid="{4FA47EB1-7EBC-49C3-8930-832686176CE5}"/>
    <cellStyle name="Comma 4 2 2 4 6" xfId="2388" xr:uid="{00000000-0005-0000-0000-00003B080000}"/>
    <cellStyle name="Comma 4 2 2 4 6 2" xfId="6673" xr:uid="{00000000-0005-0000-0000-00003C080000}"/>
    <cellStyle name="Comma 4 2 2 4 6 2 2" xfId="15115" xr:uid="{14D71B8D-7CB2-4C0C-9BB5-5E947CE391B4}"/>
    <cellStyle name="Comma 4 2 2 4 6 3" xfId="10897" xr:uid="{3E0AE4D2-404F-4B9D-9FD8-9E06BEEF6F40}"/>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67D172F4-83A9-43FB-B61E-27B0D34E3B23}"/>
    <cellStyle name="Comma 4 2 2 4 8 3" xfId="11214" xr:uid="{34D59D21-0327-41CB-A0CE-717936A4E962}"/>
    <cellStyle name="Comma 4 2 2 4 9" xfId="4607" xr:uid="{00000000-0005-0000-0000-000040080000}"/>
    <cellStyle name="Comma 4 2 2 4 9 2" xfId="13049" xr:uid="{421661BA-F14D-48C9-8FBF-924347130AA6}"/>
    <cellStyle name="Comma 4 2 2 5" xfId="135" xr:uid="{00000000-0005-0000-0000-000041080000}"/>
    <cellStyle name="Comma 4 2 2 5 10" xfId="8832" xr:uid="{AED465DA-2F2F-49F9-BE98-D1BA49B0291F}"/>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FAD8DD83-9417-4F6D-A463-CCAFEA32F8AB}"/>
    <cellStyle name="Comma 4 2 2 5 2 2 3" xfId="11391" xr:uid="{05031912-DCC2-4889-8E70-E80F17AE97C8}"/>
    <cellStyle name="Comma 4 2 2 5 2 3" xfId="5022" xr:uid="{00000000-0005-0000-0000-000045080000}"/>
    <cellStyle name="Comma 4 2 2 5 2 3 2" xfId="13464" xr:uid="{D78BA357-7721-4256-BE16-7D2AC23F9BD8}"/>
    <cellStyle name="Comma 4 2 2 5 2 4" xfId="9246" xr:uid="{CFF465AB-F739-44C4-BE92-F87E312550EE}"/>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8EE19C35-A179-43F4-89F4-A5E534C5BA48}"/>
    <cellStyle name="Comma 4 2 2 5 3 2 3" xfId="11804" xr:uid="{CF6D413D-3F81-4745-A761-65191EFAFAA1}"/>
    <cellStyle name="Comma 4 2 2 5 3 3" xfId="5435" xr:uid="{00000000-0005-0000-0000-000049080000}"/>
    <cellStyle name="Comma 4 2 2 5 3 3 2" xfId="13877" xr:uid="{DCCDEBC3-0FF7-40D5-8608-DD6476B13B55}"/>
    <cellStyle name="Comma 4 2 2 5 3 4" xfId="9659" xr:uid="{0404F629-E4F4-4FC6-9206-6EA746C50A39}"/>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0B9963F2-6DC3-4C58-B0C4-B249CCE5AC14}"/>
    <cellStyle name="Comma 4 2 2 5 4 2 3" xfId="12217" xr:uid="{1308799A-F2D6-4EE3-A7C0-E1E032B4536A}"/>
    <cellStyle name="Comma 4 2 2 5 4 3" xfId="5848" xr:uid="{00000000-0005-0000-0000-00004D080000}"/>
    <cellStyle name="Comma 4 2 2 5 4 3 2" xfId="14290" xr:uid="{4293CC45-130D-4601-8214-625E905B3025}"/>
    <cellStyle name="Comma 4 2 2 5 4 4" xfId="10072" xr:uid="{3864610F-2D66-4AE1-B8D6-C32682515589}"/>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0D8AB7D7-5B82-4AD8-A66D-05FED0F4F341}"/>
    <cellStyle name="Comma 4 2 2 5 5 2 3" xfId="12630" xr:uid="{300783A7-A64F-48DE-B521-779FAFAA6E3F}"/>
    <cellStyle name="Comma 4 2 2 5 5 3" xfId="6261" xr:uid="{00000000-0005-0000-0000-000051080000}"/>
    <cellStyle name="Comma 4 2 2 5 5 3 2" xfId="14703" xr:uid="{2D3A3807-6F12-44CA-AC53-1594FFCC66E5}"/>
    <cellStyle name="Comma 4 2 2 5 5 4" xfId="10485" xr:uid="{B3E7971A-9406-49DD-B551-7507E24ADD2C}"/>
    <cellStyle name="Comma 4 2 2 5 6" xfId="2389" xr:uid="{00000000-0005-0000-0000-000052080000}"/>
    <cellStyle name="Comma 4 2 2 5 6 2" xfId="6674" xr:uid="{00000000-0005-0000-0000-000053080000}"/>
    <cellStyle name="Comma 4 2 2 5 6 2 2" xfId="15116" xr:uid="{9F402CFB-D346-41BE-8330-F0B520A0138B}"/>
    <cellStyle name="Comma 4 2 2 5 6 3" xfId="10898" xr:uid="{92E49F30-B16C-4C0E-8C8F-1A409735555F}"/>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E43A39DE-8129-4BF6-8415-CF2D5B22F78B}"/>
    <cellStyle name="Comma 4 2 2 5 8 3" xfId="11215" xr:uid="{C7771201-6B50-41B2-A737-51EF929E612B}"/>
    <cellStyle name="Comma 4 2 2 5 9" xfId="4608" xr:uid="{00000000-0005-0000-0000-000057080000}"/>
    <cellStyle name="Comma 4 2 2 5 9 2" xfId="13050" xr:uid="{C1800563-82F9-4CCB-856D-12B0991677C0}"/>
    <cellStyle name="Comma 4 2 3" xfId="136" xr:uid="{00000000-0005-0000-0000-000058080000}"/>
    <cellStyle name="Comma 4 2 3 10" xfId="2768" xr:uid="{00000000-0005-0000-0000-000059080000}"/>
    <cellStyle name="Comma 4 2 3 10 2" xfId="6992" xr:uid="{00000000-0005-0000-0000-00005A080000}"/>
    <cellStyle name="Comma 4 2 3 10 2 2" xfId="15434" xr:uid="{A8862B7A-CFC9-41D8-9BD8-C7D62DCA9583}"/>
    <cellStyle name="Comma 4 2 3 10 3" xfId="11216" xr:uid="{4CBED4FB-6478-4613-914B-76D3ACF945E7}"/>
    <cellStyle name="Comma 4 2 3 11" xfId="4609" xr:uid="{00000000-0005-0000-0000-00005B080000}"/>
    <cellStyle name="Comma 4 2 3 11 2" xfId="13051" xr:uid="{62A93753-1BCC-47F9-8D98-F96F93996D5C}"/>
    <cellStyle name="Comma 4 2 3 12" xfId="8833" xr:uid="{666899B0-B054-4F63-86E7-336DCA30B074}"/>
    <cellStyle name="Comma 4 2 3 2" xfId="137" xr:uid="{00000000-0005-0000-0000-00005C080000}"/>
    <cellStyle name="Comma 4 2 3 2 10" xfId="4610" xr:uid="{00000000-0005-0000-0000-00005D080000}"/>
    <cellStyle name="Comma 4 2 3 2 10 2" xfId="13052" xr:uid="{1D8F27D8-4806-4ADB-9C7E-3959FB92D68B}"/>
    <cellStyle name="Comma 4 2 3 2 11" xfId="8834" xr:uid="{F754698A-9EA1-4B91-97AB-08C2E5A30657}"/>
    <cellStyle name="Comma 4 2 3 2 2" xfId="138" xr:uid="{00000000-0005-0000-0000-00005E080000}"/>
    <cellStyle name="Comma 4 2 3 2 2 10" xfId="8835" xr:uid="{238213CA-BB83-4106-9CEA-23E4B24B6AE1}"/>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D0C30E40-9751-4076-A8EA-846052E032C1}"/>
    <cellStyle name="Comma 4 2 3 2 2 2 2 3" xfId="11394" xr:uid="{5DA00CC6-1F51-49F8-8CD0-8FB652072643}"/>
    <cellStyle name="Comma 4 2 3 2 2 2 3" xfId="5025" xr:uid="{00000000-0005-0000-0000-000062080000}"/>
    <cellStyle name="Comma 4 2 3 2 2 2 3 2" xfId="13467" xr:uid="{F12F2D47-7CAA-46C1-A496-57CB0308A46B}"/>
    <cellStyle name="Comma 4 2 3 2 2 2 4" xfId="9249" xr:uid="{A7EABE73-8A7D-4EF6-8EB0-797A887F88B6}"/>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71024C99-6CDD-425A-8843-1F74A233E2A1}"/>
    <cellStyle name="Comma 4 2 3 2 2 3 2 3" xfId="11807" xr:uid="{6BC7237E-09B2-475C-BA13-B830498C1C4A}"/>
    <cellStyle name="Comma 4 2 3 2 2 3 3" xfId="5438" xr:uid="{00000000-0005-0000-0000-000066080000}"/>
    <cellStyle name="Comma 4 2 3 2 2 3 3 2" xfId="13880" xr:uid="{6B3BD080-FEED-49BF-A23E-AC801C64E727}"/>
    <cellStyle name="Comma 4 2 3 2 2 3 4" xfId="9662" xr:uid="{80DDCCA5-5EE8-4281-BED2-B55061E33A78}"/>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5DDA8C7A-97AA-4ECF-80C4-FED12ABBBF08}"/>
    <cellStyle name="Comma 4 2 3 2 2 4 2 3" xfId="12220" xr:uid="{15868155-6E62-4DBF-B39C-1A90AD92D3CF}"/>
    <cellStyle name="Comma 4 2 3 2 2 4 3" xfId="5851" xr:uid="{00000000-0005-0000-0000-00006A080000}"/>
    <cellStyle name="Comma 4 2 3 2 2 4 3 2" xfId="14293" xr:uid="{DA2A6F4D-DED4-47AF-8FCF-08A7A2E7244A}"/>
    <cellStyle name="Comma 4 2 3 2 2 4 4" xfId="10075" xr:uid="{85463342-FCE0-4640-8165-0E943267D192}"/>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BAEEFCF1-6E69-4DFA-857B-7ACC39070EAC}"/>
    <cellStyle name="Comma 4 2 3 2 2 5 2 3" xfId="12633" xr:uid="{E56CC624-1410-44B1-B393-93FB6CA53DA2}"/>
    <cellStyle name="Comma 4 2 3 2 2 5 3" xfId="6264" xr:uid="{00000000-0005-0000-0000-00006E080000}"/>
    <cellStyle name="Comma 4 2 3 2 2 5 3 2" xfId="14706" xr:uid="{6C6A3D23-CE26-4F90-A26F-D27DEE83EFF0}"/>
    <cellStyle name="Comma 4 2 3 2 2 5 4" xfId="10488" xr:uid="{5F40A561-C8E1-4122-B971-3B8A01054EDA}"/>
    <cellStyle name="Comma 4 2 3 2 2 6" xfId="2392" xr:uid="{00000000-0005-0000-0000-00006F080000}"/>
    <cellStyle name="Comma 4 2 3 2 2 6 2" xfId="6677" xr:uid="{00000000-0005-0000-0000-000070080000}"/>
    <cellStyle name="Comma 4 2 3 2 2 6 2 2" xfId="15119" xr:uid="{FDB09BC9-5BCD-428A-B8AC-FD8458D7FE8D}"/>
    <cellStyle name="Comma 4 2 3 2 2 6 3" xfId="10901" xr:uid="{6C0BD9C2-E467-4002-8098-B05B7A9B09B6}"/>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11D67F1A-0B18-411A-A44A-139CB70BBDC0}"/>
    <cellStyle name="Comma 4 2 3 2 2 8 3" xfId="11218" xr:uid="{6F63B673-9BE5-478E-84E4-44C33EF61ADB}"/>
    <cellStyle name="Comma 4 2 3 2 2 9" xfId="4611" xr:uid="{00000000-0005-0000-0000-000074080000}"/>
    <cellStyle name="Comma 4 2 3 2 2 9 2" xfId="13053" xr:uid="{053CA8B5-3F4D-44D4-A728-7FBFCF7DBED2}"/>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FD94871E-3A1D-44E6-A336-E15CE75F232C}"/>
    <cellStyle name="Comma 4 2 3 2 3 2 3" xfId="11393" xr:uid="{DE6B60F4-3D1B-4211-900F-19CBE871150E}"/>
    <cellStyle name="Comma 4 2 3 2 3 3" xfId="5024" xr:uid="{00000000-0005-0000-0000-000078080000}"/>
    <cellStyle name="Comma 4 2 3 2 3 3 2" xfId="13466" xr:uid="{9A23E8B9-28EB-42F1-B5C7-7788D54048D2}"/>
    <cellStyle name="Comma 4 2 3 2 3 4" xfId="9248" xr:uid="{5E19C216-14C9-4B6A-8296-DF96DDBDDEEA}"/>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C718B357-E7FF-4526-9B02-90762ABF391E}"/>
    <cellStyle name="Comma 4 2 3 2 4 2 3" xfId="11806" xr:uid="{81756FE7-ECB2-4163-8C15-BDE01FF0E613}"/>
    <cellStyle name="Comma 4 2 3 2 4 3" xfId="5437" xr:uid="{00000000-0005-0000-0000-00007C080000}"/>
    <cellStyle name="Comma 4 2 3 2 4 3 2" xfId="13879" xr:uid="{05A8809D-DF9A-4F96-B903-746632B5F9EE}"/>
    <cellStyle name="Comma 4 2 3 2 4 4" xfId="9661" xr:uid="{8D2B5E32-FD1F-45A1-996A-48C07F3ED861}"/>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BDB36978-57D1-43E2-9887-73110AE8BD1D}"/>
    <cellStyle name="Comma 4 2 3 2 5 2 3" xfId="12219" xr:uid="{40386156-A5AC-490B-8395-D10638F8F922}"/>
    <cellStyle name="Comma 4 2 3 2 5 3" xfId="5850" xr:uid="{00000000-0005-0000-0000-000080080000}"/>
    <cellStyle name="Comma 4 2 3 2 5 3 2" xfId="14292" xr:uid="{930B7F63-D5F1-489F-A868-4C4B6D85B027}"/>
    <cellStyle name="Comma 4 2 3 2 5 4" xfId="10074" xr:uid="{D8E9BA46-A1FD-4A1A-BBD6-D8B48F90253F}"/>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8C813085-082E-4C38-AA22-638D8A0C1C44}"/>
    <cellStyle name="Comma 4 2 3 2 6 2 3" xfId="12632" xr:uid="{B3AD561B-A573-47B9-BAB6-C3DA1CF9C3D4}"/>
    <cellStyle name="Comma 4 2 3 2 6 3" xfId="6263" xr:uid="{00000000-0005-0000-0000-000084080000}"/>
    <cellStyle name="Comma 4 2 3 2 6 3 2" xfId="14705" xr:uid="{1D301C78-4DC9-4B73-8A64-71DC99049BD0}"/>
    <cellStyle name="Comma 4 2 3 2 6 4" xfId="10487" xr:uid="{76CA63E1-AFA2-4790-95A1-FBE78B8CCE5A}"/>
    <cellStyle name="Comma 4 2 3 2 7" xfId="2391" xr:uid="{00000000-0005-0000-0000-000085080000}"/>
    <cellStyle name="Comma 4 2 3 2 7 2" xfId="6676" xr:uid="{00000000-0005-0000-0000-000086080000}"/>
    <cellStyle name="Comma 4 2 3 2 7 2 2" xfId="15118" xr:uid="{08C46C99-C679-4643-8C21-6EA87E7125E2}"/>
    <cellStyle name="Comma 4 2 3 2 7 3" xfId="10900" xr:uid="{E07622E4-A78C-4FDD-AE69-1B9B15C59088}"/>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4A176842-CA99-42A5-8263-95AA23FD88FB}"/>
    <cellStyle name="Comma 4 2 3 2 9 3" xfId="11217" xr:uid="{FC8AF06F-4F10-4864-904B-EDADFFD16BB3}"/>
    <cellStyle name="Comma 4 2 3 3" xfId="139" xr:uid="{00000000-0005-0000-0000-00008A080000}"/>
    <cellStyle name="Comma 4 2 3 3 10" xfId="8836" xr:uid="{DCB554CE-C8DD-42F5-984E-8342AD1477D2}"/>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D17DCDA7-0130-4593-BEDA-18C1858CCB9E}"/>
    <cellStyle name="Comma 4 2 3 3 2 2 3" xfId="11395" xr:uid="{CC22FC3A-D148-4703-843F-F55E740FE499}"/>
    <cellStyle name="Comma 4 2 3 3 2 3" xfId="5026" xr:uid="{00000000-0005-0000-0000-00008E080000}"/>
    <cellStyle name="Comma 4 2 3 3 2 3 2" xfId="13468" xr:uid="{AC101EEB-993A-4CC0-B45B-19BAA9BD75DC}"/>
    <cellStyle name="Comma 4 2 3 3 2 4" xfId="9250" xr:uid="{42F660A2-445F-4CE4-B110-FD76437515A2}"/>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5A21F072-082A-439D-B850-61A34435C887}"/>
    <cellStyle name="Comma 4 2 3 3 3 2 3" xfId="11808" xr:uid="{7CBA6187-7C92-459B-AB93-F0D84D3A1C58}"/>
    <cellStyle name="Comma 4 2 3 3 3 3" xfId="5439" xr:uid="{00000000-0005-0000-0000-000092080000}"/>
    <cellStyle name="Comma 4 2 3 3 3 3 2" xfId="13881" xr:uid="{1BB512C4-2D3A-4321-A678-597C7EA02558}"/>
    <cellStyle name="Comma 4 2 3 3 3 4" xfId="9663" xr:uid="{CACC946B-A7BF-4BFE-B670-FE316CE6F10A}"/>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E389FBCF-4413-43D5-8533-469DE5FD6E78}"/>
    <cellStyle name="Comma 4 2 3 3 4 2 3" xfId="12221" xr:uid="{4DAE6E87-CC4C-40AD-ADBE-BE461C1FAB1B}"/>
    <cellStyle name="Comma 4 2 3 3 4 3" xfId="5852" xr:uid="{00000000-0005-0000-0000-000096080000}"/>
    <cellStyle name="Comma 4 2 3 3 4 3 2" xfId="14294" xr:uid="{E9870001-68F8-4C99-97F8-D33DEDA9ABA3}"/>
    <cellStyle name="Comma 4 2 3 3 4 4" xfId="10076" xr:uid="{210C4C48-358B-4AD4-9D30-B178EA0BF6F9}"/>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04B3F14F-E98B-48B9-AD48-C2DBAC11F6FD}"/>
    <cellStyle name="Comma 4 2 3 3 5 2 3" xfId="12634" xr:uid="{B5B2A86D-9684-4459-8CE8-BE25652D40B8}"/>
    <cellStyle name="Comma 4 2 3 3 5 3" xfId="6265" xr:uid="{00000000-0005-0000-0000-00009A080000}"/>
    <cellStyle name="Comma 4 2 3 3 5 3 2" xfId="14707" xr:uid="{D2B10D0D-A28F-45F7-80CB-30A83C847C34}"/>
    <cellStyle name="Comma 4 2 3 3 5 4" xfId="10489" xr:uid="{E2EBD4EC-43D3-43CC-91CA-9B8FB505E45B}"/>
    <cellStyle name="Comma 4 2 3 3 6" xfId="2393" xr:uid="{00000000-0005-0000-0000-00009B080000}"/>
    <cellStyle name="Comma 4 2 3 3 6 2" xfId="6678" xr:uid="{00000000-0005-0000-0000-00009C080000}"/>
    <cellStyle name="Comma 4 2 3 3 6 2 2" xfId="15120" xr:uid="{872A40A7-4E35-4447-9DF2-5FB2FF65FEC9}"/>
    <cellStyle name="Comma 4 2 3 3 6 3" xfId="10902" xr:uid="{37DDD0E1-3DD2-42DF-BBBC-4215304E3F73}"/>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8A7743A7-FB1D-404E-8F7B-FDAD29C0007B}"/>
    <cellStyle name="Comma 4 2 3 3 8 3" xfId="11219" xr:uid="{A524BAB3-8AC0-4288-BD0F-BC542D8857F1}"/>
    <cellStyle name="Comma 4 2 3 3 9" xfId="4612" xr:uid="{00000000-0005-0000-0000-0000A0080000}"/>
    <cellStyle name="Comma 4 2 3 3 9 2" xfId="13054" xr:uid="{37BD50C4-60FC-4CFA-A808-E74FB8B59A0C}"/>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A60467A1-2F2A-4155-881B-8EC9905597E6}"/>
    <cellStyle name="Comma 4 2 3 4 2 3" xfId="11392" xr:uid="{1A4D4AC7-191B-47D8-8FCB-267B2B984B01}"/>
    <cellStyle name="Comma 4 2 3 4 3" xfId="5023" xr:uid="{00000000-0005-0000-0000-0000A4080000}"/>
    <cellStyle name="Comma 4 2 3 4 3 2" xfId="13465" xr:uid="{DB1BCAA5-4EB6-4A07-8019-93B32AE4B39D}"/>
    <cellStyle name="Comma 4 2 3 4 4" xfId="9247" xr:uid="{FC84C2EE-D5DF-4C1A-855E-40480050203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191F4BDC-F87C-4141-972D-D31FB3761AB2}"/>
    <cellStyle name="Comma 4 2 3 5 2 3" xfId="11805" xr:uid="{90248546-95E5-4080-958A-721375BF2C2A}"/>
    <cellStyle name="Comma 4 2 3 5 3" xfId="5436" xr:uid="{00000000-0005-0000-0000-0000A8080000}"/>
    <cellStyle name="Comma 4 2 3 5 3 2" xfId="13878" xr:uid="{9679D4C5-34B9-4870-86F8-FA0831EE58E6}"/>
    <cellStyle name="Comma 4 2 3 5 4" xfId="9660" xr:uid="{2D713E0E-A175-4912-9DD1-4D0987D6AF07}"/>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E2C6D214-2C25-4B8A-BEC0-A0C66A8D26D8}"/>
    <cellStyle name="Comma 4 2 3 6 2 3" xfId="12218" xr:uid="{89ECB928-59DA-4922-BB49-C7D707E5A4FB}"/>
    <cellStyle name="Comma 4 2 3 6 3" xfId="5849" xr:uid="{00000000-0005-0000-0000-0000AC080000}"/>
    <cellStyle name="Comma 4 2 3 6 3 2" xfId="14291" xr:uid="{1E7334B1-D874-44EE-A72E-2BD38A4C52BF}"/>
    <cellStyle name="Comma 4 2 3 6 4" xfId="10073" xr:uid="{EDD0F40D-C8B7-4EFC-8560-A3136FD5EE33}"/>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8291112A-47BE-4A88-AF09-A5E1A4CA225F}"/>
    <cellStyle name="Comma 4 2 3 7 2 3" xfId="12631" xr:uid="{7FABCAB8-8485-438B-9188-48705D5406ED}"/>
    <cellStyle name="Comma 4 2 3 7 3" xfId="6262" xr:uid="{00000000-0005-0000-0000-0000B0080000}"/>
    <cellStyle name="Comma 4 2 3 7 3 2" xfId="14704" xr:uid="{2BEB95A9-68A8-46DF-8C20-FB38EDF77399}"/>
    <cellStyle name="Comma 4 2 3 7 4" xfId="10486" xr:uid="{3BBE0444-B5BF-48DD-A86B-D20EC5FEE5FD}"/>
    <cellStyle name="Comma 4 2 3 8" xfId="2390" xr:uid="{00000000-0005-0000-0000-0000B1080000}"/>
    <cellStyle name="Comma 4 2 3 8 2" xfId="6675" xr:uid="{00000000-0005-0000-0000-0000B2080000}"/>
    <cellStyle name="Comma 4 2 3 8 2 2" xfId="15117" xr:uid="{519CEC68-319C-4570-93C1-708F0D566417}"/>
    <cellStyle name="Comma 4 2 3 8 3" xfId="10899" xr:uid="{74B3A76D-B762-452F-BD69-C5664794DB0B}"/>
    <cellStyle name="Comma 4 2 3 9" xfId="2373" xr:uid="{00000000-0005-0000-0000-0000B3080000}"/>
    <cellStyle name="Comma 4 2 4" xfId="140" xr:uid="{00000000-0005-0000-0000-0000B4080000}"/>
    <cellStyle name="Comma 4 2 4 10" xfId="4613" xr:uid="{00000000-0005-0000-0000-0000B5080000}"/>
    <cellStyle name="Comma 4 2 4 10 2" xfId="13055" xr:uid="{D5AF088E-49FE-4A26-A5C5-6FFDCBA7189A}"/>
    <cellStyle name="Comma 4 2 4 11" xfId="8837" xr:uid="{DA2B1182-05BA-435E-AFE4-E15C88AE572F}"/>
    <cellStyle name="Comma 4 2 4 2" xfId="141" xr:uid="{00000000-0005-0000-0000-0000B6080000}"/>
    <cellStyle name="Comma 4 2 4 2 10" xfId="8838" xr:uid="{B39CCDF9-856F-4087-9769-6034166A6CA4}"/>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ABB47ABC-E0BE-45FF-B50F-9F126BC4A890}"/>
    <cellStyle name="Comma 4 2 4 2 2 2 3" xfId="11397" xr:uid="{15008B52-1AF4-4311-AA24-7647479BE900}"/>
    <cellStyle name="Comma 4 2 4 2 2 3" xfId="5028" xr:uid="{00000000-0005-0000-0000-0000BA080000}"/>
    <cellStyle name="Comma 4 2 4 2 2 3 2" xfId="13470" xr:uid="{F1229D11-5C2C-4994-82AC-A79014F5BE71}"/>
    <cellStyle name="Comma 4 2 4 2 2 4" xfId="9252" xr:uid="{78EF3A77-1E9A-4A9E-878F-3DDF1E17517D}"/>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D79B8E2D-47A0-46B0-A204-91DDFE96EF6D}"/>
    <cellStyle name="Comma 4 2 4 2 3 2 3" xfId="11810" xr:uid="{BD026699-7907-4076-9C1E-4A9AE3F96DE1}"/>
    <cellStyle name="Comma 4 2 4 2 3 3" xfId="5441" xr:uid="{00000000-0005-0000-0000-0000BE080000}"/>
    <cellStyle name="Comma 4 2 4 2 3 3 2" xfId="13883" xr:uid="{96731EB9-2F75-4B3E-9CA8-DC8487AD90F4}"/>
    <cellStyle name="Comma 4 2 4 2 3 4" xfId="9665" xr:uid="{D7AD0D41-CBA3-40FB-B237-2A7255916D29}"/>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5CFDD41D-CED1-4534-9C8F-CC0B24B8176B}"/>
    <cellStyle name="Comma 4 2 4 2 4 2 3" xfId="12223" xr:uid="{A4F54D1E-E519-4E0F-85E9-93F9DBFD19C9}"/>
    <cellStyle name="Comma 4 2 4 2 4 3" xfId="5854" xr:uid="{00000000-0005-0000-0000-0000C2080000}"/>
    <cellStyle name="Comma 4 2 4 2 4 3 2" xfId="14296" xr:uid="{AD423561-224C-45C3-9F2C-1D10E99B601E}"/>
    <cellStyle name="Comma 4 2 4 2 4 4" xfId="10078" xr:uid="{30606185-8136-4656-ADB9-25CC1E7F841A}"/>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05378645-9175-4836-A635-F0077BD4CE96}"/>
    <cellStyle name="Comma 4 2 4 2 5 2 3" xfId="12636" xr:uid="{676E2A37-F74B-4AF8-912D-3AB852514E48}"/>
    <cellStyle name="Comma 4 2 4 2 5 3" xfId="6267" xr:uid="{00000000-0005-0000-0000-0000C6080000}"/>
    <cellStyle name="Comma 4 2 4 2 5 3 2" xfId="14709" xr:uid="{EEC324BC-567D-48A9-B19E-8231E2D9889A}"/>
    <cellStyle name="Comma 4 2 4 2 5 4" xfId="10491" xr:uid="{2524A288-2C5D-4C5D-83D2-6CE2D41DC120}"/>
    <cellStyle name="Comma 4 2 4 2 6" xfId="2395" xr:uid="{00000000-0005-0000-0000-0000C7080000}"/>
    <cellStyle name="Comma 4 2 4 2 6 2" xfId="6680" xr:uid="{00000000-0005-0000-0000-0000C8080000}"/>
    <cellStyle name="Comma 4 2 4 2 6 2 2" xfId="15122" xr:uid="{52319CF8-59AF-453F-A14D-8F869B635292}"/>
    <cellStyle name="Comma 4 2 4 2 6 3" xfId="10904" xr:uid="{4AD96094-F2D8-430E-82EF-F23C16259301}"/>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8D24FD0F-87D8-443F-99BF-810915146655}"/>
    <cellStyle name="Comma 4 2 4 2 8 3" xfId="11221" xr:uid="{D10E1DAD-1687-426A-ADA0-512055DCB776}"/>
    <cellStyle name="Comma 4 2 4 2 9" xfId="4614" xr:uid="{00000000-0005-0000-0000-0000CC080000}"/>
    <cellStyle name="Comma 4 2 4 2 9 2" xfId="13056" xr:uid="{157225CC-3404-4088-8080-746373755B13}"/>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A57D5B1D-C870-4FE1-A534-1BC90AD2F38F}"/>
    <cellStyle name="Comma 4 2 4 3 2 3" xfId="11396" xr:uid="{F732BB73-B39B-4B6D-98D2-9812645807CA}"/>
    <cellStyle name="Comma 4 2 4 3 3" xfId="5027" xr:uid="{00000000-0005-0000-0000-0000D0080000}"/>
    <cellStyle name="Comma 4 2 4 3 3 2" xfId="13469" xr:uid="{97E3EB47-805F-42CF-9CA0-E35A6499BAD4}"/>
    <cellStyle name="Comma 4 2 4 3 4" xfId="9251" xr:uid="{5E11E403-7C55-41F0-A55D-A5DB420ED731}"/>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4E3DDD64-EBBF-44F2-8571-4049C4EA95BC}"/>
    <cellStyle name="Comma 4 2 4 4 2 3" xfId="11809" xr:uid="{48542D11-576F-4C80-8136-9D919806ED11}"/>
    <cellStyle name="Comma 4 2 4 4 3" xfId="5440" xr:uid="{00000000-0005-0000-0000-0000D4080000}"/>
    <cellStyle name="Comma 4 2 4 4 3 2" xfId="13882" xr:uid="{37956532-CDCD-465D-96E0-F3719B0EDF84}"/>
    <cellStyle name="Comma 4 2 4 4 4" xfId="9664" xr:uid="{4DD05254-D2F4-48C3-9E27-4FD27F58B9CD}"/>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D2D17F80-C49F-4D79-946E-2C0A7B7BA8B3}"/>
    <cellStyle name="Comma 4 2 4 5 2 3" xfId="12222" xr:uid="{2F90667D-FF7D-48FA-BA0A-408AC698DA82}"/>
    <cellStyle name="Comma 4 2 4 5 3" xfId="5853" xr:uid="{00000000-0005-0000-0000-0000D8080000}"/>
    <cellStyle name="Comma 4 2 4 5 3 2" xfId="14295" xr:uid="{D6436785-1985-4423-81B6-5E8339461A06}"/>
    <cellStyle name="Comma 4 2 4 5 4" xfId="10077" xr:uid="{5D4D9B4E-57AF-40D8-B70B-1326812F0CF9}"/>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4330E627-19BF-4957-A83C-870276BDBCFC}"/>
    <cellStyle name="Comma 4 2 4 6 2 3" xfId="12635" xr:uid="{18181B17-CDFC-4BFB-A5F5-652B2FAE8887}"/>
    <cellStyle name="Comma 4 2 4 6 3" xfId="6266" xr:uid="{00000000-0005-0000-0000-0000DC080000}"/>
    <cellStyle name="Comma 4 2 4 6 3 2" xfId="14708" xr:uid="{2CC17B9A-86EC-40F3-B166-C872823597E9}"/>
    <cellStyle name="Comma 4 2 4 6 4" xfId="10490" xr:uid="{54D98392-1FFB-4EC2-A2BC-18ECF1EBAF95}"/>
    <cellStyle name="Comma 4 2 4 7" xfId="2394" xr:uid="{00000000-0005-0000-0000-0000DD080000}"/>
    <cellStyle name="Comma 4 2 4 7 2" xfId="6679" xr:uid="{00000000-0005-0000-0000-0000DE080000}"/>
    <cellStyle name="Comma 4 2 4 7 2 2" xfId="15121" xr:uid="{1D618855-54CD-4A25-BE58-930E8E4F8A10}"/>
    <cellStyle name="Comma 4 2 4 7 3" xfId="10903" xr:uid="{5976B858-BC9E-4C33-A4E7-2D7A19B8030A}"/>
    <cellStyle name="Comma 4 2 4 8" xfId="2369" xr:uid="{00000000-0005-0000-0000-0000DF080000}"/>
    <cellStyle name="Comma 4 2 4 9" xfId="2772" xr:uid="{00000000-0005-0000-0000-0000E0080000}"/>
    <cellStyle name="Comma 4 2 4 9 2" xfId="6996" xr:uid="{00000000-0005-0000-0000-0000E1080000}"/>
    <cellStyle name="Comma 4 2 4 9 2 2" xfId="15438" xr:uid="{9D99BC51-9522-4DD1-9E41-02830095FAA1}"/>
    <cellStyle name="Comma 4 2 4 9 3" xfId="11220" xr:uid="{036A9777-6C1D-4971-8444-48B86D9C0EEF}"/>
    <cellStyle name="Comma 4 2 5" xfId="142" xr:uid="{00000000-0005-0000-0000-0000E2080000}"/>
    <cellStyle name="Comma 4 2 5 10" xfId="8839" xr:uid="{B21561F6-51A2-46C3-831B-3C1525F2E3DF}"/>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B9C8AE94-6C24-4E0D-B9AD-7CCED52AD0EF}"/>
    <cellStyle name="Comma 4 2 5 2 2 3" xfId="11398" xr:uid="{A5E0AD2B-E93F-4B86-AA24-4D01D966596F}"/>
    <cellStyle name="Comma 4 2 5 2 3" xfId="5029" xr:uid="{00000000-0005-0000-0000-0000E6080000}"/>
    <cellStyle name="Comma 4 2 5 2 3 2" xfId="13471" xr:uid="{E9CE0B7F-FE12-4BFC-8B8F-BEB0F7490394}"/>
    <cellStyle name="Comma 4 2 5 2 4" xfId="9253" xr:uid="{A7E219D6-B41B-460F-9581-481216226CA3}"/>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B60C7F98-6AF3-4285-BD6D-7E8244781FAE}"/>
    <cellStyle name="Comma 4 2 5 3 2 3" xfId="11811" xr:uid="{CF8E6CDC-10C6-47FD-8047-74E0BF06796C}"/>
    <cellStyle name="Comma 4 2 5 3 3" xfId="5442" xr:uid="{00000000-0005-0000-0000-0000EA080000}"/>
    <cellStyle name="Comma 4 2 5 3 3 2" xfId="13884" xr:uid="{FE8FF1FC-7324-4139-BA14-24223689BA32}"/>
    <cellStyle name="Comma 4 2 5 3 4" xfId="9666" xr:uid="{DF520209-5F91-4E90-AA70-EAD0E88BB509}"/>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4EEE1EC2-A149-4D08-A839-BBAE4754AFF7}"/>
    <cellStyle name="Comma 4 2 5 4 2 3" xfId="12224" xr:uid="{DE097F9E-4DDD-40F1-A039-6A5A8A37204F}"/>
    <cellStyle name="Comma 4 2 5 4 3" xfId="5855" xr:uid="{00000000-0005-0000-0000-0000EE080000}"/>
    <cellStyle name="Comma 4 2 5 4 3 2" xfId="14297" xr:uid="{1E75449D-A30C-430B-9373-AC358381540C}"/>
    <cellStyle name="Comma 4 2 5 4 4" xfId="10079" xr:uid="{4A258257-BDD7-456A-88DA-6EB9D0C4BB41}"/>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053AD788-BC6E-4DB4-9BB9-9A60C7E9E649}"/>
    <cellStyle name="Comma 4 2 5 5 2 3" xfId="12637" xr:uid="{A92A5BFE-E08E-4944-A3D7-B53679475C6C}"/>
    <cellStyle name="Comma 4 2 5 5 3" xfId="6268" xr:uid="{00000000-0005-0000-0000-0000F2080000}"/>
    <cellStyle name="Comma 4 2 5 5 3 2" xfId="14710" xr:uid="{D166C18E-9D67-48E2-BCF7-D346FAFC1A1C}"/>
    <cellStyle name="Comma 4 2 5 5 4" xfId="10492" xr:uid="{45095817-707F-4240-BF00-40F28D7955BC}"/>
    <cellStyle name="Comma 4 2 5 6" xfId="2396" xr:uid="{00000000-0005-0000-0000-0000F3080000}"/>
    <cellStyle name="Comma 4 2 5 6 2" xfId="6681" xr:uid="{00000000-0005-0000-0000-0000F4080000}"/>
    <cellStyle name="Comma 4 2 5 6 2 2" xfId="15123" xr:uid="{45D6A1A8-DFCE-46CF-8663-779999C03693}"/>
    <cellStyle name="Comma 4 2 5 6 3" xfId="10905" xr:uid="{DAA96E92-F44E-434A-B1DF-533858EE0CDE}"/>
    <cellStyle name="Comma 4 2 5 7" xfId="2367" xr:uid="{00000000-0005-0000-0000-0000F5080000}"/>
    <cellStyle name="Comma 4 2 5 8" xfId="2774" xr:uid="{00000000-0005-0000-0000-0000F6080000}"/>
    <cellStyle name="Comma 4 2 5 8 2" xfId="6998" xr:uid="{00000000-0005-0000-0000-0000F7080000}"/>
    <cellStyle name="Comma 4 2 5 8 2 2" xfId="15440" xr:uid="{53A9B737-F680-4069-9669-9D7038F63AE6}"/>
    <cellStyle name="Comma 4 2 5 8 3" xfId="11222" xr:uid="{C0F3DDD1-5D9A-447B-BC88-F0F5B486B283}"/>
    <cellStyle name="Comma 4 2 5 9" xfId="4615" xr:uid="{00000000-0005-0000-0000-0000F8080000}"/>
    <cellStyle name="Comma 4 2 5 9 2" xfId="13057" xr:uid="{D7CE517A-D649-4906-97BA-5E20A5D9EA4D}"/>
    <cellStyle name="Comma 4 2 6" xfId="143" xr:uid="{00000000-0005-0000-0000-0000F9080000}"/>
    <cellStyle name="Comma 4 2 6 10" xfId="8840" xr:uid="{DEFF5074-3814-4272-A0E1-B74675389588}"/>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DDECABD7-92DC-42BA-832D-3F4C6B74BD90}"/>
    <cellStyle name="Comma 4 2 6 2 2 3" xfId="11399" xr:uid="{1996C94C-6147-481F-9F2F-CEF23FA5221B}"/>
    <cellStyle name="Comma 4 2 6 2 3" xfId="5030" xr:uid="{00000000-0005-0000-0000-0000FD080000}"/>
    <cellStyle name="Comma 4 2 6 2 3 2" xfId="13472" xr:uid="{20A454F2-F81E-4C5C-90EE-2AB243F6AC00}"/>
    <cellStyle name="Comma 4 2 6 2 4" xfId="9254" xr:uid="{3BE45F75-5E33-42C4-B294-CBB639C8FE5F}"/>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BC3C4BA7-5C57-4DEE-AC22-C28CFB05A45B}"/>
    <cellStyle name="Comma 4 2 6 3 2 3" xfId="11812" xr:uid="{1EA79F3B-4D54-4422-9254-663A3868C0A6}"/>
    <cellStyle name="Comma 4 2 6 3 3" xfId="5443" xr:uid="{00000000-0005-0000-0000-000001090000}"/>
    <cellStyle name="Comma 4 2 6 3 3 2" xfId="13885" xr:uid="{8078955B-8B2B-4B89-8B27-6090FCE75427}"/>
    <cellStyle name="Comma 4 2 6 3 4" xfId="9667" xr:uid="{EB1232E3-452A-4179-A50A-66AD0AB6D599}"/>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1CCD24FD-3C6E-4672-999E-22ECAAA244F6}"/>
    <cellStyle name="Comma 4 2 6 4 2 3" xfId="12225" xr:uid="{C7435DDA-8926-4616-94B4-1B87C0BBABC8}"/>
    <cellStyle name="Comma 4 2 6 4 3" xfId="5856" xr:uid="{00000000-0005-0000-0000-000005090000}"/>
    <cellStyle name="Comma 4 2 6 4 3 2" xfId="14298" xr:uid="{637C2F98-BA9A-4816-9D58-21E39F153057}"/>
    <cellStyle name="Comma 4 2 6 4 4" xfId="10080" xr:uid="{61FBD440-1E10-4C90-9728-CA711C9DC02B}"/>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8114EF33-EE39-4B40-953D-604DD6C379DB}"/>
    <cellStyle name="Comma 4 2 6 5 2 3" xfId="12638" xr:uid="{549BC1D8-E1E4-41FA-A057-3578672974AF}"/>
    <cellStyle name="Comma 4 2 6 5 3" xfId="6269" xr:uid="{00000000-0005-0000-0000-000009090000}"/>
    <cellStyle name="Comma 4 2 6 5 3 2" xfId="14711" xr:uid="{1703CC53-D733-4289-BD1F-4913EC81BA06}"/>
    <cellStyle name="Comma 4 2 6 5 4" xfId="10493" xr:uid="{3402D240-BB56-4FE8-8222-D61848E55835}"/>
    <cellStyle name="Comma 4 2 6 6" xfId="2397" xr:uid="{00000000-0005-0000-0000-00000A090000}"/>
    <cellStyle name="Comma 4 2 6 6 2" xfId="6682" xr:uid="{00000000-0005-0000-0000-00000B090000}"/>
    <cellStyle name="Comma 4 2 6 6 2 2" xfId="15124" xr:uid="{19E62604-E06A-468C-A81F-C6A9ECFB3334}"/>
    <cellStyle name="Comma 4 2 6 6 3" xfId="10906" xr:uid="{06B686BF-732C-427B-A521-6BEA702F2966}"/>
    <cellStyle name="Comma 4 2 6 7" xfId="2366" xr:uid="{00000000-0005-0000-0000-00000C090000}"/>
    <cellStyle name="Comma 4 2 6 8" xfId="2775" xr:uid="{00000000-0005-0000-0000-00000D090000}"/>
    <cellStyle name="Comma 4 2 6 8 2" xfId="6999" xr:uid="{00000000-0005-0000-0000-00000E090000}"/>
    <cellStyle name="Comma 4 2 6 8 2 2" xfId="15441" xr:uid="{57F163AD-5C02-49DB-AD1E-E81CC4EAB64A}"/>
    <cellStyle name="Comma 4 2 6 8 3" xfId="11223" xr:uid="{CADF9FC7-6DD4-4B1D-B7CB-E1CF4A85F1D4}"/>
    <cellStyle name="Comma 4 2 6 9" xfId="4616" xr:uid="{00000000-0005-0000-0000-00000F090000}"/>
    <cellStyle name="Comma 4 2 6 9 2" xfId="13058" xr:uid="{E9452A01-3D23-4828-9FE8-9202E4DEF4E2}"/>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1DEF873C-DFBF-4DC6-B9D2-DE3891CD99B7}"/>
    <cellStyle name="Comma 4 3 2 10 3" xfId="11224" xr:uid="{FE7A9F60-186F-4120-8E87-9FFD53E9FDC3}"/>
    <cellStyle name="Comma 4 3 2 11" xfId="4617" xr:uid="{00000000-0005-0000-0000-000014090000}"/>
    <cellStyle name="Comma 4 3 2 11 2" xfId="13059" xr:uid="{4C188644-B4BC-423C-AF20-6D62FC2E9A88}"/>
    <cellStyle name="Comma 4 3 2 12" xfId="8841" xr:uid="{10213417-7DF7-4825-A46C-E2DE41AA6EF4}"/>
    <cellStyle name="Comma 4 3 2 2" xfId="146" xr:uid="{00000000-0005-0000-0000-000015090000}"/>
    <cellStyle name="Comma 4 3 2 2 10" xfId="4618" xr:uid="{00000000-0005-0000-0000-000016090000}"/>
    <cellStyle name="Comma 4 3 2 2 10 2" xfId="13060" xr:uid="{7B04A28B-6B31-417C-82EA-0C4A0E515924}"/>
    <cellStyle name="Comma 4 3 2 2 11" xfId="8842" xr:uid="{B23F95A2-C12B-4572-8BB4-17B9B2D790D9}"/>
    <cellStyle name="Comma 4 3 2 2 2" xfId="147" xr:uid="{00000000-0005-0000-0000-000017090000}"/>
    <cellStyle name="Comma 4 3 2 2 2 10" xfId="8843" xr:uid="{0973467E-3B9B-4754-8A86-36D677C17F3C}"/>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9F11A1A5-CF2D-4891-A0E1-57A6C6DB16B8}"/>
    <cellStyle name="Comma 4 3 2 2 2 2 2 3" xfId="11402" xr:uid="{7F9E5DBD-7C2E-4BC4-A7DC-B3C903174604}"/>
    <cellStyle name="Comma 4 3 2 2 2 2 3" xfId="5033" xr:uid="{00000000-0005-0000-0000-00001B090000}"/>
    <cellStyle name="Comma 4 3 2 2 2 2 3 2" xfId="13475" xr:uid="{10CD8065-5A07-42AB-9B40-4A0E5ADCE501}"/>
    <cellStyle name="Comma 4 3 2 2 2 2 4" xfId="9257" xr:uid="{794CE70E-A366-4AA7-B661-B2D223B4993D}"/>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43B9972B-AC8F-4EAC-9E60-D71250CF7A17}"/>
    <cellStyle name="Comma 4 3 2 2 2 3 2 3" xfId="11815" xr:uid="{32D5E2F9-72DF-4997-8AEB-FC11169DF747}"/>
    <cellStyle name="Comma 4 3 2 2 2 3 3" xfId="5446" xr:uid="{00000000-0005-0000-0000-00001F090000}"/>
    <cellStyle name="Comma 4 3 2 2 2 3 3 2" xfId="13888" xr:uid="{BDEE7E56-A179-4023-AC9E-8E1AA2024C28}"/>
    <cellStyle name="Comma 4 3 2 2 2 3 4" xfId="9670" xr:uid="{04BBFB4A-ABBE-4FF4-AAFE-33DD50669E2F}"/>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05299CFC-D789-48EC-A954-402D2714CC43}"/>
    <cellStyle name="Comma 4 3 2 2 2 4 2 3" xfId="12228" xr:uid="{C856D657-AEF3-453D-998C-424886F3C346}"/>
    <cellStyle name="Comma 4 3 2 2 2 4 3" xfId="5859" xr:uid="{00000000-0005-0000-0000-000023090000}"/>
    <cellStyle name="Comma 4 3 2 2 2 4 3 2" xfId="14301" xr:uid="{4CF8431E-FA68-4303-A33D-BD3B09A2B0F4}"/>
    <cellStyle name="Comma 4 3 2 2 2 4 4" xfId="10083" xr:uid="{7EEE6E6C-080D-4203-AE07-22E1A158E2BC}"/>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D57FB841-2B56-49A1-A57F-1C98C74D81E9}"/>
    <cellStyle name="Comma 4 3 2 2 2 5 2 3" xfId="12641" xr:uid="{289013CB-BE49-49D3-81FF-6794F4925080}"/>
    <cellStyle name="Comma 4 3 2 2 2 5 3" xfId="6272" xr:uid="{00000000-0005-0000-0000-000027090000}"/>
    <cellStyle name="Comma 4 3 2 2 2 5 3 2" xfId="14714" xr:uid="{6D6842A5-DEE9-4B28-B31D-12153FEEFAB3}"/>
    <cellStyle name="Comma 4 3 2 2 2 5 4" xfId="10496" xr:uid="{2574B002-AB82-4FE5-BD9B-8D01B20A2333}"/>
    <cellStyle name="Comma 4 3 2 2 2 6" xfId="2400" xr:uid="{00000000-0005-0000-0000-000028090000}"/>
    <cellStyle name="Comma 4 3 2 2 2 6 2" xfId="6685" xr:uid="{00000000-0005-0000-0000-000029090000}"/>
    <cellStyle name="Comma 4 3 2 2 2 6 2 2" xfId="15127" xr:uid="{C67E892A-C5CE-4B6A-96C5-5B75FAA8E684}"/>
    <cellStyle name="Comma 4 3 2 2 2 6 3" xfId="10909" xr:uid="{3C8E8167-8480-4FBD-89AE-6513088B2624}"/>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66F59AE4-9E2D-43BD-845F-0640FC9D2D5C}"/>
    <cellStyle name="Comma 4 3 2 2 2 8 3" xfId="11226" xr:uid="{3CBA7F29-E7AC-4B28-ACA4-2B19A74FE748}"/>
    <cellStyle name="Comma 4 3 2 2 2 9" xfId="4619" xr:uid="{00000000-0005-0000-0000-00002D090000}"/>
    <cellStyle name="Comma 4 3 2 2 2 9 2" xfId="13061" xr:uid="{A572E347-6F58-4589-8F53-B02F3F7F0DF1}"/>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A4E62DFF-A940-43AB-9740-F959075C169D}"/>
    <cellStyle name="Comma 4 3 2 2 3 2 3" xfId="11401" xr:uid="{AC8DDAB4-0FF5-4396-B928-4FF43F94CFD3}"/>
    <cellStyle name="Comma 4 3 2 2 3 3" xfId="5032" xr:uid="{00000000-0005-0000-0000-000031090000}"/>
    <cellStyle name="Comma 4 3 2 2 3 3 2" xfId="13474" xr:uid="{9EEB179F-2C74-46AE-BFD0-C543C139D446}"/>
    <cellStyle name="Comma 4 3 2 2 3 4" xfId="9256" xr:uid="{7F479021-19FA-4168-AC52-183B2C2FA388}"/>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164FE947-0CFF-4ABE-A7FE-8AFD518381F7}"/>
    <cellStyle name="Comma 4 3 2 2 4 2 3" xfId="11814" xr:uid="{5D4EAD09-0706-4D96-B6E6-4510A14E3944}"/>
    <cellStyle name="Comma 4 3 2 2 4 3" xfId="5445" xr:uid="{00000000-0005-0000-0000-000035090000}"/>
    <cellStyle name="Comma 4 3 2 2 4 3 2" xfId="13887" xr:uid="{ABBD6DA7-1A7E-4FBE-B25C-03C7F2195863}"/>
    <cellStyle name="Comma 4 3 2 2 4 4" xfId="9669" xr:uid="{4E1F706D-7A51-47F5-A189-D628C921A079}"/>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643C6768-E43F-4C3E-BAB9-83C30D080AB3}"/>
    <cellStyle name="Comma 4 3 2 2 5 2 3" xfId="12227" xr:uid="{F7007DB6-3497-4BA2-9F4B-8B081E363330}"/>
    <cellStyle name="Comma 4 3 2 2 5 3" xfId="5858" xr:uid="{00000000-0005-0000-0000-000039090000}"/>
    <cellStyle name="Comma 4 3 2 2 5 3 2" xfId="14300" xr:uid="{A225E2CD-E6B5-4CDE-9F3A-20AEE2B707B2}"/>
    <cellStyle name="Comma 4 3 2 2 5 4" xfId="10082" xr:uid="{BA4766A2-D9FE-4A39-B14F-EFF42209C1B5}"/>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3CA9DBF3-E5A0-418D-A489-6C048FA61F9F}"/>
    <cellStyle name="Comma 4 3 2 2 6 2 3" xfId="12640" xr:uid="{40E20B96-F066-46C8-A005-D6020D0EADE3}"/>
    <cellStyle name="Comma 4 3 2 2 6 3" xfId="6271" xr:uid="{00000000-0005-0000-0000-00003D090000}"/>
    <cellStyle name="Comma 4 3 2 2 6 3 2" xfId="14713" xr:uid="{103C9F0A-721B-4CC6-831E-584675F5378F}"/>
    <cellStyle name="Comma 4 3 2 2 6 4" xfId="10495" xr:uid="{67F51F47-3D02-4B6F-8D1A-80D31AF5D4F4}"/>
    <cellStyle name="Comma 4 3 2 2 7" xfId="2399" xr:uid="{00000000-0005-0000-0000-00003E090000}"/>
    <cellStyle name="Comma 4 3 2 2 7 2" xfId="6684" xr:uid="{00000000-0005-0000-0000-00003F090000}"/>
    <cellStyle name="Comma 4 3 2 2 7 2 2" xfId="15126" xr:uid="{F91FBA92-10D3-47E1-AAF4-C2E271905F85}"/>
    <cellStyle name="Comma 4 3 2 2 7 3" xfId="10908" xr:uid="{2389F909-2961-45E1-B5C1-ADEEAFA3627E}"/>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E21DDCC5-EEAD-4D4B-A4B2-8460CD090B75}"/>
    <cellStyle name="Comma 4 3 2 2 9 3" xfId="11225" xr:uid="{352B2920-E412-45CD-87B8-0E86FCD6580C}"/>
    <cellStyle name="Comma 4 3 2 3" xfId="148" xr:uid="{00000000-0005-0000-0000-000043090000}"/>
    <cellStyle name="Comma 4 3 2 3 10" xfId="8844" xr:uid="{FB904A3B-2091-4939-B43D-2FD94138CADB}"/>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9C6011C6-09F3-458C-8C58-07AC9A584050}"/>
    <cellStyle name="Comma 4 3 2 3 2 2 3" xfId="11403" xr:uid="{486BB8B5-6BD5-4510-9F8C-B4E4AF822FF4}"/>
    <cellStyle name="Comma 4 3 2 3 2 3" xfId="5034" xr:uid="{00000000-0005-0000-0000-000047090000}"/>
    <cellStyle name="Comma 4 3 2 3 2 3 2" xfId="13476" xr:uid="{9ABEF106-699C-470F-A6BA-664E5AF39FE2}"/>
    <cellStyle name="Comma 4 3 2 3 2 4" xfId="9258" xr:uid="{6E98E6E5-1229-479D-859C-E2B71A2D765F}"/>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06B01F74-AACC-4079-BFC9-536A103499A8}"/>
    <cellStyle name="Comma 4 3 2 3 3 2 3" xfId="11816" xr:uid="{AAA5ECB5-5730-4482-965C-7A74A3A201A3}"/>
    <cellStyle name="Comma 4 3 2 3 3 3" xfId="5447" xr:uid="{00000000-0005-0000-0000-00004B090000}"/>
    <cellStyle name="Comma 4 3 2 3 3 3 2" xfId="13889" xr:uid="{B879FDE9-7E46-4642-A469-505C9D7A8117}"/>
    <cellStyle name="Comma 4 3 2 3 3 4" xfId="9671" xr:uid="{08F97302-2EAD-4454-94B8-EA17E52CD030}"/>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C334077C-16F6-4247-93AC-4A78AB6AE025}"/>
    <cellStyle name="Comma 4 3 2 3 4 2 3" xfId="12229" xr:uid="{6CA7967E-9BFF-4F2E-8811-1EF1D4ADA901}"/>
    <cellStyle name="Comma 4 3 2 3 4 3" xfId="5860" xr:uid="{00000000-0005-0000-0000-00004F090000}"/>
    <cellStyle name="Comma 4 3 2 3 4 3 2" xfId="14302" xr:uid="{3AAB9869-9999-4878-987A-9E074CCEB542}"/>
    <cellStyle name="Comma 4 3 2 3 4 4" xfId="10084" xr:uid="{3FB70577-8712-45AA-8E82-DF318DCC0218}"/>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08335384-736B-431A-9636-8A280F73CA7C}"/>
    <cellStyle name="Comma 4 3 2 3 5 2 3" xfId="12642" xr:uid="{E4F1334C-032A-4985-BF92-717B94C73450}"/>
    <cellStyle name="Comma 4 3 2 3 5 3" xfId="6273" xr:uid="{00000000-0005-0000-0000-000053090000}"/>
    <cellStyle name="Comma 4 3 2 3 5 3 2" xfId="14715" xr:uid="{5702CC19-1730-4FF8-81A2-00A79356E1C7}"/>
    <cellStyle name="Comma 4 3 2 3 5 4" xfId="10497" xr:uid="{09768D30-1821-4B7C-A873-777D8AB5673E}"/>
    <cellStyle name="Comma 4 3 2 3 6" xfId="2401" xr:uid="{00000000-0005-0000-0000-000054090000}"/>
    <cellStyle name="Comma 4 3 2 3 6 2" xfId="6686" xr:uid="{00000000-0005-0000-0000-000055090000}"/>
    <cellStyle name="Comma 4 3 2 3 6 2 2" xfId="15128" xr:uid="{A3032B7A-ED1F-4F0E-87CF-EB1B77BBE91C}"/>
    <cellStyle name="Comma 4 3 2 3 6 3" xfId="10910" xr:uid="{1FA9AD4D-2E12-40D1-9210-E19285100F0D}"/>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C0A09B93-4B6A-4BC8-8091-8607CD2E9D5B}"/>
    <cellStyle name="Comma 4 3 2 3 8 3" xfId="11227" xr:uid="{4A9DAB12-B876-4435-967F-C034D14B7688}"/>
    <cellStyle name="Comma 4 3 2 3 9" xfId="4620" xr:uid="{00000000-0005-0000-0000-000059090000}"/>
    <cellStyle name="Comma 4 3 2 3 9 2" xfId="13062" xr:uid="{92750EDE-89F8-4535-A566-997051235DC0}"/>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A28BCB94-A86A-469F-8163-50415A73DF2C}"/>
    <cellStyle name="Comma 4 3 2 4 2 3" xfId="11400" xr:uid="{05892C98-2C15-4912-AB10-9BBAC78BAAA4}"/>
    <cellStyle name="Comma 4 3 2 4 3" xfId="5031" xr:uid="{00000000-0005-0000-0000-00005D090000}"/>
    <cellStyle name="Comma 4 3 2 4 3 2" xfId="13473" xr:uid="{D5F9626A-E89C-4262-BC8F-F369324314B8}"/>
    <cellStyle name="Comma 4 3 2 4 4" xfId="9255" xr:uid="{0AE941A2-FCB3-462F-A08E-65121EEE71F6}"/>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30F62E3B-7662-4BB9-8E94-65482E54146C}"/>
    <cellStyle name="Comma 4 3 2 5 2 3" xfId="11813" xr:uid="{2A653827-2152-4E8C-9499-05E3DEBDAA6C}"/>
    <cellStyle name="Comma 4 3 2 5 3" xfId="5444" xr:uid="{00000000-0005-0000-0000-000061090000}"/>
    <cellStyle name="Comma 4 3 2 5 3 2" xfId="13886" xr:uid="{A118E2E8-EA73-4059-AD94-2C4DBB64B505}"/>
    <cellStyle name="Comma 4 3 2 5 4" xfId="9668" xr:uid="{A4A8BE7E-4D72-44AE-B1B6-E6B7464894D5}"/>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301C9864-15DC-416C-BFCE-CEBDA27E220A}"/>
    <cellStyle name="Comma 4 3 2 6 2 3" xfId="12226" xr:uid="{D6944852-8128-4ECF-B047-E7525895D9B7}"/>
    <cellStyle name="Comma 4 3 2 6 3" xfId="5857" xr:uid="{00000000-0005-0000-0000-000065090000}"/>
    <cellStyle name="Comma 4 3 2 6 3 2" xfId="14299" xr:uid="{2F516892-A58E-4A76-A056-4A1007403665}"/>
    <cellStyle name="Comma 4 3 2 6 4" xfId="10081" xr:uid="{502F1FFB-396F-40CE-A4B5-E10013FB825D}"/>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AB912D77-9CCA-43CB-87D0-ACA8A8B0AB44}"/>
    <cellStyle name="Comma 4 3 2 7 2 3" xfId="12639" xr:uid="{31D64144-1680-4BBB-B047-3D7C902415C6}"/>
    <cellStyle name="Comma 4 3 2 7 3" xfId="6270" xr:uid="{00000000-0005-0000-0000-000069090000}"/>
    <cellStyle name="Comma 4 3 2 7 3 2" xfId="14712" xr:uid="{D1F99AD6-A1F2-40B7-860E-125BFEB6FA30}"/>
    <cellStyle name="Comma 4 3 2 7 4" xfId="10494" xr:uid="{7B730B63-DBA8-4C50-8B44-264D86A0D395}"/>
    <cellStyle name="Comma 4 3 2 8" xfId="2398" xr:uid="{00000000-0005-0000-0000-00006A090000}"/>
    <cellStyle name="Comma 4 3 2 8 2" xfId="6683" xr:uid="{00000000-0005-0000-0000-00006B090000}"/>
    <cellStyle name="Comma 4 3 2 8 2 2" xfId="15125" xr:uid="{BBD162ED-0D31-4277-8A2F-F21BCEF7A1B4}"/>
    <cellStyle name="Comma 4 3 2 8 3" xfId="10907" xr:uid="{7A4C280E-8251-4E17-891B-A60F906B993E}"/>
    <cellStyle name="Comma 4 3 2 9" xfId="2365" xr:uid="{00000000-0005-0000-0000-00006C090000}"/>
    <cellStyle name="Comma 4 3 3" xfId="149" xr:uid="{00000000-0005-0000-0000-00006D090000}"/>
    <cellStyle name="Comma 4 3 3 10" xfId="4621" xr:uid="{00000000-0005-0000-0000-00006E090000}"/>
    <cellStyle name="Comma 4 3 3 10 2" xfId="13063" xr:uid="{8830E09D-A361-4510-B2EB-8710E5FC442D}"/>
    <cellStyle name="Comma 4 3 3 11" xfId="8845" xr:uid="{F0C26B4C-A793-4C25-98DE-9895AE45578C}"/>
    <cellStyle name="Comma 4 3 3 2" xfId="150" xr:uid="{00000000-0005-0000-0000-00006F090000}"/>
    <cellStyle name="Comma 4 3 3 2 10" xfId="8846" xr:uid="{A61769CF-AA30-4172-930E-C0D744189652}"/>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E4B4546B-69FB-496E-A9A6-2A0CA35AC270}"/>
    <cellStyle name="Comma 4 3 3 2 2 2 3" xfId="11405" xr:uid="{B3A94551-8F74-46B9-A371-91B75785692D}"/>
    <cellStyle name="Comma 4 3 3 2 2 3" xfId="5036" xr:uid="{00000000-0005-0000-0000-000073090000}"/>
    <cellStyle name="Comma 4 3 3 2 2 3 2" xfId="13478" xr:uid="{68707FC8-06FF-455D-BFC5-313CE75885D7}"/>
    <cellStyle name="Comma 4 3 3 2 2 4" xfId="9260" xr:uid="{FB7B8A5F-2232-40ED-A15B-2837C94EEF19}"/>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B68BCD1E-95C6-4027-A49F-B33F81AA32BE}"/>
    <cellStyle name="Comma 4 3 3 2 3 2 3" xfId="11818" xr:uid="{F3C2C97B-B80F-4B7E-BE03-16721B4101C1}"/>
    <cellStyle name="Comma 4 3 3 2 3 3" xfId="5449" xr:uid="{00000000-0005-0000-0000-000077090000}"/>
    <cellStyle name="Comma 4 3 3 2 3 3 2" xfId="13891" xr:uid="{D579A2B2-FE69-429A-9F65-0D4B3267AC79}"/>
    <cellStyle name="Comma 4 3 3 2 3 4" xfId="9673" xr:uid="{9419CEDF-4828-47F4-90D8-FAD2BB306A78}"/>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4FEEF945-3B14-443D-90D6-E0DF9BF113F1}"/>
    <cellStyle name="Comma 4 3 3 2 4 2 3" xfId="12231" xr:uid="{BE9A68B0-51E1-4962-87F3-D35AC7A14323}"/>
    <cellStyle name="Comma 4 3 3 2 4 3" xfId="5862" xr:uid="{00000000-0005-0000-0000-00007B090000}"/>
    <cellStyle name="Comma 4 3 3 2 4 3 2" xfId="14304" xr:uid="{C19289C1-4322-476A-9CA6-807094E8CC18}"/>
    <cellStyle name="Comma 4 3 3 2 4 4" xfId="10086" xr:uid="{C06F45FD-20E9-4F88-8678-51B6E3455DCA}"/>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54197AF5-5E67-4B1F-9A08-237D1DF4A0EA}"/>
    <cellStyle name="Comma 4 3 3 2 5 2 3" xfId="12644" xr:uid="{53D1F9B2-B334-449D-B99D-9EC2D8EC6FEC}"/>
    <cellStyle name="Comma 4 3 3 2 5 3" xfId="6275" xr:uid="{00000000-0005-0000-0000-00007F090000}"/>
    <cellStyle name="Comma 4 3 3 2 5 3 2" xfId="14717" xr:uid="{83D4DAEC-176A-4FF8-A5D8-5EC5D8FDFEE0}"/>
    <cellStyle name="Comma 4 3 3 2 5 4" xfId="10499" xr:uid="{F9DCB963-382D-4FCD-A2B5-24C69C91BD26}"/>
    <cellStyle name="Comma 4 3 3 2 6" xfId="2403" xr:uid="{00000000-0005-0000-0000-000080090000}"/>
    <cellStyle name="Comma 4 3 3 2 6 2" xfId="6688" xr:uid="{00000000-0005-0000-0000-000081090000}"/>
    <cellStyle name="Comma 4 3 3 2 6 2 2" xfId="15130" xr:uid="{E8D71A57-2453-4445-A35E-A425042BA79F}"/>
    <cellStyle name="Comma 4 3 3 2 6 3" xfId="10912" xr:uid="{D789FAA4-C1A1-4868-A014-EDF13C7F774E}"/>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87168EA9-6462-43C6-9423-A2C502C8F645}"/>
    <cellStyle name="Comma 4 3 3 2 8 3" xfId="11229" xr:uid="{BAC8FF62-A72B-43E4-B909-ADA607E2D9FA}"/>
    <cellStyle name="Comma 4 3 3 2 9" xfId="4622" xr:uid="{00000000-0005-0000-0000-000085090000}"/>
    <cellStyle name="Comma 4 3 3 2 9 2" xfId="13064" xr:uid="{CD4EF3C7-2DB0-4217-985C-E8006E1B311B}"/>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25257BD8-FAB0-4500-BFDA-99E8DC375593}"/>
    <cellStyle name="Comma 4 3 3 3 2 3" xfId="11404" xr:uid="{66230A0C-7D63-4666-9348-8A075BCDBF71}"/>
    <cellStyle name="Comma 4 3 3 3 3" xfId="5035" xr:uid="{00000000-0005-0000-0000-000089090000}"/>
    <cellStyle name="Comma 4 3 3 3 3 2" xfId="13477" xr:uid="{F1F5AE9A-F533-4C65-9632-06E3B89DA6DF}"/>
    <cellStyle name="Comma 4 3 3 3 4" xfId="9259" xr:uid="{DB01CB4E-E9CE-4379-AFDE-631A3C341106}"/>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9E9AD5D8-48D6-4D34-B65B-DC4ECE98DB79}"/>
    <cellStyle name="Comma 4 3 3 4 2 3" xfId="11817" xr:uid="{18CACEF7-E903-423C-9718-702A512839BB}"/>
    <cellStyle name="Comma 4 3 3 4 3" xfId="5448" xr:uid="{00000000-0005-0000-0000-00008D090000}"/>
    <cellStyle name="Comma 4 3 3 4 3 2" xfId="13890" xr:uid="{F5C6BFD6-47A9-4FF6-9EAD-5E3D4B5D9A68}"/>
    <cellStyle name="Comma 4 3 3 4 4" xfId="9672" xr:uid="{67C6998D-2220-410E-8649-37BDE396B4F7}"/>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3D7E1FB-AF88-4120-AEA1-C9E521D724AA}"/>
    <cellStyle name="Comma 4 3 3 5 2 3" xfId="12230" xr:uid="{E8B1874C-9840-47AF-AB99-985D4500B3EF}"/>
    <cellStyle name="Comma 4 3 3 5 3" xfId="5861" xr:uid="{00000000-0005-0000-0000-000091090000}"/>
    <cellStyle name="Comma 4 3 3 5 3 2" xfId="14303" xr:uid="{766FDD4F-1FC4-4BCB-9ADF-E065E45FD2C7}"/>
    <cellStyle name="Comma 4 3 3 5 4" xfId="10085" xr:uid="{6CD1152D-5CD8-45E6-92D1-6952734B5883}"/>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117E5D25-F186-4867-AEB6-6252E9E1BA6D}"/>
    <cellStyle name="Comma 4 3 3 6 2 3" xfId="12643" xr:uid="{4A338568-9573-494A-B74E-3E2B178B7E34}"/>
    <cellStyle name="Comma 4 3 3 6 3" xfId="6274" xr:uid="{00000000-0005-0000-0000-000095090000}"/>
    <cellStyle name="Comma 4 3 3 6 3 2" xfId="14716" xr:uid="{6A6ACCFE-A606-4B15-974E-695F27CE69D6}"/>
    <cellStyle name="Comma 4 3 3 6 4" xfId="10498" xr:uid="{F7A24022-231B-4FE3-82CE-026935FE9CEE}"/>
    <cellStyle name="Comma 4 3 3 7" xfId="2402" xr:uid="{00000000-0005-0000-0000-000096090000}"/>
    <cellStyle name="Comma 4 3 3 7 2" xfId="6687" xr:uid="{00000000-0005-0000-0000-000097090000}"/>
    <cellStyle name="Comma 4 3 3 7 2 2" xfId="15129" xr:uid="{2E3B8545-4B07-4E1F-B0B2-96B3E8535DA3}"/>
    <cellStyle name="Comma 4 3 3 7 3" xfId="10911" xr:uid="{5E9BCE02-BBB8-4E2B-9401-CF8B4F1422B6}"/>
    <cellStyle name="Comma 4 3 3 8" xfId="2361" xr:uid="{00000000-0005-0000-0000-000098090000}"/>
    <cellStyle name="Comma 4 3 3 9" xfId="2780" xr:uid="{00000000-0005-0000-0000-000099090000}"/>
    <cellStyle name="Comma 4 3 3 9 2" xfId="7004" xr:uid="{00000000-0005-0000-0000-00009A090000}"/>
    <cellStyle name="Comma 4 3 3 9 2 2" xfId="15446" xr:uid="{D0AD3E35-813A-4138-A393-80912508AFD6}"/>
    <cellStyle name="Comma 4 3 3 9 3" xfId="11228" xr:uid="{5DFF5EC8-41E2-4D14-8982-AAD0C7530568}"/>
    <cellStyle name="Comma 4 3 4" xfId="151" xr:uid="{00000000-0005-0000-0000-00009B090000}"/>
    <cellStyle name="Comma 4 3 4 10" xfId="8847" xr:uid="{3F102662-DA7B-41E6-A2BE-A61B541B627C}"/>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6C9501E1-C819-4E4F-AC9C-92B72205593E}"/>
    <cellStyle name="Comma 4 3 4 2 2 3" xfId="11406" xr:uid="{2F7720C7-68F8-4D99-A551-49785901862D}"/>
    <cellStyle name="Comma 4 3 4 2 3" xfId="5037" xr:uid="{00000000-0005-0000-0000-00009F090000}"/>
    <cellStyle name="Comma 4 3 4 2 3 2" xfId="13479" xr:uid="{BA8AC3E8-D412-41C9-B858-EF6AD4F14815}"/>
    <cellStyle name="Comma 4 3 4 2 4" xfId="9261" xr:uid="{3B04D4CC-3B37-4E08-BBA5-67A88663679D}"/>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AA039441-C467-456E-A8D9-E6A15E3D69F4}"/>
    <cellStyle name="Comma 4 3 4 3 2 3" xfId="11819" xr:uid="{65DE9795-D98C-448D-A035-C26D36CA6400}"/>
    <cellStyle name="Comma 4 3 4 3 3" xfId="5450" xr:uid="{00000000-0005-0000-0000-0000A3090000}"/>
    <cellStyle name="Comma 4 3 4 3 3 2" xfId="13892" xr:uid="{24C0CC3C-B4DE-457E-8FCA-851EE78D51D2}"/>
    <cellStyle name="Comma 4 3 4 3 4" xfId="9674" xr:uid="{6C854748-48F7-48C9-9CEA-CFAAA569528A}"/>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04005E9E-4C4D-47A4-9BCD-DA748E3A1771}"/>
    <cellStyle name="Comma 4 3 4 4 2 3" xfId="12232" xr:uid="{667C5FE3-8E6E-4720-BA94-ED75650B5296}"/>
    <cellStyle name="Comma 4 3 4 4 3" xfId="5863" xr:uid="{00000000-0005-0000-0000-0000A7090000}"/>
    <cellStyle name="Comma 4 3 4 4 3 2" xfId="14305" xr:uid="{850DC78E-BF28-46E4-A5DF-D62638780652}"/>
    <cellStyle name="Comma 4 3 4 4 4" xfId="10087" xr:uid="{60D0BAF9-4ED6-4D5C-9DCE-E9AEC96942D2}"/>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55A68859-2935-408D-86D7-7DC4DD79B65B}"/>
    <cellStyle name="Comma 4 3 4 5 2 3" xfId="12645" xr:uid="{5B013292-798E-4748-940B-61888478E2FE}"/>
    <cellStyle name="Comma 4 3 4 5 3" xfId="6276" xr:uid="{00000000-0005-0000-0000-0000AB090000}"/>
    <cellStyle name="Comma 4 3 4 5 3 2" xfId="14718" xr:uid="{40E46E3B-1C2E-4519-92AD-A28621274A11}"/>
    <cellStyle name="Comma 4 3 4 5 4" xfId="10500" xr:uid="{AD5B7946-F6D7-4FB7-B0FE-EA9737872785}"/>
    <cellStyle name="Comma 4 3 4 6" xfId="2404" xr:uid="{00000000-0005-0000-0000-0000AC090000}"/>
    <cellStyle name="Comma 4 3 4 6 2" xfId="6689" xr:uid="{00000000-0005-0000-0000-0000AD090000}"/>
    <cellStyle name="Comma 4 3 4 6 2 2" xfId="15131" xr:uid="{E8109DC6-E040-49A9-9EE4-9B170203DFDE}"/>
    <cellStyle name="Comma 4 3 4 6 3" xfId="10913" xr:uid="{177FF5FE-2C00-43C2-886D-C267C693820D}"/>
    <cellStyle name="Comma 4 3 4 7" xfId="2700" xr:uid="{00000000-0005-0000-0000-0000AE090000}"/>
    <cellStyle name="Comma 4 3 4 8" xfId="2782" xr:uid="{00000000-0005-0000-0000-0000AF090000}"/>
    <cellStyle name="Comma 4 3 4 8 2" xfId="7006" xr:uid="{00000000-0005-0000-0000-0000B0090000}"/>
    <cellStyle name="Comma 4 3 4 8 2 2" xfId="15448" xr:uid="{AD24E37A-E157-4509-8068-EC2AC931F05E}"/>
    <cellStyle name="Comma 4 3 4 8 3" xfId="11230" xr:uid="{A0A6543C-A9DD-498A-B864-F32E4D9EDD0A}"/>
    <cellStyle name="Comma 4 3 4 9" xfId="4623" xr:uid="{00000000-0005-0000-0000-0000B1090000}"/>
    <cellStyle name="Comma 4 3 4 9 2" xfId="13065" xr:uid="{2AD3A2B5-ED5A-4BEF-A933-EE2A6E46C378}"/>
    <cellStyle name="Comma 4 3 5" xfId="152" xr:uid="{00000000-0005-0000-0000-0000B2090000}"/>
    <cellStyle name="Comma 4 3 5 10" xfId="8848" xr:uid="{7F3BA29F-8AF5-4ED2-ABA0-04E92265E662}"/>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7FA9C917-A085-4C65-9EA6-EB3CAD8E2843}"/>
    <cellStyle name="Comma 4 3 5 2 2 3" xfId="11407" xr:uid="{E8226400-DF26-446F-AFC4-4914F12503DC}"/>
    <cellStyle name="Comma 4 3 5 2 3" xfId="5038" xr:uid="{00000000-0005-0000-0000-0000B6090000}"/>
    <cellStyle name="Comma 4 3 5 2 3 2" xfId="13480" xr:uid="{035BEE11-4D1B-446C-9F22-2E6D07487F83}"/>
    <cellStyle name="Comma 4 3 5 2 4" xfId="9262" xr:uid="{EEB67896-78EA-4A3B-8061-7EDA49E7A8CF}"/>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EB7EF51F-5BCF-4681-BFEC-F7E9BAF32502}"/>
    <cellStyle name="Comma 4 3 5 3 2 3" xfId="11820" xr:uid="{6BB8C612-80CA-4B0D-AEF2-6C9A546254DE}"/>
    <cellStyle name="Comma 4 3 5 3 3" xfId="5451" xr:uid="{00000000-0005-0000-0000-0000BA090000}"/>
    <cellStyle name="Comma 4 3 5 3 3 2" xfId="13893" xr:uid="{32745421-D9E3-4069-BB1E-A36EC2D8F67C}"/>
    <cellStyle name="Comma 4 3 5 3 4" xfId="9675" xr:uid="{C8B7D6F3-A146-4144-95BF-8D9ADEC14616}"/>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D58296C8-F17B-412F-B5C7-9651227C7643}"/>
    <cellStyle name="Comma 4 3 5 4 2 3" xfId="12233" xr:uid="{9675E8F5-FB9C-4794-B3C0-C9F234FCA66A}"/>
    <cellStyle name="Comma 4 3 5 4 3" xfId="5864" xr:uid="{00000000-0005-0000-0000-0000BE090000}"/>
    <cellStyle name="Comma 4 3 5 4 3 2" xfId="14306" xr:uid="{E2229CA0-1D1C-4F67-865F-E19E21DE7C02}"/>
    <cellStyle name="Comma 4 3 5 4 4" xfId="10088" xr:uid="{A6AC072A-0E7E-4F30-AF4D-5C8BE4B5D34A}"/>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318BB7C4-CD40-4831-B7AE-CC8252722227}"/>
    <cellStyle name="Comma 4 3 5 5 2 3" xfId="12646" xr:uid="{F73E02F3-DA00-4DC1-85E2-DE861A93B341}"/>
    <cellStyle name="Comma 4 3 5 5 3" xfId="6277" xr:uid="{00000000-0005-0000-0000-0000C2090000}"/>
    <cellStyle name="Comma 4 3 5 5 3 2" xfId="14719" xr:uid="{C2B87D7A-2021-4FD6-83FF-F6938AB311F4}"/>
    <cellStyle name="Comma 4 3 5 5 4" xfId="10501" xr:uid="{CD658BEC-98A8-4D56-B5DD-7218314710AE}"/>
    <cellStyle name="Comma 4 3 5 6" xfId="2405" xr:uid="{00000000-0005-0000-0000-0000C3090000}"/>
    <cellStyle name="Comma 4 3 5 6 2" xfId="6690" xr:uid="{00000000-0005-0000-0000-0000C4090000}"/>
    <cellStyle name="Comma 4 3 5 6 2 2" xfId="15132" xr:uid="{DAD9FF03-63FD-4C63-94A7-997B8C0B1152}"/>
    <cellStyle name="Comma 4 3 5 6 3" xfId="10914" xr:uid="{E0B3B8D8-6EE7-4748-B73A-AA7034360C05}"/>
    <cellStyle name="Comma 4 3 5 7" xfId="2701" xr:uid="{00000000-0005-0000-0000-0000C5090000}"/>
    <cellStyle name="Comma 4 3 5 8" xfId="2783" xr:uid="{00000000-0005-0000-0000-0000C6090000}"/>
    <cellStyle name="Comma 4 3 5 8 2" xfId="7007" xr:uid="{00000000-0005-0000-0000-0000C7090000}"/>
    <cellStyle name="Comma 4 3 5 8 2 2" xfId="15449" xr:uid="{5FA29F10-C635-418C-A580-E25245336161}"/>
    <cellStyle name="Comma 4 3 5 8 3" xfId="11231" xr:uid="{2101DC10-583F-4B4F-B05A-6AA12050E721}"/>
    <cellStyle name="Comma 4 3 5 9" xfId="4624" xr:uid="{00000000-0005-0000-0000-0000C8090000}"/>
    <cellStyle name="Comma 4 3 5 9 2" xfId="13066" xr:uid="{EEAD0E7F-1285-4AFD-8D24-39C37FB2C658}"/>
    <cellStyle name="Comma 4 4" xfId="153" xr:uid="{00000000-0005-0000-0000-0000C9090000}"/>
    <cellStyle name="Comma 4 4 10" xfId="2784" xr:uid="{00000000-0005-0000-0000-0000CA090000}"/>
    <cellStyle name="Comma 4 4 10 2" xfId="7008" xr:uid="{00000000-0005-0000-0000-0000CB090000}"/>
    <cellStyle name="Comma 4 4 10 2 2" xfId="15450" xr:uid="{5696A4E1-206C-4D33-959A-1E4C57DF97A1}"/>
    <cellStyle name="Comma 4 4 10 3" xfId="11232" xr:uid="{964316DB-481A-4AE8-84B2-0314F0B6E979}"/>
    <cellStyle name="Comma 4 4 11" xfId="4625" xr:uid="{00000000-0005-0000-0000-0000CC090000}"/>
    <cellStyle name="Comma 4 4 11 2" xfId="13067" xr:uid="{05CC195C-D9AE-4675-A49E-286D6317D71D}"/>
    <cellStyle name="Comma 4 4 12" xfId="8849" xr:uid="{0E8EB130-14EF-4620-8EBB-E6EA7BC3FC60}"/>
    <cellStyle name="Comma 4 4 2" xfId="154" xr:uid="{00000000-0005-0000-0000-0000CD090000}"/>
    <cellStyle name="Comma 4 4 2 10" xfId="4626" xr:uid="{00000000-0005-0000-0000-0000CE090000}"/>
    <cellStyle name="Comma 4 4 2 10 2" xfId="13068" xr:uid="{1683EEEE-C0BA-4480-8DAE-AB2A7CE521FE}"/>
    <cellStyle name="Comma 4 4 2 11" xfId="8850" xr:uid="{20EC5FCD-16DA-4E24-A503-200A5825E66A}"/>
    <cellStyle name="Comma 4 4 2 2" xfId="155" xr:uid="{00000000-0005-0000-0000-0000CF090000}"/>
    <cellStyle name="Comma 4 4 2 2 10" xfId="8851" xr:uid="{CED7A2E5-C15A-4EE9-97AD-BC1A02FA15B3}"/>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FB142601-F482-4AC9-BCDE-A08676462420}"/>
    <cellStyle name="Comma 4 4 2 2 2 2 3" xfId="11410" xr:uid="{F4691B62-7569-43E0-AFCB-8A9BC8082FC0}"/>
    <cellStyle name="Comma 4 4 2 2 2 3" xfId="5041" xr:uid="{00000000-0005-0000-0000-0000D3090000}"/>
    <cellStyle name="Comma 4 4 2 2 2 3 2" xfId="13483" xr:uid="{2E3FDCD6-0B3D-45A3-9F91-FBC27E75C793}"/>
    <cellStyle name="Comma 4 4 2 2 2 4" xfId="9265" xr:uid="{90AEA661-197A-48B6-BA7A-FC9300B4D299}"/>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ED6E4C11-879D-41AF-B49D-DC7E9C5852FD}"/>
    <cellStyle name="Comma 4 4 2 2 3 2 3" xfId="11823" xr:uid="{1E03B2A0-C526-41DF-9B30-597F1C04BDE9}"/>
    <cellStyle name="Comma 4 4 2 2 3 3" xfId="5454" xr:uid="{00000000-0005-0000-0000-0000D7090000}"/>
    <cellStyle name="Comma 4 4 2 2 3 3 2" xfId="13896" xr:uid="{27CA35F0-F11F-4D97-8E33-18698C58B4AC}"/>
    <cellStyle name="Comma 4 4 2 2 3 4" xfId="9678" xr:uid="{9CBAAAC1-AC0D-43EC-BB63-62C8BBF6432B}"/>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650BEB6D-5FA7-48B8-9934-870F287B9254}"/>
    <cellStyle name="Comma 4 4 2 2 4 2 3" xfId="12236" xr:uid="{4A4E1038-BA53-445E-A13B-3020A0459559}"/>
    <cellStyle name="Comma 4 4 2 2 4 3" xfId="5867" xr:uid="{00000000-0005-0000-0000-0000DB090000}"/>
    <cellStyle name="Comma 4 4 2 2 4 3 2" xfId="14309" xr:uid="{D4A72C06-133E-4F03-86A9-303D972EC526}"/>
    <cellStyle name="Comma 4 4 2 2 4 4" xfId="10091" xr:uid="{359FA8DA-74B6-47D7-8993-1BC0ED2BFA5F}"/>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6019C650-CC4F-4193-88EF-1660A83A8B38}"/>
    <cellStyle name="Comma 4 4 2 2 5 2 3" xfId="12649" xr:uid="{73C78D5F-0529-4024-B762-443CC2356A3A}"/>
    <cellStyle name="Comma 4 4 2 2 5 3" xfId="6280" xr:uid="{00000000-0005-0000-0000-0000DF090000}"/>
    <cellStyle name="Comma 4 4 2 2 5 3 2" xfId="14722" xr:uid="{F6E9A226-B4B3-4DF3-86FD-2CE1216C3031}"/>
    <cellStyle name="Comma 4 4 2 2 5 4" xfId="10504" xr:uid="{0BEF0A1C-D5E3-4B76-8107-36119B1AC30A}"/>
    <cellStyle name="Comma 4 4 2 2 6" xfId="2408" xr:uid="{00000000-0005-0000-0000-0000E0090000}"/>
    <cellStyle name="Comma 4 4 2 2 6 2" xfId="6693" xr:uid="{00000000-0005-0000-0000-0000E1090000}"/>
    <cellStyle name="Comma 4 4 2 2 6 2 2" xfId="15135" xr:uid="{2E42CA99-9D24-4351-9E73-5C52691BB7F0}"/>
    <cellStyle name="Comma 4 4 2 2 6 3" xfId="10917" xr:uid="{EE070C4C-F49E-4F79-BC91-B18ACD7223DC}"/>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2CC3F40D-77C3-4FB9-96E7-C105A9D80848}"/>
    <cellStyle name="Comma 4 4 2 2 8 3" xfId="11234" xr:uid="{179286FC-EDB5-4B9C-9773-A117640D9E92}"/>
    <cellStyle name="Comma 4 4 2 2 9" xfId="4627" xr:uid="{00000000-0005-0000-0000-0000E5090000}"/>
    <cellStyle name="Comma 4 4 2 2 9 2" xfId="13069" xr:uid="{F6EC8C5A-0124-4AC4-B57C-2BD4B025A452}"/>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D53079E2-C036-4C8A-9403-26FF6D55F7B5}"/>
    <cellStyle name="Comma 4 4 2 3 2 3" xfId="11409" xr:uid="{5C78AE05-F289-4FA5-A28E-1D6864CC0DEC}"/>
    <cellStyle name="Comma 4 4 2 3 3" xfId="5040" xr:uid="{00000000-0005-0000-0000-0000E9090000}"/>
    <cellStyle name="Comma 4 4 2 3 3 2" xfId="13482" xr:uid="{0F281DAC-1CED-4392-83C8-930A194F1DD1}"/>
    <cellStyle name="Comma 4 4 2 3 4" xfId="9264" xr:uid="{310E7B4D-96DB-4714-96CF-4210F107CFF4}"/>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FB99F9C5-8079-49FF-BDD1-24687DCD08E0}"/>
    <cellStyle name="Comma 4 4 2 4 2 3" xfId="11822" xr:uid="{C226029D-B6D8-4DDC-A1C6-6F436CC98A3B}"/>
    <cellStyle name="Comma 4 4 2 4 3" xfId="5453" xr:uid="{00000000-0005-0000-0000-0000ED090000}"/>
    <cellStyle name="Comma 4 4 2 4 3 2" xfId="13895" xr:uid="{C62EE6D0-02A4-4EF5-BC90-CC5D59D18765}"/>
    <cellStyle name="Comma 4 4 2 4 4" xfId="9677" xr:uid="{6199DE53-6D3B-4A3A-B0D3-D349E53081C4}"/>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B658891C-3E55-42B1-B465-CE1583AE86AC}"/>
    <cellStyle name="Comma 4 4 2 5 2 3" xfId="12235" xr:uid="{8D95A9C6-A22E-47C8-8CE2-26126329C586}"/>
    <cellStyle name="Comma 4 4 2 5 3" xfId="5866" xr:uid="{00000000-0005-0000-0000-0000F1090000}"/>
    <cellStyle name="Comma 4 4 2 5 3 2" xfId="14308" xr:uid="{654FA307-02BB-4DF0-96E0-F80CA0812464}"/>
    <cellStyle name="Comma 4 4 2 5 4" xfId="10090" xr:uid="{B1596B00-FF7F-42E1-9E03-490D06C81D05}"/>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34FDA74F-A647-4515-BF6C-A5ADEB903953}"/>
    <cellStyle name="Comma 4 4 2 6 2 3" xfId="12648" xr:uid="{F412531F-DF7F-4E36-973E-B5A2669B2A2A}"/>
    <cellStyle name="Comma 4 4 2 6 3" xfId="6279" xr:uid="{00000000-0005-0000-0000-0000F5090000}"/>
    <cellStyle name="Comma 4 4 2 6 3 2" xfId="14721" xr:uid="{1D666AFF-C86B-47A5-8099-A43BDD8F64FC}"/>
    <cellStyle name="Comma 4 4 2 6 4" xfId="10503" xr:uid="{2CE01A52-1B62-45E3-A998-5E1C83F01B5B}"/>
    <cellStyle name="Comma 4 4 2 7" xfId="2407" xr:uid="{00000000-0005-0000-0000-0000F6090000}"/>
    <cellStyle name="Comma 4 4 2 7 2" xfId="6692" xr:uid="{00000000-0005-0000-0000-0000F7090000}"/>
    <cellStyle name="Comma 4 4 2 7 2 2" xfId="15134" xr:uid="{D5D6FE49-1806-426A-BFD3-F17DE1CFE15F}"/>
    <cellStyle name="Comma 4 4 2 7 3" xfId="10916" xr:uid="{1814AF40-0F5B-4BC1-897D-6C124C899E8F}"/>
    <cellStyle name="Comma 4 4 2 8" xfId="2703" xr:uid="{00000000-0005-0000-0000-0000F8090000}"/>
    <cellStyle name="Comma 4 4 2 9" xfId="2785" xr:uid="{00000000-0005-0000-0000-0000F9090000}"/>
    <cellStyle name="Comma 4 4 2 9 2" xfId="7009" xr:uid="{00000000-0005-0000-0000-0000FA090000}"/>
    <cellStyle name="Comma 4 4 2 9 2 2" xfId="15451" xr:uid="{9380C60F-A6A3-493F-BE87-7874DAEE6A60}"/>
    <cellStyle name="Comma 4 4 2 9 3" xfId="11233" xr:uid="{F5383D86-68BD-481F-BE52-5CB90AE53069}"/>
    <cellStyle name="Comma 4 4 3" xfId="156" xr:uid="{00000000-0005-0000-0000-0000FB090000}"/>
    <cellStyle name="Comma 4 4 3 10" xfId="8852" xr:uid="{38AB2CAF-1893-4081-9DF7-0DF6D84954EB}"/>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5755C7BC-CCF5-465F-BE07-5C7F8047BE90}"/>
    <cellStyle name="Comma 4 4 3 2 2 3" xfId="11411" xr:uid="{393CA6C7-3BF9-4D55-9B39-788BF404F58A}"/>
    <cellStyle name="Comma 4 4 3 2 3" xfId="5042" xr:uid="{00000000-0005-0000-0000-0000FF090000}"/>
    <cellStyle name="Comma 4 4 3 2 3 2" xfId="13484" xr:uid="{03C604EE-5314-40B1-8C92-161FD9CAD605}"/>
    <cellStyle name="Comma 4 4 3 2 4" xfId="9266" xr:uid="{F8D90EFC-02AA-4F3E-BAEE-9A62BE3A991F}"/>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0FC882FD-B21A-4907-8566-8FC340B0D991}"/>
    <cellStyle name="Comma 4 4 3 3 2 3" xfId="11824" xr:uid="{C02AB2E5-5B63-466E-9B5E-2A759AF50C41}"/>
    <cellStyle name="Comma 4 4 3 3 3" xfId="5455" xr:uid="{00000000-0005-0000-0000-0000030A0000}"/>
    <cellStyle name="Comma 4 4 3 3 3 2" xfId="13897" xr:uid="{46878F31-EA4A-4829-A60E-9AA50E71C342}"/>
    <cellStyle name="Comma 4 4 3 3 4" xfId="9679" xr:uid="{B269287D-BA21-4446-90DD-7E3878F0F440}"/>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9D418680-B896-4C79-BF82-E97C04CA8B09}"/>
    <cellStyle name="Comma 4 4 3 4 2 3" xfId="12237" xr:uid="{240D1D87-9465-4396-A6E9-A7A8DB954F9B}"/>
    <cellStyle name="Comma 4 4 3 4 3" xfId="5868" xr:uid="{00000000-0005-0000-0000-0000070A0000}"/>
    <cellStyle name="Comma 4 4 3 4 3 2" xfId="14310" xr:uid="{B41A805F-7E25-414B-B513-6F58243DEA9D}"/>
    <cellStyle name="Comma 4 4 3 4 4" xfId="10092" xr:uid="{D0E93397-4C41-48BC-B730-624BDF2B3067}"/>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297DCF82-E06D-4AE3-84DB-99800342418D}"/>
    <cellStyle name="Comma 4 4 3 5 2 3" xfId="12650" xr:uid="{F6058374-D9F7-4BDF-B1D9-4B731462EACC}"/>
    <cellStyle name="Comma 4 4 3 5 3" xfId="6281" xr:uid="{00000000-0005-0000-0000-00000B0A0000}"/>
    <cellStyle name="Comma 4 4 3 5 3 2" xfId="14723" xr:uid="{FEE00A9C-7594-4D12-9AA1-C3344EC8BDCE}"/>
    <cellStyle name="Comma 4 4 3 5 4" xfId="10505" xr:uid="{5638844B-D59E-43A8-91FC-54F31F938496}"/>
    <cellStyle name="Comma 4 4 3 6" xfId="2409" xr:uid="{00000000-0005-0000-0000-00000C0A0000}"/>
    <cellStyle name="Comma 4 4 3 6 2" xfId="6694" xr:uid="{00000000-0005-0000-0000-00000D0A0000}"/>
    <cellStyle name="Comma 4 4 3 6 2 2" xfId="15136" xr:uid="{1597E945-38B6-4653-A4E6-644DBE3CB1B3}"/>
    <cellStyle name="Comma 4 4 3 6 3" xfId="10918" xr:uid="{5322F324-FE13-4DB7-8B24-9027D959A5DA}"/>
    <cellStyle name="Comma 4 4 3 7" xfId="2705" xr:uid="{00000000-0005-0000-0000-00000E0A0000}"/>
    <cellStyle name="Comma 4 4 3 8" xfId="2787" xr:uid="{00000000-0005-0000-0000-00000F0A0000}"/>
    <cellStyle name="Comma 4 4 3 8 2" xfId="7011" xr:uid="{00000000-0005-0000-0000-0000100A0000}"/>
    <cellStyle name="Comma 4 4 3 8 2 2" xfId="15453" xr:uid="{16D477B6-F20A-48AA-85FB-284A80DD451B}"/>
    <cellStyle name="Comma 4 4 3 8 3" xfId="11235" xr:uid="{F1A03DBF-A1BC-4B91-AC77-8FC277C96212}"/>
    <cellStyle name="Comma 4 4 3 9" xfId="4628" xr:uid="{00000000-0005-0000-0000-0000110A0000}"/>
    <cellStyle name="Comma 4 4 3 9 2" xfId="13070" xr:uid="{C59D1C61-F69D-4408-BCC7-0C0FBFEA26C8}"/>
    <cellStyle name="Comma 4 4 4" xfId="690" xr:uid="{00000000-0005-0000-0000-0000120A0000}"/>
    <cellStyle name="Comma 4 4 4 2" xfId="2961" xr:uid="{00000000-0005-0000-0000-0000130A0000}"/>
    <cellStyle name="Comma 4 4 4 2 2" xfId="7184" xr:uid="{00000000-0005-0000-0000-0000140A0000}"/>
    <cellStyle name="Comma 4 4 4 2 2 2" xfId="15626" xr:uid="{1B6330C3-46FF-4AF0-BD8F-0B39E6F121D3}"/>
    <cellStyle name="Comma 4 4 4 2 3" xfId="11408" xr:uid="{ED6A0738-3B71-48A2-9C85-F923ED58823C}"/>
    <cellStyle name="Comma 4 4 4 3" xfId="5039" xr:uid="{00000000-0005-0000-0000-0000150A0000}"/>
    <cellStyle name="Comma 4 4 4 3 2" xfId="13481" xr:uid="{E95507DA-FB1E-43B4-B150-0D47B665F994}"/>
    <cellStyle name="Comma 4 4 4 4" xfId="9263" xr:uid="{14D7D089-2373-41B9-AE78-B4655AAF3375}"/>
    <cellStyle name="Comma 4 4 5" xfId="1143" xr:uid="{00000000-0005-0000-0000-0000160A0000}"/>
    <cellStyle name="Comma 4 4 5 2" xfId="3374" xr:uid="{00000000-0005-0000-0000-0000170A0000}"/>
    <cellStyle name="Comma 4 4 5 2 2" xfId="7597" xr:uid="{00000000-0005-0000-0000-0000180A0000}"/>
    <cellStyle name="Comma 4 4 5 2 2 2" xfId="16039" xr:uid="{AC33CD1E-94AF-455E-A470-316F5F31ACDB}"/>
    <cellStyle name="Comma 4 4 5 2 3" xfId="11821" xr:uid="{A0E80C44-C0FE-41DC-B6B9-BA392B6F4EFB}"/>
    <cellStyle name="Comma 4 4 5 3" xfId="5452" xr:uid="{00000000-0005-0000-0000-0000190A0000}"/>
    <cellStyle name="Comma 4 4 5 3 2" xfId="13894" xr:uid="{25B91058-DF44-4B84-A8E1-89377C60BC42}"/>
    <cellStyle name="Comma 4 4 5 4" xfId="9676" xr:uid="{0A02DC44-5CD9-46C5-B38B-095BCA61F4C6}"/>
    <cellStyle name="Comma 4 4 6" xfId="1557" xr:uid="{00000000-0005-0000-0000-00001A0A0000}"/>
    <cellStyle name="Comma 4 4 6 2" xfId="3787" xr:uid="{00000000-0005-0000-0000-00001B0A0000}"/>
    <cellStyle name="Comma 4 4 6 2 2" xfId="8010" xr:uid="{00000000-0005-0000-0000-00001C0A0000}"/>
    <cellStyle name="Comma 4 4 6 2 2 2" xfId="16452" xr:uid="{CDFBC13E-CF1F-4811-B0EB-CC86690658E3}"/>
    <cellStyle name="Comma 4 4 6 2 3" xfId="12234" xr:uid="{4317E64D-9254-4773-AC29-E42F1C5DD277}"/>
    <cellStyle name="Comma 4 4 6 3" xfId="5865" xr:uid="{00000000-0005-0000-0000-00001D0A0000}"/>
    <cellStyle name="Comma 4 4 6 3 2" xfId="14307" xr:uid="{3731094C-41C0-44BA-BC5D-BE15EADE8087}"/>
    <cellStyle name="Comma 4 4 6 4" xfId="10089" xr:uid="{41D92160-0CA0-4E80-83D3-060BCC43FE28}"/>
    <cellStyle name="Comma 4 4 7" xfId="1971" xr:uid="{00000000-0005-0000-0000-00001E0A0000}"/>
    <cellStyle name="Comma 4 4 7 2" xfId="4200" xr:uid="{00000000-0005-0000-0000-00001F0A0000}"/>
    <cellStyle name="Comma 4 4 7 2 2" xfId="8423" xr:uid="{00000000-0005-0000-0000-0000200A0000}"/>
    <cellStyle name="Comma 4 4 7 2 2 2" xfId="16865" xr:uid="{7AB6AA31-57F0-4308-BE62-60BD59821977}"/>
    <cellStyle name="Comma 4 4 7 2 3" xfId="12647" xr:uid="{005FB300-D6CB-49B5-98C7-B522DE7CA77A}"/>
    <cellStyle name="Comma 4 4 7 3" xfId="6278" xr:uid="{00000000-0005-0000-0000-0000210A0000}"/>
    <cellStyle name="Comma 4 4 7 3 2" xfId="14720" xr:uid="{78040412-ED13-422B-94EC-47568CCB25C6}"/>
    <cellStyle name="Comma 4 4 7 4" xfId="10502" xr:uid="{EEE4B024-8A6F-4377-A79C-70F47D8F7BE5}"/>
    <cellStyle name="Comma 4 4 8" xfId="2406" xr:uid="{00000000-0005-0000-0000-0000220A0000}"/>
    <cellStyle name="Comma 4 4 8 2" xfId="6691" xr:uid="{00000000-0005-0000-0000-0000230A0000}"/>
    <cellStyle name="Comma 4 4 8 2 2" xfId="15133" xr:uid="{2BDD039A-556E-4298-B703-9A26C2B73083}"/>
    <cellStyle name="Comma 4 4 8 3" xfId="10915" xr:uid="{024BF3A1-88F7-4D92-9384-4C098A72D7C2}"/>
    <cellStyle name="Comma 4 4 9" xfId="2702" xr:uid="{00000000-0005-0000-0000-0000240A0000}"/>
    <cellStyle name="Comma 4 5" xfId="157" xr:uid="{00000000-0005-0000-0000-0000250A0000}"/>
    <cellStyle name="Comma 4 5 10" xfId="4629" xr:uid="{00000000-0005-0000-0000-0000260A0000}"/>
    <cellStyle name="Comma 4 5 10 2" xfId="13071" xr:uid="{5B2A9F29-119B-472B-A87D-A3EF773C2984}"/>
    <cellStyle name="Comma 4 5 11" xfId="8853" xr:uid="{B00317D3-DAB4-4EA7-B216-79C333DAB5FA}"/>
    <cellStyle name="Comma 4 5 2" xfId="158" xr:uid="{00000000-0005-0000-0000-0000270A0000}"/>
    <cellStyle name="Comma 4 5 2 10" xfId="8854" xr:uid="{90CE0454-5293-4D1C-9443-217DFBF8A564}"/>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8E30F57B-3C6B-4194-856E-2686F8ED8B6C}"/>
    <cellStyle name="Comma 4 5 2 2 2 3" xfId="11413" xr:uid="{DF72F2FE-850E-4836-A337-1FF4E48478E2}"/>
    <cellStyle name="Comma 4 5 2 2 3" xfId="5044" xr:uid="{00000000-0005-0000-0000-00002B0A0000}"/>
    <cellStyle name="Comma 4 5 2 2 3 2" xfId="13486" xr:uid="{FA5C8FC5-4123-4C75-9550-F6127FCCBBBB}"/>
    <cellStyle name="Comma 4 5 2 2 4" xfId="9268" xr:uid="{1C7D8FE1-1773-4697-B073-D9122E0C9BA9}"/>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B18E400B-9F6A-4E2C-AC77-34DC707CD218}"/>
    <cellStyle name="Comma 4 5 2 3 2 3" xfId="11826" xr:uid="{BD5392E6-88EF-4923-8DFF-C0AFB0922FB8}"/>
    <cellStyle name="Comma 4 5 2 3 3" xfId="5457" xr:uid="{00000000-0005-0000-0000-00002F0A0000}"/>
    <cellStyle name="Comma 4 5 2 3 3 2" xfId="13899" xr:uid="{F5AF7526-9E24-4A87-9C6D-C363A4DF45AE}"/>
    <cellStyle name="Comma 4 5 2 3 4" xfId="9681" xr:uid="{3C7C71CF-C205-4A90-8F43-B4EA9BC74D90}"/>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1BC04B35-A991-41DE-99F2-CB4080F81748}"/>
    <cellStyle name="Comma 4 5 2 4 2 3" xfId="12239" xr:uid="{00F19EAC-6491-4326-9B00-3DE7B3276175}"/>
    <cellStyle name="Comma 4 5 2 4 3" xfId="5870" xr:uid="{00000000-0005-0000-0000-0000330A0000}"/>
    <cellStyle name="Comma 4 5 2 4 3 2" xfId="14312" xr:uid="{2901952D-5C85-4948-B06B-B3AE90A678BB}"/>
    <cellStyle name="Comma 4 5 2 4 4" xfId="10094" xr:uid="{27C856C0-2236-44EA-AB6F-779D28304AA8}"/>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FFF8E30F-541D-402B-87A9-BB667627D003}"/>
    <cellStyle name="Comma 4 5 2 5 2 3" xfId="12652" xr:uid="{0ACA1E00-06A1-4C08-A94C-05667B97AB2F}"/>
    <cellStyle name="Comma 4 5 2 5 3" xfId="6283" xr:uid="{00000000-0005-0000-0000-0000370A0000}"/>
    <cellStyle name="Comma 4 5 2 5 3 2" xfId="14725" xr:uid="{90E4A102-FB09-4C41-A765-F9CAE590DC6F}"/>
    <cellStyle name="Comma 4 5 2 5 4" xfId="10507" xr:uid="{06216716-E3A6-48C9-B037-32C56B5B9BBD}"/>
    <cellStyle name="Comma 4 5 2 6" xfId="2411" xr:uid="{00000000-0005-0000-0000-0000380A0000}"/>
    <cellStyle name="Comma 4 5 2 6 2" xfId="6696" xr:uid="{00000000-0005-0000-0000-0000390A0000}"/>
    <cellStyle name="Comma 4 5 2 6 2 2" xfId="15138" xr:uid="{8A2C46B6-168C-4C04-823F-CF48FD7208AA}"/>
    <cellStyle name="Comma 4 5 2 6 3" xfId="10920" xr:uid="{1C920024-9C40-4987-B837-95101FBC5EC1}"/>
    <cellStyle name="Comma 4 5 2 7" xfId="2707" xr:uid="{00000000-0005-0000-0000-00003A0A0000}"/>
    <cellStyle name="Comma 4 5 2 8" xfId="2789" xr:uid="{00000000-0005-0000-0000-00003B0A0000}"/>
    <cellStyle name="Comma 4 5 2 8 2" xfId="7013" xr:uid="{00000000-0005-0000-0000-00003C0A0000}"/>
    <cellStyle name="Comma 4 5 2 8 2 2" xfId="15455" xr:uid="{9433CFBE-6744-436E-ADE3-E6C17BBB47F4}"/>
    <cellStyle name="Comma 4 5 2 8 3" xfId="11237" xr:uid="{3D31E31E-9647-4A1C-82B3-BAE2EB8C6398}"/>
    <cellStyle name="Comma 4 5 2 9" xfId="4630" xr:uid="{00000000-0005-0000-0000-00003D0A0000}"/>
    <cellStyle name="Comma 4 5 2 9 2" xfId="13072" xr:uid="{E49908DF-ED8E-4524-9E3F-A72F5A069D16}"/>
    <cellStyle name="Comma 4 5 3" xfId="694" xr:uid="{00000000-0005-0000-0000-00003E0A0000}"/>
    <cellStyle name="Comma 4 5 3 2" xfId="2965" xr:uid="{00000000-0005-0000-0000-00003F0A0000}"/>
    <cellStyle name="Comma 4 5 3 2 2" xfId="7188" xr:uid="{00000000-0005-0000-0000-0000400A0000}"/>
    <cellStyle name="Comma 4 5 3 2 2 2" xfId="15630" xr:uid="{5B29BFAC-29A4-4033-B44F-9F33EC3814F9}"/>
    <cellStyle name="Comma 4 5 3 2 3" xfId="11412" xr:uid="{D80902A4-727A-4B47-BD3D-3673688C84CA}"/>
    <cellStyle name="Comma 4 5 3 3" xfId="5043" xr:uid="{00000000-0005-0000-0000-0000410A0000}"/>
    <cellStyle name="Comma 4 5 3 3 2" xfId="13485" xr:uid="{BA9F8620-B1CF-4249-8C4B-697D75F8A804}"/>
    <cellStyle name="Comma 4 5 3 4" xfId="9267" xr:uid="{753B588C-567B-4B7C-91F7-9882C8D0046E}"/>
    <cellStyle name="Comma 4 5 4" xfId="1147" xr:uid="{00000000-0005-0000-0000-0000420A0000}"/>
    <cellStyle name="Comma 4 5 4 2" xfId="3378" xr:uid="{00000000-0005-0000-0000-0000430A0000}"/>
    <cellStyle name="Comma 4 5 4 2 2" xfId="7601" xr:uid="{00000000-0005-0000-0000-0000440A0000}"/>
    <cellStyle name="Comma 4 5 4 2 2 2" xfId="16043" xr:uid="{D8904BC7-15B5-4D26-B595-CF20AAEDED18}"/>
    <cellStyle name="Comma 4 5 4 2 3" xfId="11825" xr:uid="{D84C5525-791B-4025-BC60-E9996B7A6A08}"/>
    <cellStyle name="Comma 4 5 4 3" xfId="5456" xr:uid="{00000000-0005-0000-0000-0000450A0000}"/>
    <cellStyle name="Comma 4 5 4 3 2" xfId="13898" xr:uid="{F3EB4189-6654-49E5-8EB8-4200437376F8}"/>
    <cellStyle name="Comma 4 5 4 4" xfId="9680" xr:uid="{4C7AB7F4-7FF3-438F-A507-3C86D8A5936D}"/>
    <cellStyle name="Comma 4 5 5" xfId="1561" xr:uid="{00000000-0005-0000-0000-0000460A0000}"/>
    <cellStyle name="Comma 4 5 5 2" xfId="3791" xr:uid="{00000000-0005-0000-0000-0000470A0000}"/>
    <cellStyle name="Comma 4 5 5 2 2" xfId="8014" xr:uid="{00000000-0005-0000-0000-0000480A0000}"/>
    <cellStyle name="Comma 4 5 5 2 2 2" xfId="16456" xr:uid="{533206C0-9167-4A6C-9B2D-84CA5815671D}"/>
    <cellStyle name="Comma 4 5 5 2 3" xfId="12238" xr:uid="{A318166C-F5F8-40D7-B903-E35A92C1E22D}"/>
    <cellStyle name="Comma 4 5 5 3" xfId="5869" xr:uid="{00000000-0005-0000-0000-0000490A0000}"/>
    <cellStyle name="Comma 4 5 5 3 2" xfId="14311" xr:uid="{93212ACA-F080-46CC-B1FF-4AF6D354C22A}"/>
    <cellStyle name="Comma 4 5 5 4" xfId="10093" xr:uid="{E0A1A08E-710F-4636-AD68-EF868C900BD0}"/>
    <cellStyle name="Comma 4 5 6" xfId="1975" xr:uid="{00000000-0005-0000-0000-00004A0A0000}"/>
    <cellStyle name="Comma 4 5 6 2" xfId="4204" xr:uid="{00000000-0005-0000-0000-00004B0A0000}"/>
    <cellStyle name="Comma 4 5 6 2 2" xfId="8427" xr:uid="{00000000-0005-0000-0000-00004C0A0000}"/>
    <cellStyle name="Comma 4 5 6 2 2 2" xfId="16869" xr:uid="{8F52B484-39DC-4134-BDAF-098490560863}"/>
    <cellStyle name="Comma 4 5 6 2 3" xfId="12651" xr:uid="{616188D6-0B77-4E56-99E4-023D0F76715E}"/>
    <cellStyle name="Comma 4 5 6 3" xfId="6282" xr:uid="{00000000-0005-0000-0000-00004D0A0000}"/>
    <cellStyle name="Comma 4 5 6 3 2" xfId="14724" xr:uid="{709EADE4-A357-4A14-8E73-46FA05A742BF}"/>
    <cellStyle name="Comma 4 5 6 4" xfId="10506" xr:uid="{E9B96139-BDAD-4370-A21A-29DA209F8B62}"/>
    <cellStyle name="Comma 4 5 7" xfId="2410" xr:uid="{00000000-0005-0000-0000-00004E0A0000}"/>
    <cellStyle name="Comma 4 5 7 2" xfId="6695" xr:uid="{00000000-0005-0000-0000-00004F0A0000}"/>
    <cellStyle name="Comma 4 5 7 2 2" xfId="15137" xr:uid="{00B5CFED-2FD6-43F0-9522-C25CB696282A}"/>
    <cellStyle name="Comma 4 5 7 3" xfId="10919" xr:uid="{75FB78F1-10B9-44CC-BFA3-4F33C44D4E19}"/>
    <cellStyle name="Comma 4 5 8" xfId="2706" xr:uid="{00000000-0005-0000-0000-0000500A0000}"/>
    <cellStyle name="Comma 4 5 9" xfId="2788" xr:uid="{00000000-0005-0000-0000-0000510A0000}"/>
    <cellStyle name="Comma 4 5 9 2" xfId="7012" xr:uid="{00000000-0005-0000-0000-0000520A0000}"/>
    <cellStyle name="Comma 4 5 9 2 2" xfId="15454" xr:uid="{5F26D57A-2BE7-4495-8919-87375C71F041}"/>
    <cellStyle name="Comma 4 5 9 3" xfId="11236" xr:uid="{A7CCDF5F-0344-4A26-9D17-A8BC667C3B90}"/>
    <cellStyle name="Comma 4 6" xfId="159" xr:uid="{00000000-0005-0000-0000-0000530A0000}"/>
    <cellStyle name="Comma 4 6 10" xfId="8855" xr:uid="{69EE835D-95AA-4CE8-8597-799484F487E4}"/>
    <cellStyle name="Comma 4 6 2" xfId="696" xr:uid="{00000000-0005-0000-0000-0000540A0000}"/>
    <cellStyle name="Comma 4 6 2 2" xfId="2967" xr:uid="{00000000-0005-0000-0000-0000550A0000}"/>
    <cellStyle name="Comma 4 6 2 2 2" xfId="7190" xr:uid="{00000000-0005-0000-0000-0000560A0000}"/>
    <cellStyle name="Comma 4 6 2 2 2 2" xfId="15632" xr:uid="{F278BDAD-8F35-4172-B814-7EF4E447C518}"/>
    <cellStyle name="Comma 4 6 2 2 3" xfId="11414" xr:uid="{4B2D8203-B59B-458B-B600-A24B18E72F06}"/>
    <cellStyle name="Comma 4 6 2 3" xfId="5045" xr:uid="{00000000-0005-0000-0000-0000570A0000}"/>
    <cellStyle name="Comma 4 6 2 3 2" xfId="13487" xr:uid="{FF916D22-A72B-479F-9FF7-F77C67A0D4EA}"/>
    <cellStyle name="Comma 4 6 2 4" xfId="9269" xr:uid="{94CC70FB-9063-4B8F-9989-89BEAD5450E2}"/>
    <cellStyle name="Comma 4 6 3" xfId="1149" xr:uid="{00000000-0005-0000-0000-0000580A0000}"/>
    <cellStyle name="Comma 4 6 3 2" xfId="3380" xr:uid="{00000000-0005-0000-0000-0000590A0000}"/>
    <cellStyle name="Comma 4 6 3 2 2" xfId="7603" xr:uid="{00000000-0005-0000-0000-00005A0A0000}"/>
    <cellStyle name="Comma 4 6 3 2 2 2" xfId="16045" xr:uid="{998ECC36-9786-4712-BC01-26AA05EDC690}"/>
    <cellStyle name="Comma 4 6 3 2 3" xfId="11827" xr:uid="{49BE5CA3-DA79-4E81-9606-1AC71ADE1DEB}"/>
    <cellStyle name="Comma 4 6 3 3" xfId="5458" xr:uid="{00000000-0005-0000-0000-00005B0A0000}"/>
    <cellStyle name="Comma 4 6 3 3 2" xfId="13900" xr:uid="{206097AF-EC5D-4C31-A446-BB0059E5D71D}"/>
    <cellStyle name="Comma 4 6 3 4" xfId="9682" xr:uid="{1EBD977C-A9F0-49DD-97E7-FA8E6553C39F}"/>
    <cellStyle name="Comma 4 6 4" xfId="1563" xr:uid="{00000000-0005-0000-0000-00005C0A0000}"/>
    <cellStyle name="Comma 4 6 4 2" xfId="3793" xr:uid="{00000000-0005-0000-0000-00005D0A0000}"/>
    <cellStyle name="Comma 4 6 4 2 2" xfId="8016" xr:uid="{00000000-0005-0000-0000-00005E0A0000}"/>
    <cellStyle name="Comma 4 6 4 2 2 2" xfId="16458" xr:uid="{278266F3-5183-40D9-93D6-BCAA2BEDDC37}"/>
    <cellStyle name="Comma 4 6 4 2 3" xfId="12240" xr:uid="{AC73F15B-9C82-43CC-B8DB-05AFB6B94587}"/>
    <cellStyle name="Comma 4 6 4 3" xfId="5871" xr:uid="{00000000-0005-0000-0000-00005F0A0000}"/>
    <cellStyle name="Comma 4 6 4 3 2" xfId="14313" xr:uid="{C9D47E73-6FD0-407B-8860-447AB4A419FF}"/>
    <cellStyle name="Comma 4 6 4 4" xfId="10095" xr:uid="{3138173B-D345-469C-815C-68ED9845C34D}"/>
    <cellStyle name="Comma 4 6 5" xfId="1977" xr:uid="{00000000-0005-0000-0000-0000600A0000}"/>
    <cellStyle name="Comma 4 6 5 2" xfId="4206" xr:uid="{00000000-0005-0000-0000-0000610A0000}"/>
    <cellStyle name="Comma 4 6 5 2 2" xfId="8429" xr:uid="{00000000-0005-0000-0000-0000620A0000}"/>
    <cellStyle name="Comma 4 6 5 2 2 2" xfId="16871" xr:uid="{8C314679-3DC4-4F9C-8E00-31EA883E74A7}"/>
    <cellStyle name="Comma 4 6 5 2 3" xfId="12653" xr:uid="{03F0A671-BFFA-4623-92E7-EA15BA045159}"/>
    <cellStyle name="Comma 4 6 5 3" xfId="6284" xr:uid="{00000000-0005-0000-0000-0000630A0000}"/>
    <cellStyle name="Comma 4 6 5 3 2" xfId="14726" xr:uid="{A0605720-B12C-454B-A32F-36859DC3D6CD}"/>
    <cellStyle name="Comma 4 6 5 4" xfId="10508" xr:uid="{6752AF8A-63C1-447D-BB6F-426BAE7EBC1A}"/>
    <cellStyle name="Comma 4 6 6" xfId="2412" xr:uid="{00000000-0005-0000-0000-0000640A0000}"/>
    <cellStyle name="Comma 4 6 6 2" xfId="6697" xr:uid="{00000000-0005-0000-0000-0000650A0000}"/>
    <cellStyle name="Comma 4 6 6 2 2" xfId="15139" xr:uid="{9394E916-FD0F-4DE0-96B1-66FA6092EE37}"/>
    <cellStyle name="Comma 4 6 6 3" xfId="10921" xr:uid="{C07219B0-B548-4894-B234-9EBE7F68776B}"/>
    <cellStyle name="Comma 4 6 7" xfId="2708" xr:uid="{00000000-0005-0000-0000-0000660A0000}"/>
    <cellStyle name="Comma 4 6 8" xfId="2790" xr:uid="{00000000-0005-0000-0000-0000670A0000}"/>
    <cellStyle name="Comma 4 6 8 2" xfId="7014" xr:uid="{00000000-0005-0000-0000-0000680A0000}"/>
    <cellStyle name="Comma 4 6 8 2 2" xfId="15456" xr:uid="{E25A73E1-B348-426A-9DF4-44B5A6998973}"/>
    <cellStyle name="Comma 4 6 8 3" xfId="11238" xr:uid="{194149BA-13E2-4681-B3F6-554B950F5479}"/>
    <cellStyle name="Comma 4 6 9" xfId="4631" xr:uid="{00000000-0005-0000-0000-0000690A0000}"/>
    <cellStyle name="Comma 4 6 9 2" xfId="13073" xr:uid="{CAE1A746-D56A-425C-912B-551028F05F3D}"/>
    <cellStyle name="Comma 4 7" xfId="160" xr:uid="{00000000-0005-0000-0000-00006A0A0000}"/>
    <cellStyle name="Comma 4 7 10" xfId="8856" xr:uid="{D2B6DFD3-E3C7-40A3-AB3D-13092E00A20C}"/>
    <cellStyle name="Comma 4 7 2" xfId="697" xr:uid="{00000000-0005-0000-0000-00006B0A0000}"/>
    <cellStyle name="Comma 4 7 2 2" xfId="2968" xr:uid="{00000000-0005-0000-0000-00006C0A0000}"/>
    <cellStyle name="Comma 4 7 2 2 2" xfId="7191" xr:uid="{00000000-0005-0000-0000-00006D0A0000}"/>
    <cellStyle name="Comma 4 7 2 2 2 2" xfId="15633" xr:uid="{63523514-59AF-4284-AAE2-997D980DE2E2}"/>
    <cellStyle name="Comma 4 7 2 2 3" xfId="11415" xr:uid="{A4B9370B-FFEB-49BC-BA13-A1D9E0D48F3B}"/>
    <cellStyle name="Comma 4 7 2 3" xfId="5046" xr:uid="{00000000-0005-0000-0000-00006E0A0000}"/>
    <cellStyle name="Comma 4 7 2 3 2" xfId="13488" xr:uid="{945B83AE-CBC4-41EA-9AFA-49D60AC290C8}"/>
    <cellStyle name="Comma 4 7 2 4" xfId="9270" xr:uid="{D6BFB93E-C7A1-401C-BB61-75A396C7413A}"/>
    <cellStyle name="Comma 4 7 3" xfId="1150" xr:uid="{00000000-0005-0000-0000-00006F0A0000}"/>
    <cellStyle name="Comma 4 7 3 2" xfId="3381" xr:uid="{00000000-0005-0000-0000-0000700A0000}"/>
    <cellStyle name="Comma 4 7 3 2 2" xfId="7604" xr:uid="{00000000-0005-0000-0000-0000710A0000}"/>
    <cellStyle name="Comma 4 7 3 2 2 2" xfId="16046" xr:uid="{B77F5F59-494C-48F4-A273-F4341F531343}"/>
    <cellStyle name="Comma 4 7 3 2 3" xfId="11828" xr:uid="{5370FD13-C67E-414C-9995-27458581A692}"/>
    <cellStyle name="Comma 4 7 3 3" xfId="5459" xr:uid="{00000000-0005-0000-0000-0000720A0000}"/>
    <cellStyle name="Comma 4 7 3 3 2" xfId="13901" xr:uid="{B891FD5B-B753-42FB-969E-DB2C2B7B4466}"/>
    <cellStyle name="Comma 4 7 3 4" xfId="9683" xr:uid="{549E0A51-8DD1-4372-876A-62225B935ECA}"/>
    <cellStyle name="Comma 4 7 4" xfId="1564" xr:uid="{00000000-0005-0000-0000-0000730A0000}"/>
    <cellStyle name="Comma 4 7 4 2" xfId="3794" xr:uid="{00000000-0005-0000-0000-0000740A0000}"/>
    <cellStyle name="Comma 4 7 4 2 2" xfId="8017" xr:uid="{00000000-0005-0000-0000-0000750A0000}"/>
    <cellStyle name="Comma 4 7 4 2 2 2" xfId="16459" xr:uid="{B4C1A394-5F77-4E89-A899-3342D642B76D}"/>
    <cellStyle name="Comma 4 7 4 2 3" xfId="12241" xr:uid="{71FEA2A2-DDC8-463A-9E00-2AAAB75AC788}"/>
    <cellStyle name="Comma 4 7 4 3" xfId="5872" xr:uid="{00000000-0005-0000-0000-0000760A0000}"/>
    <cellStyle name="Comma 4 7 4 3 2" xfId="14314" xr:uid="{0099B186-1256-4BB8-A47C-DE91BB324911}"/>
    <cellStyle name="Comma 4 7 4 4" xfId="10096" xr:uid="{D63E7B72-43E4-4AD0-A216-218A07E446C6}"/>
    <cellStyle name="Comma 4 7 5" xfId="1978" xr:uid="{00000000-0005-0000-0000-0000770A0000}"/>
    <cellStyle name="Comma 4 7 5 2" xfId="4207" xr:uid="{00000000-0005-0000-0000-0000780A0000}"/>
    <cellStyle name="Comma 4 7 5 2 2" xfId="8430" xr:uid="{00000000-0005-0000-0000-0000790A0000}"/>
    <cellStyle name="Comma 4 7 5 2 2 2" xfId="16872" xr:uid="{EA9022FB-D7D8-4D90-94AD-CAFD83278DF1}"/>
    <cellStyle name="Comma 4 7 5 2 3" xfId="12654" xr:uid="{3EF59064-EB12-4536-B05D-BDCA42D238FD}"/>
    <cellStyle name="Comma 4 7 5 3" xfId="6285" xr:uid="{00000000-0005-0000-0000-00007A0A0000}"/>
    <cellStyle name="Comma 4 7 5 3 2" xfId="14727" xr:uid="{23EC664F-3710-4D6A-9797-974D62CEAFCC}"/>
    <cellStyle name="Comma 4 7 5 4" xfId="10509" xr:uid="{B1AA1F6E-9CB6-4E28-850F-D13C70E71D87}"/>
    <cellStyle name="Comma 4 7 6" xfId="2413" xr:uid="{00000000-0005-0000-0000-00007B0A0000}"/>
    <cellStyle name="Comma 4 7 6 2" xfId="6698" xr:uid="{00000000-0005-0000-0000-00007C0A0000}"/>
    <cellStyle name="Comma 4 7 6 2 2" xfId="15140" xr:uid="{265E461C-7C7B-4019-85F5-0098B64BBF29}"/>
    <cellStyle name="Comma 4 7 6 3" xfId="10922" xr:uid="{82755E7D-56E4-4416-9136-DDA602B7F06D}"/>
    <cellStyle name="Comma 4 7 7" xfId="2709" xr:uid="{00000000-0005-0000-0000-00007D0A0000}"/>
    <cellStyle name="Comma 4 7 8" xfId="2791" xr:uid="{00000000-0005-0000-0000-00007E0A0000}"/>
    <cellStyle name="Comma 4 7 8 2" xfId="7015" xr:uid="{00000000-0005-0000-0000-00007F0A0000}"/>
    <cellStyle name="Comma 4 7 8 2 2" xfId="15457" xr:uid="{C0077024-C570-4038-AFBB-24B04F6DF134}"/>
    <cellStyle name="Comma 4 7 8 3" xfId="11239" xr:uid="{44B1E1F0-0B27-465B-9A11-41F22D5DF33F}"/>
    <cellStyle name="Comma 4 7 9" xfId="4632" xr:uid="{00000000-0005-0000-0000-0000800A0000}"/>
    <cellStyle name="Comma 4 7 9 2" xfId="13074" xr:uid="{E2704D8C-312E-4DA8-8D00-BD1F1F33222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9C6C9205-6B93-4C7C-B5D1-0D2EC2670872}"/>
    <cellStyle name="Comma0" xfId="17167" xr:uid="{DDA90121-1EC6-4F62-BE94-D14F6EA6C5B3}"/>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2FB6BAD8-2478-4C81-914B-C60DD58C1AE8}"/>
    <cellStyle name="Currency 14 3" xfId="8720" xr:uid="{729B09A7-2394-4D7C-912C-1471FB3455A3}"/>
    <cellStyle name="Currency 14 3 2" xfId="8724" xr:uid="{1945FB0F-31EC-4D98-B64C-BAFBADA341A1}"/>
    <cellStyle name="Currency 14 3 2 2" xfId="8727" xr:uid="{03BA8DEE-11D2-406B-B26D-8EE163916FB0}"/>
    <cellStyle name="Currency 14 3 2 3" xfId="17165" xr:uid="{FE066819-E709-4A8D-99EA-28470B5C1286}"/>
    <cellStyle name="Currency 14 3 3" xfId="17162" xr:uid="{260D8B42-8836-4C6B-BAF1-6B6EE4FCE4AF}"/>
    <cellStyle name="Currency 14 4" xfId="12945" xr:uid="{E1910B68-870F-4FBE-9E70-B1BA2829728E}"/>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87FE4287-1A9D-4B64-9E2A-A2E8DBFF2BA4}"/>
    <cellStyle name="Currency 3 2 2 10 3" xfId="11240" xr:uid="{9741430C-6818-4521-A6A4-A0C84F488482}"/>
    <cellStyle name="Currency 3 2 2 11" xfId="4633" xr:uid="{00000000-0005-0000-0000-0000A50A0000}"/>
    <cellStyle name="Currency 3 2 2 11 2" xfId="13075" xr:uid="{347C2A4A-2696-482A-830C-B6CC938004E2}"/>
    <cellStyle name="Currency 3 2 2 12" xfId="8857" xr:uid="{5BEBB08C-49CB-454C-B274-B39B3DA762A6}"/>
    <cellStyle name="Currency 3 2 2 2" xfId="179" xr:uid="{00000000-0005-0000-0000-0000A60A0000}"/>
    <cellStyle name="Currency 3 2 2 2 10" xfId="4634" xr:uid="{00000000-0005-0000-0000-0000A70A0000}"/>
    <cellStyle name="Currency 3 2 2 2 10 2" xfId="13076" xr:uid="{301B5BCD-25E2-41EA-AE7F-5F7E923423EC}"/>
    <cellStyle name="Currency 3 2 2 2 11" xfId="8858" xr:uid="{743CB9E6-49E3-4A42-AF39-E8763D097176}"/>
    <cellStyle name="Currency 3 2 2 2 2" xfId="180" xr:uid="{00000000-0005-0000-0000-0000A80A0000}"/>
    <cellStyle name="Currency 3 2 2 2 2 10" xfId="8859" xr:uid="{66610B9E-6D13-4746-96B4-E5D5BBE76E33}"/>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F49F6D85-F04F-44D8-B483-16614D0EE21B}"/>
    <cellStyle name="Currency 3 2 2 2 2 2 2 3" xfId="11418" xr:uid="{4CE6A887-E57B-4F8E-A10B-DB06EBA28F78}"/>
    <cellStyle name="Currency 3 2 2 2 2 2 3" xfId="5049" xr:uid="{00000000-0005-0000-0000-0000AC0A0000}"/>
    <cellStyle name="Currency 3 2 2 2 2 2 3 2" xfId="13491" xr:uid="{7400C937-59B3-4ECF-B30D-4D1BF9427C06}"/>
    <cellStyle name="Currency 3 2 2 2 2 2 4" xfId="9273" xr:uid="{709BCF66-CA5A-4D9E-933A-598FB82D088E}"/>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11D6A9FC-ACC8-47AD-AC0A-CEC2E6B582F2}"/>
    <cellStyle name="Currency 3 2 2 2 2 3 2 3" xfId="11831" xr:uid="{5AFEFB04-C166-44F0-A754-9FBEC63BC8FB}"/>
    <cellStyle name="Currency 3 2 2 2 2 3 3" xfId="5462" xr:uid="{00000000-0005-0000-0000-0000B00A0000}"/>
    <cellStyle name="Currency 3 2 2 2 2 3 3 2" xfId="13904" xr:uid="{20CD3AD5-BC25-4239-841C-7DB8847007F3}"/>
    <cellStyle name="Currency 3 2 2 2 2 3 4" xfId="9686" xr:uid="{0CAB442F-9CA2-4CEC-894A-083EE9630BAA}"/>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E6937221-8EB2-4161-B44C-AB22B07D02C2}"/>
    <cellStyle name="Currency 3 2 2 2 2 4 2 3" xfId="12244" xr:uid="{4EA3BA82-F313-4A6B-BC5E-BE48BAF42515}"/>
    <cellStyle name="Currency 3 2 2 2 2 4 3" xfId="5875" xr:uid="{00000000-0005-0000-0000-0000B40A0000}"/>
    <cellStyle name="Currency 3 2 2 2 2 4 3 2" xfId="14317" xr:uid="{EB512591-EB98-44A0-9CB3-D3781EDAC235}"/>
    <cellStyle name="Currency 3 2 2 2 2 4 4" xfId="10099" xr:uid="{AC5E2DDC-533D-4B85-96E5-9298545B4F78}"/>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9E987C7E-3566-485C-BB22-AD1D3407A0C2}"/>
    <cellStyle name="Currency 3 2 2 2 2 5 2 3" xfId="12657" xr:uid="{E72C5ADB-7DA3-4D71-9042-8612749C11BD}"/>
    <cellStyle name="Currency 3 2 2 2 2 5 3" xfId="6288" xr:uid="{00000000-0005-0000-0000-0000B80A0000}"/>
    <cellStyle name="Currency 3 2 2 2 2 5 3 2" xfId="14730" xr:uid="{4D6E0E34-EB2E-4A12-B3D5-41101D62DB8D}"/>
    <cellStyle name="Currency 3 2 2 2 2 5 4" xfId="10512" xr:uid="{F4D869FF-87B5-4960-AA35-2F83367C1299}"/>
    <cellStyle name="Currency 3 2 2 2 2 6" xfId="2416" xr:uid="{00000000-0005-0000-0000-0000B90A0000}"/>
    <cellStyle name="Currency 3 2 2 2 2 6 2" xfId="6701" xr:uid="{00000000-0005-0000-0000-0000BA0A0000}"/>
    <cellStyle name="Currency 3 2 2 2 2 6 2 2" xfId="15143" xr:uid="{4333E7AC-4226-4FA7-84B0-B6A79C43289F}"/>
    <cellStyle name="Currency 3 2 2 2 2 6 3" xfId="10925" xr:uid="{518AF604-B7B6-4D18-A705-EDD8B269B775}"/>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E1118C96-B866-436C-BABB-DA4896296EB2}"/>
    <cellStyle name="Currency 3 2 2 2 2 8 3" xfId="11242" xr:uid="{0D723738-0422-46D3-BB9C-55CB62752BEA}"/>
    <cellStyle name="Currency 3 2 2 2 2 9" xfId="4635" xr:uid="{00000000-0005-0000-0000-0000BE0A0000}"/>
    <cellStyle name="Currency 3 2 2 2 2 9 2" xfId="13077" xr:uid="{B03924C2-B1D7-4F6F-A1BF-5A4B5EBCFA88}"/>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D09AB0E2-8E8E-4DC3-8C6D-167E50ADFC4E}"/>
    <cellStyle name="Currency 3 2 2 2 3 2 3" xfId="11417" xr:uid="{CE0477B0-E016-49C0-B15D-973A29364712}"/>
    <cellStyle name="Currency 3 2 2 2 3 3" xfId="5048" xr:uid="{00000000-0005-0000-0000-0000C20A0000}"/>
    <cellStyle name="Currency 3 2 2 2 3 3 2" xfId="13490" xr:uid="{D89B62CC-C1F8-4F7D-84DA-0DE267AF17F2}"/>
    <cellStyle name="Currency 3 2 2 2 3 4" xfId="9272" xr:uid="{18C523AF-F9CD-48F7-8D73-BCD34F1AB3E8}"/>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5D25932F-28EB-434A-9F45-D77D42C84ADA}"/>
    <cellStyle name="Currency 3 2 2 2 4 2 3" xfId="11830" xr:uid="{15E1646B-F38C-49CE-A83A-10958AD868F8}"/>
    <cellStyle name="Currency 3 2 2 2 4 3" xfId="5461" xr:uid="{00000000-0005-0000-0000-0000C60A0000}"/>
    <cellStyle name="Currency 3 2 2 2 4 3 2" xfId="13903" xr:uid="{4B0AD13F-7349-4DC2-93E0-CF2341E31EE5}"/>
    <cellStyle name="Currency 3 2 2 2 4 4" xfId="9685" xr:uid="{6ECAD4C0-6AAE-4AA9-887A-9F24C1A9FDD3}"/>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9AE32A26-24F6-4C16-B50F-F51AF87E52C1}"/>
    <cellStyle name="Currency 3 2 2 2 5 2 3" xfId="12243" xr:uid="{F5E536B9-6D0F-426C-A042-9CFB9ECF3D32}"/>
    <cellStyle name="Currency 3 2 2 2 5 3" xfId="5874" xr:uid="{00000000-0005-0000-0000-0000CA0A0000}"/>
    <cellStyle name="Currency 3 2 2 2 5 3 2" xfId="14316" xr:uid="{A38806B8-1381-475B-A8AC-D2D20A274142}"/>
    <cellStyle name="Currency 3 2 2 2 5 4" xfId="10098" xr:uid="{1F3D6226-F981-4860-A09D-414740EF8698}"/>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DDDCA025-A111-43DD-B6F1-066114C2619A}"/>
    <cellStyle name="Currency 3 2 2 2 6 2 3" xfId="12656" xr:uid="{26DA10CA-6761-4092-A431-CD307A1AE4A7}"/>
    <cellStyle name="Currency 3 2 2 2 6 3" xfId="6287" xr:uid="{00000000-0005-0000-0000-0000CE0A0000}"/>
    <cellStyle name="Currency 3 2 2 2 6 3 2" xfId="14729" xr:uid="{D415118C-FCB5-40BF-8B0E-1A0AB17D742D}"/>
    <cellStyle name="Currency 3 2 2 2 6 4" xfId="10511" xr:uid="{6CDD48AD-0D4A-4208-BE8B-0DA8A55569A7}"/>
    <cellStyle name="Currency 3 2 2 2 7" xfId="2415" xr:uid="{00000000-0005-0000-0000-0000CF0A0000}"/>
    <cellStyle name="Currency 3 2 2 2 7 2" xfId="6700" xr:uid="{00000000-0005-0000-0000-0000D00A0000}"/>
    <cellStyle name="Currency 3 2 2 2 7 2 2" xfId="15142" xr:uid="{B5E4EE50-F715-4589-AE8B-DB847FF573AC}"/>
    <cellStyle name="Currency 3 2 2 2 7 3" xfId="10924" xr:uid="{CB5A1480-C473-411F-B9C6-6D41ABBCD124}"/>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EA408704-6C55-4F5F-B3AE-C5580E6C2F77}"/>
    <cellStyle name="Currency 3 2 2 2 9 3" xfId="11241" xr:uid="{33459D71-DC94-49FE-803A-8F9272A824E0}"/>
    <cellStyle name="Currency 3 2 2 3" xfId="181" xr:uid="{00000000-0005-0000-0000-0000D40A0000}"/>
    <cellStyle name="Currency 3 2 2 3 10" xfId="8860" xr:uid="{4DEB15D0-26B5-4363-B67E-134ACD73214A}"/>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8F6EB407-FAC6-4323-83EB-A20C941D7175}"/>
    <cellStyle name="Currency 3 2 2 3 2 2 3" xfId="11419" xr:uid="{E21B9979-E387-4B8B-BCE4-268CB0BAA1DF}"/>
    <cellStyle name="Currency 3 2 2 3 2 3" xfId="5050" xr:uid="{00000000-0005-0000-0000-0000D80A0000}"/>
    <cellStyle name="Currency 3 2 2 3 2 3 2" xfId="13492" xr:uid="{FCAE431C-BD07-4254-843C-2CE202D46A74}"/>
    <cellStyle name="Currency 3 2 2 3 2 4" xfId="9274" xr:uid="{363D24AE-3146-4981-ACA5-CDDADD4EE37E}"/>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0EB1F89C-23DB-48B0-B4DC-C9ADDB0398D6}"/>
    <cellStyle name="Currency 3 2 2 3 3 2 3" xfId="11832" xr:uid="{43B5F360-CDB2-4923-88C3-519B4DD9F19E}"/>
    <cellStyle name="Currency 3 2 2 3 3 3" xfId="5463" xr:uid="{00000000-0005-0000-0000-0000DC0A0000}"/>
    <cellStyle name="Currency 3 2 2 3 3 3 2" xfId="13905" xr:uid="{3AAB8248-5167-4F59-8B60-2881BDBC25D8}"/>
    <cellStyle name="Currency 3 2 2 3 3 4" xfId="9687" xr:uid="{CA0E8BCF-6670-40DE-974D-98E95F93DCE3}"/>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38C39B31-63D1-41E3-9661-11F1E129A9BC}"/>
    <cellStyle name="Currency 3 2 2 3 4 2 3" xfId="12245" xr:uid="{2614589F-B643-427C-A86E-E43C4E4C775D}"/>
    <cellStyle name="Currency 3 2 2 3 4 3" xfId="5876" xr:uid="{00000000-0005-0000-0000-0000E00A0000}"/>
    <cellStyle name="Currency 3 2 2 3 4 3 2" xfId="14318" xr:uid="{79F37D97-C666-4A79-AA76-A76A3A595BDF}"/>
    <cellStyle name="Currency 3 2 2 3 4 4" xfId="10100" xr:uid="{6E17287E-0E10-47EC-AB32-D98CBB31BD54}"/>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0C12B511-EC66-420E-925E-29C69BAB5C62}"/>
    <cellStyle name="Currency 3 2 2 3 5 2 3" xfId="12658" xr:uid="{DD3D3289-0FDB-471E-975C-A0B2AB2A416C}"/>
    <cellStyle name="Currency 3 2 2 3 5 3" xfId="6289" xr:uid="{00000000-0005-0000-0000-0000E40A0000}"/>
    <cellStyle name="Currency 3 2 2 3 5 3 2" xfId="14731" xr:uid="{11A74F64-BF6E-4861-A708-581937A79439}"/>
    <cellStyle name="Currency 3 2 2 3 5 4" xfId="10513" xr:uid="{69B76786-DF60-43FA-9F11-F002DED85FAC}"/>
    <cellStyle name="Currency 3 2 2 3 6" xfId="2417" xr:uid="{00000000-0005-0000-0000-0000E50A0000}"/>
    <cellStyle name="Currency 3 2 2 3 6 2" xfId="6702" xr:uid="{00000000-0005-0000-0000-0000E60A0000}"/>
    <cellStyle name="Currency 3 2 2 3 6 2 2" xfId="15144" xr:uid="{CA7F98AE-2824-4F29-B538-934AA88CEDA8}"/>
    <cellStyle name="Currency 3 2 2 3 6 3" xfId="10926" xr:uid="{2EC7EE95-AE85-4B5D-8720-52D2C4143DC7}"/>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B84D5BD2-CC29-4CFB-84F4-E88C81D5D662}"/>
    <cellStyle name="Currency 3 2 2 3 8 3" xfId="11243" xr:uid="{90C49A53-C0AA-4C20-9162-BDE67BAE0B3D}"/>
    <cellStyle name="Currency 3 2 2 3 9" xfId="4636" xr:uid="{00000000-0005-0000-0000-0000EA0A0000}"/>
    <cellStyle name="Currency 3 2 2 3 9 2" xfId="13078" xr:uid="{5CBF6091-A69F-4483-AE4B-F689BF884C18}"/>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85272843-BC4E-41D2-B783-E805F7AF2C59}"/>
    <cellStyle name="Currency 3 2 2 4 2 3" xfId="11416" xr:uid="{88DB3EDE-9964-4A6E-988C-09721F9C7322}"/>
    <cellStyle name="Currency 3 2 2 4 3" xfId="5047" xr:uid="{00000000-0005-0000-0000-0000EE0A0000}"/>
    <cellStyle name="Currency 3 2 2 4 3 2" xfId="13489" xr:uid="{CBBDADD1-E345-430C-9E33-05599E010289}"/>
    <cellStyle name="Currency 3 2 2 4 4" xfId="9271" xr:uid="{258F149D-2FF8-4A8F-8218-295FAF2B224E}"/>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AB5822EC-E5E5-430B-91F9-0EC1106BE66C}"/>
    <cellStyle name="Currency 3 2 2 5 2 3" xfId="11829" xr:uid="{3D4F9929-B354-4CFE-A5EA-42D38206C75A}"/>
    <cellStyle name="Currency 3 2 2 5 3" xfId="5460" xr:uid="{00000000-0005-0000-0000-0000F20A0000}"/>
    <cellStyle name="Currency 3 2 2 5 3 2" xfId="13902" xr:uid="{C07E744E-6321-4F1B-81A6-2AA06E35D7C3}"/>
    <cellStyle name="Currency 3 2 2 5 4" xfId="9684" xr:uid="{4DA1AE33-2AF5-4488-A0A8-8F7E40148851}"/>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42E11311-5ACD-4CF1-ABAD-7C9F73C84740}"/>
    <cellStyle name="Currency 3 2 2 6 2 3" xfId="12242" xr:uid="{E013B5DA-8509-42EA-987D-2A275CB2C29D}"/>
    <cellStyle name="Currency 3 2 2 6 3" xfId="5873" xr:uid="{00000000-0005-0000-0000-0000F60A0000}"/>
    <cellStyle name="Currency 3 2 2 6 3 2" xfId="14315" xr:uid="{9E667C8D-58F8-4DC5-8128-EB1CE986E2EF}"/>
    <cellStyle name="Currency 3 2 2 6 4" xfId="10097" xr:uid="{D3A9DABD-3C11-4C19-A51A-290D7D0632F4}"/>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D38B5973-F63D-42C2-929F-6E791A45F2EB}"/>
    <cellStyle name="Currency 3 2 2 7 2 3" xfId="12655" xr:uid="{18F21FA3-B48E-47B2-A5FF-D21423DB3CFD}"/>
    <cellStyle name="Currency 3 2 2 7 3" xfId="6286" xr:uid="{00000000-0005-0000-0000-0000FA0A0000}"/>
    <cellStyle name="Currency 3 2 2 7 3 2" xfId="14728" xr:uid="{2A3829CA-C618-4CF4-872C-7FE045858F9F}"/>
    <cellStyle name="Currency 3 2 2 7 4" xfId="10510" xr:uid="{134220A6-2B5B-4996-819A-8AED46CB49E1}"/>
    <cellStyle name="Currency 3 2 2 8" xfId="2414" xr:uid="{00000000-0005-0000-0000-0000FB0A0000}"/>
    <cellStyle name="Currency 3 2 2 8 2" xfId="6699" xr:uid="{00000000-0005-0000-0000-0000FC0A0000}"/>
    <cellStyle name="Currency 3 2 2 8 2 2" xfId="15141" xr:uid="{0BB16AC3-4E8B-450B-9EA4-5FD0ACB699EB}"/>
    <cellStyle name="Currency 3 2 2 8 3" xfId="10923" xr:uid="{9412CCA3-F68B-42DA-A50C-1504809200FF}"/>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D07BD425-2299-41D9-89E0-8C135B83BFA5}"/>
    <cellStyle name="Currency 3 2 3 11" xfId="8861" xr:uid="{61A54D04-6990-47C5-A211-1A32C603B4AA}"/>
    <cellStyle name="Currency 3 2 3 2" xfId="183" xr:uid="{00000000-0005-0000-0000-0000000B0000}"/>
    <cellStyle name="Currency 3 2 3 2 10" xfId="8862" xr:uid="{7F249368-9C8E-4823-A70D-2A2C156C9342}"/>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67A4C2E2-3732-46BF-BE4A-92BF537D7157}"/>
    <cellStyle name="Currency 3 2 3 2 2 2 3" xfId="11421" xr:uid="{4E0C7463-BD21-4BC9-B435-AEFA42FD31F2}"/>
    <cellStyle name="Currency 3 2 3 2 2 3" xfId="5052" xr:uid="{00000000-0005-0000-0000-0000040B0000}"/>
    <cellStyle name="Currency 3 2 3 2 2 3 2" xfId="13494" xr:uid="{96C16F5A-9F9E-4568-854F-7DE40185B060}"/>
    <cellStyle name="Currency 3 2 3 2 2 4" xfId="9276" xr:uid="{50D12B8F-9B43-423F-9E2C-B596CBA9AD67}"/>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995ACC56-54C2-4D34-99D0-864FDE3D5EDE}"/>
    <cellStyle name="Currency 3 2 3 2 3 2 3" xfId="11834" xr:uid="{394AD0B9-F28C-4750-9E80-30683A1B8CE7}"/>
    <cellStyle name="Currency 3 2 3 2 3 3" xfId="5465" xr:uid="{00000000-0005-0000-0000-0000080B0000}"/>
    <cellStyle name="Currency 3 2 3 2 3 3 2" xfId="13907" xr:uid="{866ED894-D000-4608-A079-23AAFB941C0B}"/>
    <cellStyle name="Currency 3 2 3 2 3 4" xfId="9689" xr:uid="{6CE37F0E-D087-40E0-86AE-573460EB0A9D}"/>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E9488C29-88FF-4675-937B-D8833BC8A563}"/>
    <cellStyle name="Currency 3 2 3 2 4 2 3" xfId="12247" xr:uid="{0EA5A492-3DC9-4000-BBAC-3216A5757B23}"/>
    <cellStyle name="Currency 3 2 3 2 4 3" xfId="5878" xr:uid="{00000000-0005-0000-0000-00000C0B0000}"/>
    <cellStyle name="Currency 3 2 3 2 4 3 2" xfId="14320" xr:uid="{018C44FD-F8C6-43EF-A385-87CE3BC2BFFE}"/>
    <cellStyle name="Currency 3 2 3 2 4 4" xfId="10102" xr:uid="{F7DC7E40-2EDF-4793-B433-8CFE0D15DE8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9C359901-C8E2-438E-8978-B3D28D677323}"/>
    <cellStyle name="Currency 3 2 3 2 5 2 3" xfId="12660" xr:uid="{3D6967DA-D0A0-438C-B67E-1087028E1C7E}"/>
    <cellStyle name="Currency 3 2 3 2 5 3" xfId="6291" xr:uid="{00000000-0005-0000-0000-0000100B0000}"/>
    <cellStyle name="Currency 3 2 3 2 5 3 2" xfId="14733" xr:uid="{D7DF283C-A82B-4CCE-BF0C-3DCF97BB7E65}"/>
    <cellStyle name="Currency 3 2 3 2 5 4" xfId="10515" xr:uid="{D2F55376-0945-4D8F-ACC0-FD15E809CF91}"/>
    <cellStyle name="Currency 3 2 3 2 6" xfId="2419" xr:uid="{00000000-0005-0000-0000-0000110B0000}"/>
    <cellStyle name="Currency 3 2 3 2 6 2" xfId="6704" xr:uid="{00000000-0005-0000-0000-0000120B0000}"/>
    <cellStyle name="Currency 3 2 3 2 6 2 2" xfId="15146" xr:uid="{3BF37958-F50D-4B4D-8749-B6A52625BC74}"/>
    <cellStyle name="Currency 3 2 3 2 6 3" xfId="10928" xr:uid="{954AE6C6-515B-4138-8CB1-4EB5DFD46CF7}"/>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21457D34-5AEA-46E6-A7FF-958F8DC046C4}"/>
    <cellStyle name="Currency 3 2 3 2 8 3" xfId="11245" xr:uid="{CC63A57E-DAB9-41B1-9740-66E4DC6706E5}"/>
    <cellStyle name="Currency 3 2 3 2 9" xfId="4638" xr:uid="{00000000-0005-0000-0000-0000160B0000}"/>
    <cellStyle name="Currency 3 2 3 2 9 2" xfId="13080" xr:uid="{6F776F7C-1230-4398-BC6F-F5613E721D25}"/>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71C9C913-B4D9-4641-AA82-72B0E08B06C8}"/>
    <cellStyle name="Currency 3 2 3 3 2 3" xfId="11420" xr:uid="{F4B68BA7-50B6-43EE-B3AA-CB78B4656A3B}"/>
    <cellStyle name="Currency 3 2 3 3 3" xfId="5051" xr:uid="{00000000-0005-0000-0000-00001A0B0000}"/>
    <cellStyle name="Currency 3 2 3 3 3 2" xfId="13493" xr:uid="{4B60FE58-7BEA-4369-8A5F-C838F42093AC}"/>
    <cellStyle name="Currency 3 2 3 3 4" xfId="9275" xr:uid="{ED6EACF9-A345-4468-9AB6-D6648DA36F1E}"/>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97B6FCAE-B6C3-4C9B-A829-C0297D44C728}"/>
    <cellStyle name="Currency 3 2 3 4 2 3" xfId="11833" xr:uid="{E8466027-40BE-44EF-ADCA-278EF843C474}"/>
    <cellStyle name="Currency 3 2 3 4 3" xfId="5464" xr:uid="{00000000-0005-0000-0000-00001E0B0000}"/>
    <cellStyle name="Currency 3 2 3 4 3 2" xfId="13906" xr:uid="{9E31A386-AA47-43C4-B5F8-A73A839ADD20}"/>
    <cellStyle name="Currency 3 2 3 4 4" xfId="9688" xr:uid="{A45D0D78-DE77-4367-9460-5BCB3A5B4E2F}"/>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82FF4C2D-0CD8-423A-BC2A-F154B74B3A96}"/>
    <cellStyle name="Currency 3 2 3 5 2 3" xfId="12246" xr:uid="{CC3C5820-5A0B-4D5D-9CA6-78972FA834FF}"/>
    <cellStyle name="Currency 3 2 3 5 3" xfId="5877" xr:uid="{00000000-0005-0000-0000-0000220B0000}"/>
    <cellStyle name="Currency 3 2 3 5 3 2" xfId="14319" xr:uid="{C870F95C-8806-4126-B7B1-643D40FF144E}"/>
    <cellStyle name="Currency 3 2 3 5 4" xfId="10101" xr:uid="{1A7FDD55-F157-42C2-BB80-8199A36D5055}"/>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E7A1104B-07C2-41CF-9831-0A9851ECB990}"/>
    <cellStyle name="Currency 3 2 3 6 2 3" xfId="12659" xr:uid="{7C1371D2-B634-49FD-BCAA-386ADAAC5518}"/>
    <cellStyle name="Currency 3 2 3 6 3" xfId="6290" xr:uid="{00000000-0005-0000-0000-0000260B0000}"/>
    <cellStyle name="Currency 3 2 3 6 3 2" xfId="14732" xr:uid="{657AE3F9-17EF-4E37-ACE2-EA8960F906B3}"/>
    <cellStyle name="Currency 3 2 3 6 4" xfId="10514" xr:uid="{69AA0A72-92DE-4ADC-BA72-DA8FEB77B8A4}"/>
    <cellStyle name="Currency 3 2 3 7" xfId="2418" xr:uid="{00000000-0005-0000-0000-0000270B0000}"/>
    <cellStyle name="Currency 3 2 3 7 2" xfId="6703" xr:uid="{00000000-0005-0000-0000-0000280B0000}"/>
    <cellStyle name="Currency 3 2 3 7 2 2" xfId="15145" xr:uid="{DB911AB6-D8BE-4413-B50A-AB291837345E}"/>
    <cellStyle name="Currency 3 2 3 7 3" xfId="10927" xr:uid="{AB0AFE2F-15E2-4618-AE17-D9EB1498F715}"/>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F77B9668-7C52-4140-8901-95691A483F2A}"/>
    <cellStyle name="Currency 3 2 3 9 3" xfId="11244" xr:uid="{B238F9DE-5DDD-4EC0-A089-F9600427436B}"/>
    <cellStyle name="Currency 3 2 4" xfId="184" xr:uid="{00000000-0005-0000-0000-00002C0B0000}"/>
    <cellStyle name="Currency 3 2 4 10" xfId="8863" xr:uid="{B230FCCB-E610-4F50-A1C7-4C7B440869D7}"/>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1990A645-AD38-4F15-A16E-D4CBD9E3875C}"/>
    <cellStyle name="Currency 3 2 4 2 2 3" xfId="11422" xr:uid="{4C03F507-8DFA-4E47-AB6C-2B24170D214F}"/>
    <cellStyle name="Currency 3 2 4 2 3" xfId="5053" xr:uid="{00000000-0005-0000-0000-0000300B0000}"/>
    <cellStyle name="Currency 3 2 4 2 3 2" xfId="13495" xr:uid="{8D6E40DF-0AEC-4850-8D41-2E5334DF142B}"/>
    <cellStyle name="Currency 3 2 4 2 4" xfId="9277" xr:uid="{61AB5287-3FD7-4A8E-85E6-9AFB79430819}"/>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D29F7B1A-8F92-4BC7-B7CA-6A65BF045605}"/>
    <cellStyle name="Currency 3 2 4 3 2 3" xfId="11835" xr:uid="{B8D5BE65-3ACF-490C-AE2C-B619982DC04C}"/>
    <cellStyle name="Currency 3 2 4 3 3" xfId="5466" xr:uid="{00000000-0005-0000-0000-0000340B0000}"/>
    <cellStyle name="Currency 3 2 4 3 3 2" xfId="13908" xr:uid="{81099700-A382-4A87-B1E9-2AEF5DEBEAC0}"/>
    <cellStyle name="Currency 3 2 4 3 4" xfId="9690" xr:uid="{3BB5068B-74FC-435D-A72D-C4374BDC5E37}"/>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43AE6B88-38F3-46E4-98A3-A728CFF12D20}"/>
    <cellStyle name="Currency 3 2 4 4 2 3" xfId="12248" xr:uid="{03571D3B-9B64-488B-8E02-88D7CECC0551}"/>
    <cellStyle name="Currency 3 2 4 4 3" xfId="5879" xr:uid="{00000000-0005-0000-0000-0000380B0000}"/>
    <cellStyle name="Currency 3 2 4 4 3 2" xfId="14321" xr:uid="{5C925300-2D52-4682-ADE9-54CFED1D89B8}"/>
    <cellStyle name="Currency 3 2 4 4 4" xfId="10103" xr:uid="{C80F441F-C007-4DDD-AEB1-518F87616E5C}"/>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8464F71A-5FBC-4787-BD2C-7A8C3C893996}"/>
    <cellStyle name="Currency 3 2 4 5 2 3" xfId="12661" xr:uid="{BC1A08AE-C66C-4F55-843C-F8B349525BCC}"/>
    <cellStyle name="Currency 3 2 4 5 3" xfId="6292" xr:uid="{00000000-0005-0000-0000-00003C0B0000}"/>
    <cellStyle name="Currency 3 2 4 5 3 2" xfId="14734" xr:uid="{AEDEED69-00ED-41C7-BDB3-887B0969268F}"/>
    <cellStyle name="Currency 3 2 4 5 4" xfId="10516" xr:uid="{9EFA99B7-3EC0-4BF4-81C8-E196E2B45ED2}"/>
    <cellStyle name="Currency 3 2 4 6" xfId="2420" xr:uid="{00000000-0005-0000-0000-00003D0B0000}"/>
    <cellStyle name="Currency 3 2 4 6 2" xfId="6705" xr:uid="{00000000-0005-0000-0000-00003E0B0000}"/>
    <cellStyle name="Currency 3 2 4 6 2 2" xfId="15147" xr:uid="{49348DE2-4746-47BF-9BD7-905B8FDDE6F4}"/>
    <cellStyle name="Currency 3 2 4 6 3" xfId="10929" xr:uid="{02995A93-4042-4E01-AF86-D1698322AC9F}"/>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9F1EBD76-8D48-443E-A448-CA1DEE3E38F2}"/>
    <cellStyle name="Currency 3 2 4 8 3" xfId="11246" xr:uid="{7D14269E-89AC-40BA-B31A-F6F79AF2950D}"/>
    <cellStyle name="Currency 3 2 4 9" xfId="4639" xr:uid="{00000000-0005-0000-0000-0000420B0000}"/>
    <cellStyle name="Currency 3 2 4 9 2" xfId="13081" xr:uid="{C9E5A8DE-F003-4F7E-B76F-8F1F8BDAD912}"/>
    <cellStyle name="Currency 3 2 5" xfId="185" xr:uid="{00000000-0005-0000-0000-0000430B0000}"/>
    <cellStyle name="Currency 3 2 5 10" xfId="8864" xr:uid="{82743C9B-ADBB-4231-8E4A-6BBD19C7F4FA}"/>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72C1E40E-7287-4A73-B737-B89B190D4C91}"/>
    <cellStyle name="Currency 3 2 5 2 2 3" xfId="11423" xr:uid="{F5AE17D9-0E2D-4F65-AFEC-AB243FCA628A}"/>
    <cellStyle name="Currency 3 2 5 2 3" xfId="5054" xr:uid="{00000000-0005-0000-0000-0000470B0000}"/>
    <cellStyle name="Currency 3 2 5 2 3 2" xfId="13496" xr:uid="{0F31088D-DA3D-4AC3-BD5F-619EFC3427DA}"/>
    <cellStyle name="Currency 3 2 5 2 4" xfId="9278" xr:uid="{E8601AD0-7EEE-487B-BA6E-5D85FE2FB769}"/>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98A4F4CF-C0F5-44AF-9EC2-92AE346D7418}"/>
    <cellStyle name="Currency 3 2 5 3 2 3" xfId="11836" xr:uid="{1AF35060-A8AF-4E3D-B028-5EFCAD5C4DF9}"/>
    <cellStyle name="Currency 3 2 5 3 3" xfId="5467" xr:uid="{00000000-0005-0000-0000-00004B0B0000}"/>
    <cellStyle name="Currency 3 2 5 3 3 2" xfId="13909" xr:uid="{395BE93F-A9CC-4F16-BED8-FDF142B7BAB4}"/>
    <cellStyle name="Currency 3 2 5 3 4" xfId="9691" xr:uid="{5837FF11-240C-4245-B678-478695258E02}"/>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81A5FDFC-2EC8-4CD3-B7DA-0769C06A6ACC}"/>
    <cellStyle name="Currency 3 2 5 4 2 3" xfId="12249" xr:uid="{54904477-2C2E-46AA-A474-E19B27B65D91}"/>
    <cellStyle name="Currency 3 2 5 4 3" xfId="5880" xr:uid="{00000000-0005-0000-0000-00004F0B0000}"/>
    <cellStyle name="Currency 3 2 5 4 3 2" xfId="14322" xr:uid="{91D02F4B-6EF8-464F-BB5E-0FD9B85E50EF}"/>
    <cellStyle name="Currency 3 2 5 4 4" xfId="10104" xr:uid="{93667408-2D0C-4E99-BB10-6FB1945439E7}"/>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A7959D00-BAE2-4182-82B8-9FC6555E7C86}"/>
    <cellStyle name="Currency 3 2 5 5 2 3" xfId="12662" xr:uid="{6F5150A5-4461-4145-B99C-771F456A3EBF}"/>
    <cellStyle name="Currency 3 2 5 5 3" xfId="6293" xr:uid="{00000000-0005-0000-0000-0000530B0000}"/>
    <cellStyle name="Currency 3 2 5 5 3 2" xfId="14735" xr:uid="{51BE1200-0D20-4A20-94C4-825E31F62291}"/>
    <cellStyle name="Currency 3 2 5 5 4" xfId="10517" xr:uid="{559E16DB-186C-4C84-82FD-9FBF8BDAA202}"/>
    <cellStyle name="Currency 3 2 5 6" xfId="2421" xr:uid="{00000000-0005-0000-0000-0000540B0000}"/>
    <cellStyle name="Currency 3 2 5 6 2" xfId="6706" xr:uid="{00000000-0005-0000-0000-0000550B0000}"/>
    <cellStyle name="Currency 3 2 5 6 2 2" xfId="15148" xr:uid="{5BCA1E12-9C20-4161-B63D-372097905449}"/>
    <cellStyle name="Currency 3 2 5 6 3" xfId="10930" xr:uid="{BF831F71-F661-49F6-B81C-4F4591564963}"/>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D55DAC60-081F-4322-BACF-321AF42A9E80}"/>
    <cellStyle name="Currency 3 2 5 8 3" xfId="11247" xr:uid="{C3143141-9D6B-479F-B798-A57551EE83F5}"/>
    <cellStyle name="Currency 3 2 5 9" xfId="4640" xr:uid="{00000000-0005-0000-0000-0000590B0000}"/>
    <cellStyle name="Currency 3 2 5 9 2" xfId="13082" xr:uid="{15E41F4C-A866-4C05-AE93-65E93353E13B}"/>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22FF8CD4-6008-47CD-A6C8-89DF60150045}"/>
    <cellStyle name="Currency 5 2 2 2 10 3" xfId="11248" xr:uid="{4370B5F0-892E-4CBE-A985-325D61965E8E}"/>
    <cellStyle name="Currency 5 2 2 2 11" xfId="4641" xr:uid="{00000000-0005-0000-0000-00006C0B0000}"/>
    <cellStyle name="Currency 5 2 2 2 11 2" xfId="13083" xr:uid="{72CE9C4B-2242-4EEB-99C9-4B9C50DDAD3A}"/>
    <cellStyle name="Currency 5 2 2 2 12" xfId="8865" xr:uid="{FFAC4068-0913-4F0B-B507-ECB1958C1CEB}"/>
    <cellStyle name="Currency 5 2 2 2 2" xfId="197" xr:uid="{00000000-0005-0000-0000-00006D0B0000}"/>
    <cellStyle name="Currency 5 2 2 2 2 10" xfId="4642" xr:uid="{00000000-0005-0000-0000-00006E0B0000}"/>
    <cellStyle name="Currency 5 2 2 2 2 10 2" xfId="13084" xr:uid="{392222ED-D36E-40DF-8131-44778862109C}"/>
    <cellStyle name="Currency 5 2 2 2 2 11" xfId="8866" xr:uid="{9A0BDAE1-A86F-47BA-AADD-9DACEECC25A7}"/>
    <cellStyle name="Currency 5 2 2 2 2 2" xfId="198" xr:uid="{00000000-0005-0000-0000-00006F0B0000}"/>
    <cellStyle name="Currency 5 2 2 2 2 2 10" xfId="8867" xr:uid="{1B8513F8-47E6-4BF1-B9D4-A1911975D47E}"/>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3C3EC645-02CF-4412-B1F1-DA7C425E8DA9}"/>
    <cellStyle name="Currency 5 2 2 2 2 2 2 2 3" xfId="11426" xr:uid="{F1614640-6E1A-4BDB-BBDA-6044CC06C9D7}"/>
    <cellStyle name="Currency 5 2 2 2 2 2 2 3" xfId="5057" xr:uid="{00000000-0005-0000-0000-0000730B0000}"/>
    <cellStyle name="Currency 5 2 2 2 2 2 2 3 2" xfId="13499" xr:uid="{17E87054-7845-40AB-ABD0-FDE22D51D47D}"/>
    <cellStyle name="Currency 5 2 2 2 2 2 2 4" xfId="9281" xr:uid="{8303826B-36A0-4B5A-B6ED-633C844C8321}"/>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76A2C226-EF57-48FE-BE5D-EFBB59848817}"/>
    <cellStyle name="Currency 5 2 2 2 2 2 3 2 3" xfId="11839" xr:uid="{AD3459D5-686A-4C06-9689-3C69DA77A345}"/>
    <cellStyle name="Currency 5 2 2 2 2 2 3 3" xfId="5470" xr:uid="{00000000-0005-0000-0000-0000770B0000}"/>
    <cellStyle name="Currency 5 2 2 2 2 2 3 3 2" xfId="13912" xr:uid="{E63C7E7F-E1E3-4C92-B265-7C7E296A95A4}"/>
    <cellStyle name="Currency 5 2 2 2 2 2 3 4" xfId="9694" xr:uid="{D9204C9B-F3C6-417D-BCD8-0A26D8C61702}"/>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8810B11C-2533-4E0D-B258-74A2BF693298}"/>
    <cellStyle name="Currency 5 2 2 2 2 2 4 2 3" xfId="12252" xr:uid="{787D5175-DE2C-476A-A0F8-6FACB3ED34E5}"/>
    <cellStyle name="Currency 5 2 2 2 2 2 4 3" xfId="5883" xr:uid="{00000000-0005-0000-0000-00007B0B0000}"/>
    <cellStyle name="Currency 5 2 2 2 2 2 4 3 2" xfId="14325" xr:uid="{9F188C08-3A4F-44D8-BDD2-1DD1523F9C15}"/>
    <cellStyle name="Currency 5 2 2 2 2 2 4 4" xfId="10107" xr:uid="{154EF1D9-E70C-4C3C-B07F-43B19A8BB97A}"/>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66C70A60-B36D-428D-B14E-02112E84F8B8}"/>
    <cellStyle name="Currency 5 2 2 2 2 2 5 2 3" xfId="12665" xr:uid="{8DF7FAFA-A4ED-4D94-A371-1910E572A134}"/>
    <cellStyle name="Currency 5 2 2 2 2 2 5 3" xfId="6296" xr:uid="{00000000-0005-0000-0000-00007F0B0000}"/>
    <cellStyle name="Currency 5 2 2 2 2 2 5 3 2" xfId="14738" xr:uid="{3559A2AD-5AF5-41FD-B23E-CBD472B0B13E}"/>
    <cellStyle name="Currency 5 2 2 2 2 2 5 4" xfId="10520" xr:uid="{25A954C5-0EF9-4A24-9E3F-BC475104922F}"/>
    <cellStyle name="Currency 5 2 2 2 2 2 6" xfId="2424" xr:uid="{00000000-0005-0000-0000-0000800B0000}"/>
    <cellStyle name="Currency 5 2 2 2 2 2 6 2" xfId="6709" xr:uid="{00000000-0005-0000-0000-0000810B0000}"/>
    <cellStyle name="Currency 5 2 2 2 2 2 6 2 2" xfId="15151" xr:uid="{818071A1-8685-49F5-B351-BB961D1769B8}"/>
    <cellStyle name="Currency 5 2 2 2 2 2 6 3" xfId="10933" xr:uid="{9625A04D-B491-4250-AD89-2429D6D4F73A}"/>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64D3F11C-FEDB-41DC-A70A-98B854987134}"/>
    <cellStyle name="Currency 5 2 2 2 2 2 8 3" xfId="11250" xr:uid="{564649A5-76FC-4C44-8762-539EB9374F5D}"/>
    <cellStyle name="Currency 5 2 2 2 2 2 9" xfId="4643" xr:uid="{00000000-0005-0000-0000-0000850B0000}"/>
    <cellStyle name="Currency 5 2 2 2 2 2 9 2" xfId="13085" xr:uid="{437CC3F1-C4CA-4959-81F6-5B00AD79E103}"/>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04C40644-F689-4E34-A1F5-2A0B3236DB28}"/>
    <cellStyle name="Currency 5 2 2 2 2 3 2 3" xfId="11425" xr:uid="{8F060B81-CEAA-40CC-A858-D6D40A3D3897}"/>
    <cellStyle name="Currency 5 2 2 2 2 3 3" xfId="5056" xr:uid="{00000000-0005-0000-0000-0000890B0000}"/>
    <cellStyle name="Currency 5 2 2 2 2 3 3 2" xfId="13498" xr:uid="{57ABA444-038E-4C64-ABD0-000128B9B13B}"/>
    <cellStyle name="Currency 5 2 2 2 2 3 4" xfId="9280" xr:uid="{5C58B1EB-C574-4A0C-BD8D-E232B4432FA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0B3482C6-2359-4068-B970-8DF61C136181}"/>
    <cellStyle name="Currency 5 2 2 2 2 4 2 3" xfId="11838" xr:uid="{3B488893-FCE1-44F2-BB59-4955B673B99A}"/>
    <cellStyle name="Currency 5 2 2 2 2 4 3" xfId="5469" xr:uid="{00000000-0005-0000-0000-00008D0B0000}"/>
    <cellStyle name="Currency 5 2 2 2 2 4 3 2" xfId="13911" xr:uid="{EED7BB78-D24C-4194-9105-D5878680A3DC}"/>
    <cellStyle name="Currency 5 2 2 2 2 4 4" xfId="9693" xr:uid="{EAC0CDCB-461D-483A-9D1E-50496369DB66}"/>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B8356A78-4CD6-4B82-AE0D-D95005BD9D18}"/>
    <cellStyle name="Currency 5 2 2 2 2 5 2 3" xfId="12251" xr:uid="{7A96E4F1-F4D3-4D13-B74B-E5B5D085E879}"/>
    <cellStyle name="Currency 5 2 2 2 2 5 3" xfId="5882" xr:uid="{00000000-0005-0000-0000-0000910B0000}"/>
    <cellStyle name="Currency 5 2 2 2 2 5 3 2" xfId="14324" xr:uid="{95DA9760-B661-4F2E-B834-0762B031E201}"/>
    <cellStyle name="Currency 5 2 2 2 2 5 4" xfId="10106" xr:uid="{5278C76E-1BB1-41C3-BBCB-092DCA38D7F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7D6F3314-7DCE-437F-A1E1-9CD4FB65FF5F}"/>
    <cellStyle name="Currency 5 2 2 2 2 6 2 3" xfId="12664" xr:uid="{B159C447-0635-4224-AEE6-5B33AA149649}"/>
    <cellStyle name="Currency 5 2 2 2 2 6 3" xfId="6295" xr:uid="{00000000-0005-0000-0000-0000950B0000}"/>
    <cellStyle name="Currency 5 2 2 2 2 6 3 2" xfId="14737" xr:uid="{F3B4DEA5-87D9-4BEF-8FEB-4E2E38DA81B9}"/>
    <cellStyle name="Currency 5 2 2 2 2 6 4" xfId="10519" xr:uid="{A6EE717B-E59C-45A2-986D-202A07B9D4D1}"/>
    <cellStyle name="Currency 5 2 2 2 2 7" xfId="2423" xr:uid="{00000000-0005-0000-0000-0000960B0000}"/>
    <cellStyle name="Currency 5 2 2 2 2 7 2" xfId="6708" xr:uid="{00000000-0005-0000-0000-0000970B0000}"/>
    <cellStyle name="Currency 5 2 2 2 2 7 2 2" xfId="15150" xr:uid="{15150FE3-2AE8-4569-876A-A409063FA02D}"/>
    <cellStyle name="Currency 5 2 2 2 2 7 3" xfId="10932" xr:uid="{58419EE8-287F-42C0-B5AA-A2973B6CA4BD}"/>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00A64B9F-A2AC-444B-830C-FD4C60900D62}"/>
    <cellStyle name="Currency 5 2 2 2 2 9 3" xfId="11249" xr:uid="{F31ED4A4-E06B-4068-9D9B-6213296C78C5}"/>
    <cellStyle name="Currency 5 2 2 2 3" xfId="199" xr:uid="{00000000-0005-0000-0000-00009B0B0000}"/>
    <cellStyle name="Currency 5 2 2 2 3 10" xfId="8868" xr:uid="{3282C0AB-4C7C-42AB-A3CD-D44CCD50FD43}"/>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BE53D9A9-9188-4647-B755-46ED142FF982}"/>
    <cellStyle name="Currency 5 2 2 2 3 2 2 3" xfId="11427" xr:uid="{B1185F13-33BA-4223-9558-1F74BF24E834}"/>
    <cellStyle name="Currency 5 2 2 2 3 2 3" xfId="5058" xr:uid="{00000000-0005-0000-0000-00009F0B0000}"/>
    <cellStyle name="Currency 5 2 2 2 3 2 3 2" xfId="13500" xr:uid="{ED56D97C-5B81-4C30-BF68-3EDBC881808F}"/>
    <cellStyle name="Currency 5 2 2 2 3 2 4" xfId="9282" xr:uid="{7009A3F7-ACD3-42B0-8CFC-08736792F325}"/>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353DC6B6-1B9A-4D6B-8C89-58307CD10B79}"/>
    <cellStyle name="Currency 5 2 2 2 3 3 2 3" xfId="11840" xr:uid="{E87EEFD7-8B58-46DC-A7BB-A9C2015D26C2}"/>
    <cellStyle name="Currency 5 2 2 2 3 3 3" xfId="5471" xr:uid="{00000000-0005-0000-0000-0000A30B0000}"/>
    <cellStyle name="Currency 5 2 2 2 3 3 3 2" xfId="13913" xr:uid="{EAD9CAF5-514B-4A5F-A756-685703172BE2}"/>
    <cellStyle name="Currency 5 2 2 2 3 3 4" xfId="9695" xr:uid="{05046EBA-13BE-4CF0-AEBF-1B75250B266E}"/>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B8787799-6AD4-4B66-91CA-F2566F7638FB}"/>
    <cellStyle name="Currency 5 2 2 2 3 4 2 3" xfId="12253" xr:uid="{CAEC68D2-FAF9-4343-9B01-3BC18F7FE527}"/>
    <cellStyle name="Currency 5 2 2 2 3 4 3" xfId="5884" xr:uid="{00000000-0005-0000-0000-0000A70B0000}"/>
    <cellStyle name="Currency 5 2 2 2 3 4 3 2" xfId="14326" xr:uid="{0171546A-B58B-41BC-BAEB-6F361A46C1C8}"/>
    <cellStyle name="Currency 5 2 2 2 3 4 4" xfId="10108" xr:uid="{8917CB4D-AD71-4B46-B06D-A71E13F69224}"/>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6693AEBF-2A4C-440F-AE22-9471E221363D}"/>
    <cellStyle name="Currency 5 2 2 2 3 5 2 3" xfId="12666" xr:uid="{335B4A33-15A0-47A3-A0D6-FC0C0A64DB7A}"/>
    <cellStyle name="Currency 5 2 2 2 3 5 3" xfId="6297" xr:uid="{00000000-0005-0000-0000-0000AB0B0000}"/>
    <cellStyle name="Currency 5 2 2 2 3 5 3 2" xfId="14739" xr:uid="{DA626906-03C6-4464-AD43-7C5B4836BFA4}"/>
    <cellStyle name="Currency 5 2 2 2 3 5 4" xfId="10521" xr:uid="{DFF9595F-CCA2-4E29-89C9-21A2FB529C99}"/>
    <cellStyle name="Currency 5 2 2 2 3 6" xfId="2425" xr:uid="{00000000-0005-0000-0000-0000AC0B0000}"/>
    <cellStyle name="Currency 5 2 2 2 3 6 2" xfId="6710" xr:uid="{00000000-0005-0000-0000-0000AD0B0000}"/>
    <cellStyle name="Currency 5 2 2 2 3 6 2 2" xfId="15152" xr:uid="{4E80D0EA-04E6-4C07-876B-A0368F950FD6}"/>
    <cellStyle name="Currency 5 2 2 2 3 6 3" xfId="10934" xr:uid="{79B3D885-7B8A-4487-9798-3669BCC08025}"/>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B606D11F-3E93-4E99-824F-C6B3E1E9B66C}"/>
    <cellStyle name="Currency 5 2 2 2 3 8 3" xfId="11251" xr:uid="{DF764E32-491A-456E-AC01-EC6109A2C082}"/>
    <cellStyle name="Currency 5 2 2 2 3 9" xfId="4644" xr:uid="{00000000-0005-0000-0000-0000B10B0000}"/>
    <cellStyle name="Currency 5 2 2 2 3 9 2" xfId="13086" xr:uid="{EE7BA4A0-937E-4848-9810-8C8A13D7A9C1}"/>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EAEA4AA3-5697-450C-92B1-2891B9D970CF}"/>
    <cellStyle name="Currency 5 2 2 2 4 2 3" xfId="11424" xr:uid="{EE3BA0F6-45A6-46B9-A716-F9AB44181AD5}"/>
    <cellStyle name="Currency 5 2 2 2 4 3" xfId="5055" xr:uid="{00000000-0005-0000-0000-0000B50B0000}"/>
    <cellStyle name="Currency 5 2 2 2 4 3 2" xfId="13497" xr:uid="{BDA3E1D3-5B04-476B-B16A-0C0FB2C5189D}"/>
    <cellStyle name="Currency 5 2 2 2 4 4" xfId="9279" xr:uid="{EB1EF1B9-3491-4BB2-A6DD-0DE0786ED418}"/>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BB8CD06C-7A77-46A1-A9DC-F535CC436ABD}"/>
    <cellStyle name="Currency 5 2 2 2 5 2 3" xfId="11837" xr:uid="{CC8E76D2-53C9-4B20-9141-F242E2A4FD95}"/>
    <cellStyle name="Currency 5 2 2 2 5 3" xfId="5468" xr:uid="{00000000-0005-0000-0000-0000B90B0000}"/>
    <cellStyle name="Currency 5 2 2 2 5 3 2" xfId="13910" xr:uid="{8903C587-6704-40D9-8B38-377F185F6FFC}"/>
    <cellStyle name="Currency 5 2 2 2 5 4" xfId="9692" xr:uid="{1BE2C12C-58AD-4417-8634-3158802BFB31}"/>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59C6CFE1-C303-4403-93DC-45DDBD23C75D}"/>
    <cellStyle name="Currency 5 2 2 2 6 2 3" xfId="12250" xr:uid="{5C77CB28-AE14-4B8C-A118-5976F7CA0582}"/>
    <cellStyle name="Currency 5 2 2 2 6 3" xfId="5881" xr:uid="{00000000-0005-0000-0000-0000BD0B0000}"/>
    <cellStyle name="Currency 5 2 2 2 6 3 2" xfId="14323" xr:uid="{D3432E9D-76AE-4A6E-AAF7-FBD4A3178B75}"/>
    <cellStyle name="Currency 5 2 2 2 6 4" xfId="10105" xr:uid="{9D8C2AD1-16C2-46CD-AB01-6F979D148821}"/>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402B84B9-8264-4505-A0BE-B6B8D0100460}"/>
    <cellStyle name="Currency 5 2 2 2 7 2 3" xfId="12663" xr:uid="{9A4C2B86-5756-4AD7-B258-CB40245C18BF}"/>
    <cellStyle name="Currency 5 2 2 2 7 3" xfId="6294" xr:uid="{00000000-0005-0000-0000-0000C10B0000}"/>
    <cellStyle name="Currency 5 2 2 2 7 3 2" xfId="14736" xr:uid="{7D6AA82B-2805-49A2-9368-83CC86E3D99D}"/>
    <cellStyle name="Currency 5 2 2 2 7 4" xfId="10518" xr:uid="{C9F42154-8340-42FC-A261-6D8A0F5CD6F0}"/>
    <cellStyle name="Currency 5 2 2 2 8" xfId="2422" xr:uid="{00000000-0005-0000-0000-0000C20B0000}"/>
    <cellStyle name="Currency 5 2 2 2 8 2" xfId="6707" xr:uid="{00000000-0005-0000-0000-0000C30B0000}"/>
    <cellStyle name="Currency 5 2 2 2 8 2 2" xfId="15149" xr:uid="{0B03C09C-FFC9-44D4-A786-A844D2881407}"/>
    <cellStyle name="Currency 5 2 2 2 8 3" xfId="10931" xr:uid="{13798B20-2270-4FAA-A1D9-026E9C541E6C}"/>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07098897-3802-4BBA-A66C-6EADF888075A}"/>
    <cellStyle name="Currency 5 2 2 3 11" xfId="8869" xr:uid="{630314A7-2699-4648-B9CF-49A6FBC59758}"/>
    <cellStyle name="Currency 5 2 2 3 2" xfId="201" xr:uid="{00000000-0005-0000-0000-0000C70B0000}"/>
    <cellStyle name="Currency 5 2 2 3 2 10" xfId="8870" xr:uid="{AE4D19BC-4817-4033-B6DC-C6F375A77E0E}"/>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D85DC980-91E4-4736-AF6D-EF50073AF805}"/>
    <cellStyle name="Currency 5 2 2 3 2 2 2 3" xfId="11429" xr:uid="{809EF6CB-812C-43E4-BE33-3F11503B4718}"/>
    <cellStyle name="Currency 5 2 2 3 2 2 3" xfId="5060" xr:uid="{00000000-0005-0000-0000-0000CB0B0000}"/>
    <cellStyle name="Currency 5 2 2 3 2 2 3 2" xfId="13502" xr:uid="{5E41CEE6-6B88-42A4-A3CC-0F8EBAC68E7F}"/>
    <cellStyle name="Currency 5 2 2 3 2 2 4" xfId="9284" xr:uid="{3DCBE76E-AA0D-4EA5-AA92-3C0796D49C1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C229AC9E-ED8D-4FB1-B60B-C43444D748BA}"/>
    <cellStyle name="Currency 5 2 2 3 2 3 2 3" xfId="11842" xr:uid="{16A8E114-5D5E-4FF3-AC4E-E2BAE4E757BD}"/>
    <cellStyle name="Currency 5 2 2 3 2 3 3" xfId="5473" xr:uid="{00000000-0005-0000-0000-0000CF0B0000}"/>
    <cellStyle name="Currency 5 2 2 3 2 3 3 2" xfId="13915" xr:uid="{A9E2500F-329B-450C-BF63-8891F9A15D66}"/>
    <cellStyle name="Currency 5 2 2 3 2 3 4" xfId="9697" xr:uid="{149D6EB9-83D0-4BB5-BD46-EFA3853D36D1}"/>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4B53FA2E-F6B3-485C-8465-05F438169228}"/>
    <cellStyle name="Currency 5 2 2 3 2 4 2 3" xfId="12255" xr:uid="{610E66E8-30C7-4089-998C-47F156943ACA}"/>
    <cellStyle name="Currency 5 2 2 3 2 4 3" xfId="5886" xr:uid="{00000000-0005-0000-0000-0000D30B0000}"/>
    <cellStyle name="Currency 5 2 2 3 2 4 3 2" xfId="14328" xr:uid="{290D5770-F39C-4CFE-A17A-C47F1AEEA8C3}"/>
    <cellStyle name="Currency 5 2 2 3 2 4 4" xfId="10110" xr:uid="{8BEF11DA-FC9E-4E66-8055-51A4433CA416}"/>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D4538B57-2389-4BE2-8686-CA65C8E20D1C}"/>
    <cellStyle name="Currency 5 2 2 3 2 5 2 3" xfId="12668" xr:uid="{9F8FFF7C-27E5-44D8-95A5-909DB5211BB6}"/>
    <cellStyle name="Currency 5 2 2 3 2 5 3" xfId="6299" xr:uid="{00000000-0005-0000-0000-0000D70B0000}"/>
    <cellStyle name="Currency 5 2 2 3 2 5 3 2" xfId="14741" xr:uid="{080198AD-9E48-4356-A5A9-6070E176E7C6}"/>
    <cellStyle name="Currency 5 2 2 3 2 5 4" xfId="10523" xr:uid="{4EBD95DB-8074-4883-ADAC-FEBA49C334C1}"/>
    <cellStyle name="Currency 5 2 2 3 2 6" xfId="2427" xr:uid="{00000000-0005-0000-0000-0000D80B0000}"/>
    <cellStyle name="Currency 5 2 2 3 2 6 2" xfId="6712" xr:uid="{00000000-0005-0000-0000-0000D90B0000}"/>
    <cellStyle name="Currency 5 2 2 3 2 6 2 2" xfId="15154" xr:uid="{6902B029-626F-4A95-B281-70C23B594A24}"/>
    <cellStyle name="Currency 5 2 2 3 2 6 3" xfId="10936" xr:uid="{D460AF96-C48F-48D0-A5A0-4133C929759E}"/>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5CB165FA-8FA8-41A8-BDF0-7080903586DC}"/>
    <cellStyle name="Currency 5 2 2 3 2 8 3" xfId="11253" xr:uid="{C211853D-6FBD-4332-A4F7-B74F0E26BD5E}"/>
    <cellStyle name="Currency 5 2 2 3 2 9" xfId="4646" xr:uid="{00000000-0005-0000-0000-0000DD0B0000}"/>
    <cellStyle name="Currency 5 2 2 3 2 9 2" xfId="13088" xr:uid="{FB4BDA54-8CF6-43A3-BCB8-67055AECE936}"/>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ADA9B9AF-BEFC-43D1-A4EA-1269797407C4}"/>
    <cellStyle name="Currency 5 2 2 3 3 2 3" xfId="11428" xr:uid="{043DE296-453C-4D4D-B158-5944CEC0086E}"/>
    <cellStyle name="Currency 5 2 2 3 3 3" xfId="5059" xr:uid="{00000000-0005-0000-0000-0000E10B0000}"/>
    <cellStyle name="Currency 5 2 2 3 3 3 2" xfId="13501" xr:uid="{7E5881D2-EC4B-4057-80B9-098581E353C5}"/>
    <cellStyle name="Currency 5 2 2 3 3 4" xfId="9283" xr:uid="{5C62F298-8D90-4D9E-AB2A-31F03296406F}"/>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B456E262-0E44-4222-97C3-B61744AB7C8E}"/>
    <cellStyle name="Currency 5 2 2 3 4 2 3" xfId="11841" xr:uid="{9ECBEA43-F840-44A0-B36C-B991741D9880}"/>
    <cellStyle name="Currency 5 2 2 3 4 3" xfId="5472" xr:uid="{00000000-0005-0000-0000-0000E50B0000}"/>
    <cellStyle name="Currency 5 2 2 3 4 3 2" xfId="13914" xr:uid="{817D9727-B3CE-4CE4-96AC-D3B578453093}"/>
    <cellStyle name="Currency 5 2 2 3 4 4" xfId="9696" xr:uid="{2945CFB6-2482-4461-85C3-BE786A746A64}"/>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40BB2981-9DB3-461B-878B-9A0BCFF2F0EB}"/>
    <cellStyle name="Currency 5 2 2 3 5 2 3" xfId="12254" xr:uid="{720169B8-FAC2-4D70-9806-31969F6EED1B}"/>
    <cellStyle name="Currency 5 2 2 3 5 3" xfId="5885" xr:uid="{00000000-0005-0000-0000-0000E90B0000}"/>
    <cellStyle name="Currency 5 2 2 3 5 3 2" xfId="14327" xr:uid="{8987D465-38B1-4E79-89A9-22FEEB2A3875}"/>
    <cellStyle name="Currency 5 2 2 3 5 4" xfId="10109" xr:uid="{1E01B927-F1AE-4EFF-9C66-BB2CC4D39821}"/>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C1595808-DA5A-4998-8A5B-B4E4C7DE094B}"/>
    <cellStyle name="Currency 5 2 2 3 6 2 3" xfId="12667" xr:uid="{3F9B1B81-FC08-43D8-B3B4-2866A2F87699}"/>
    <cellStyle name="Currency 5 2 2 3 6 3" xfId="6298" xr:uid="{00000000-0005-0000-0000-0000ED0B0000}"/>
    <cellStyle name="Currency 5 2 2 3 6 3 2" xfId="14740" xr:uid="{1377AF8A-3E55-4907-AF48-7F2E150E79A9}"/>
    <cellStyle name="Currency 5 2 2 3 6 4" xfId="10522" xr:uid="{A2124326-31AD-43D1-9C72-6BB2910D6143}"/>
    <cellStyle name="Currency 5 2 2 3 7" xfId="2426" xr:uid="{00000000-0005-0000-0000-0000EE0B0000}"/>
    <cellStyle name="Currency 5 2 2 3 7 2" xfId="6711" xr:uid="{00000000-0005-0000-0000-0000EF0B0000}"/>
    <cellStyle name="Currency 5 2 2 3 7 2 2" xfId="15153" xr:uid="{71171B6F-3D00-47F5-9B3A-7A85E9227238}"/>
    <cellStyle name="Currency 5 2 2 3 7 3" xfId="10935" xr:uid="{B1773B0B-42D4-43E4-BEED-ABD93438E4E6}"/>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9F75AFE7-9C9C-4CA7-AB1B-E4FE906ADBA3}"/>
    <cellStyle name="Currency 5 2 2 3 9 3" xfId="11252" xr:uid="{5580C2E3-AC41-43C7-B6C8-EFFF46D183FF}"/>
    <cellStyle name="Currency 5 2 2 4" xfId="202" xr:uid="{00000000-0005-0000-0000-0000F30B0000}"/>
    <cellStyle name="Currency 5 2 2 4 10" xfId="8871" xr:uid="{E5EB3451-E7BC-4550-AA64-B054C3878DC6}"/>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C266C006-C4C3-4F56-83FF-22F5A6350780}"/>
    <cellStyle name="Currency 5 2 2 4 2 2 3" xfId="11430" xr:uid="{D62445A7-BDD2-452E-824E-5DDF5EDD2CCF}"/>
    <cellStyle name="Currency 5 2 2 4 2 3" xfId="5061" xr:uid="{00000000-0005-0000-0000-0000F70B0000}"/>
    <cellStyle name="Currency 5 2 2 4 2 3 2" xfId="13503" xr:uid="{33B02817-A94B-48BC-8BB6-E7BD9E384A72}"/>
    <cellStyle name="Currency 5 2 2 4 2 4" xfId="9285" xr:uid="{A9C6535A-21F5-4C50-9C20-6C4C5D79C055}"/>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CF51C293-52E9-4B2B-A021-2AED064C1699}"/>
    <cellStyle name="Currency 5 2 2 4 3 2 3" xfId="11843" xr:uid="{80E273AB-E46F-4572-8B06-B40790D82E02}"/>
    <cellStyle name="Currency 5 2 2 4 3 3" xfId="5474" xr:uid="{00000000-0005-0000-0000-0000FB0B0000}"/>
    <cellStyle name="Currency 5 2 2 4 3 3 2" xfId="13916" xr:uid="{BAA967C2-702D-4618-8E6F-D65073FEEA78}"/>
    <cellStyle name="Currency 5 2 2 4 3 4" xfId="9698" xr:uid="{98131460-9999-4EA2-96B4-928BA8D47E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AEB67076-14B4-422E-BEB0-BB16C2E51211}"/>
    <cellStyle name="Currency 5 2 2 4 4 2 3" xfId="12256" xr:uid="{A6976F29-8185-4FB1-9127-A468BCB48B6D}"/>
    <cellStyle name="Currency 5 2 2 4 4 3" xfId="5887" xr:uid="{00000000-0005-0000-0000-0000FF0B0000}"/>
    <cellStyle name="Currency 5 2 2 4 4 3 2" xfId="14329" xr:uid="{D4C7C1D9-F99B-4962-B7DE-5DD6C0DD5604}"/>
    <cellStyle name="Currency 5 2 2 4 4 4" xfId="10111" xr:uid="{7E17EA4B-45F5-4CBE-B701-944C5AB9C47C}"/>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BEA0D01B-180C-4003-99EA-A08395D62D43}"/>
    <cellStyle name="Currency 5 2 2 4 5 2 3" xfId="12669" xr:uid="{FC5C3995-A3B9-4CE8-A599-7FD70B314006}"/>
    <cellStyle name="Currency 5 2 2 4 5 3" xfId="6300" xr:uid="{00000000-0005-0000-0000-0000030C0000}"/>
    <cellStyle name="Currency 5 2 2 4 5 3 2" xfId="14742" xr:uid="{ED71086F-93BD-45A3-A09E-3ADEB003C39C}"/>
    <cellStyle name="Currency 5 2 2 4 5 4" xfId="10524" xr:uid="{21E6B571-E5E8-460B-803B-BD65B0E7093A}"/>
    <cellStyle name="Currency 5 2 2 4 6" xfId="2428" xr:uid="{00000000-0005-0000-0000-0000040C0000}"/>
    <cellStyle name="Currency 5 2 2 4 6 2" xfId="6713" xr:uid="{00000000-0005-0000-0000-0000050C0000}"/>
    <cellStyle name="Currency 5 2 2 4 6 2 2" xfId="15155" xr:uid="{1184E25B-AC92-42CC-8F30-434D821240C8}"/>
    <cellStyle name="Currency 5 2 2 4 6 3" xfId="10937" xr:uid="{245F5533-E5F8-4168-8CD8-BB8BCBB5CD53}"/>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ED486C94-8A88-4310-8DCC-42888994270B}"/>
    <cellStyle name="Currency 5 2 2 4 8 3" xfId="11254" xr:uid="{5762B50D-3B31-4D0B-9671-FFEBEB7BCE51}"/>
    <cellStyle name="Currency 5 2 2 4 9" xfId="4647" xr:uid="{00000000-0005-0000-0000-0000090C0000}"/>
    <cellStyle name="Currency 5 2 2 4 9 2" xfId="13089" xr:uid="{211F3C04-02D0-41C5-897D-4330E8246C6D}"/>
    <cellStyle name="Currency 5 2 2 5" xfId="203" xr:uid="{00000000-0005-0000-0000-00000A0C0000}"/>
    <cellStyle name="Currency 5 2 2 5 10" xfId="8872" xr:uid="{ABF773C1-E880-496F-ADA6-2C7A06F8B884}"/>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178B5D94-AF8C-42D3-B357-85519EDFBF94}"/>
    <cellStyle name="Currency 5 2 2 5 2 2 3" xfId="11431" xr:uid="{3B848144-BC77-4BA4-9940-A4ECD671986A}"/>
    <cellStyle name="Currency 5 2 2 5 2 3" xfId="5062" xr:uid="{00000000-0005-0000-0000-00000E0C0000}"/>
    <cellStyle name="Currency 5 2 2 5 2 3 2" xfId="13504" xr:uid="{C9A24BBB-8DCB-489B-94D3-66AB51DFC1F2}"/>
    <cellStyle name="Currency 5 2 2 5 2 4" xfId="9286" xr:uid="{E262A247-2A9F-4364-84B6-A681495AF2A8}"/>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E17DCFAF-8131-41B4-98C3-5AB69472F093}"/>
    <cellStyle name="Currency 5 2 2 5 3 2 3" xfId="11844" xr:uid="{BE68FD9A-3082-46A6-B92B-D564F1A5402C}"/>
    <cellStyle name="Currency 5 2 2 5 3 3" xfId="5475" xr:uid="{00000000-0005-0000-0000-0000120C0000}"/>
    <cellStyle name="Currency 5 2 2 5 3 3 2" xfId="13917" xr:uid="{99A99491-6BF8-4290-A48F-C92480D1015B}"/>
    <cellStyle name="Currency 5 2 2 5 3 4" xfId="9699" xr:uid="{4C600186-77AE-41E3-8D61-07F712FB50A4}"/>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B37213C6-A3BF-4075-9D83-9B14F784AE7B}"/>
    <cellStyle name="Currency 5 2 2 5 4 2 3" xfId="12257" xr:uid="{24CA5B8E-35F9-4F08-888A-C946D9F2C32A}"/>
    <cellStyle name="Currency 5 2 2 5 4 3" xfId="5888" xr:uid="{00000000-0005-0000-0000-0000160C0000}"/>
    <cellStyle name="Currency 5 2 2 5 4 3 2" xfId="14330" xr:uid="{C2B2A5C5-DCFF-43B8-AB75-F17A88A62FC3}"/>
    <cellStyle name="Currency 5 2 2 5 4 4" xfId="10112" xr:uid="{DD1DC405-8448-448E-81CF-8CF1D1C1A7DA}"/>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C7E0F352-D388-4AA6-9D18-563A9172658F}"/>
    <cellStyle name="Currency 5 2 2 5 5 2 3" xfId="12670" xr:uid="{71540936-9AF0-44DD-B99C-4E7D646CBD47}"/>
    <cellStyle name="Currency 5 2 2 5 5 3" xfId="6301" xr:uid="{00000000-0005-0000-0000-00001A0C0000}"/>
    <cellStyle name="Currency 5 2 2 5 5 3 2" xfId="14743" xr:uid="{6DD37541-AF24-400F-80A1-8EBFFDAE4501}"/>
    <cellStyle name="Currency 5 2 2 5 5 4" xfId="10525" xr:uid="{A07A6F7D-2217-45FB-9A38-065345333E37}"/>
    <cellStyle name="Currency 5 2 2 5 6" xfId="2429" xr:uid="{00000000-0005-0000-0000-00001B0C0000}"/>
    <cellStyle name="Currency 5 2 2 5 6 2" xfId="6714" xr:uid="{00000000-0005-0000-0000-00001C0C0000}"/>
    <cellStyle name="Currency 5 2 2 5 6 2 2" xfId="15156" xr:uid="{F183FD7A-572C-4C53-86FA-B15317099FA8}"/>
    <cellStyle name="Currency 5 2 2 5 6 3" xfId="10938" xr:uid="{0C37B62F-32B8-4772-A515-E6DB151E83C7}"/>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3BBA1284-A075-4771-946D-163101623AEC}"/>
    <cellStyle name="Currency 5 2 2 5 8 3" xfId="11255" xr:uid="{132F0D96-7627-486E-8F19-FCAC45AD2D75}"/>
    <cellStyle name="Currency 5 2 2 5 9" xfId="4648" xr:uid="{00000000-0005-0000-0000-0000200C0000}"/>
    <cellStyle name="Currency 5 2 2 5 9 2" xfId="13090" xr:uid="{B1740539-4E2F-45AA-9BED-86430C5BD29B}"/>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72D2B10B-886C-43A0-95A4-BAECA9CCFAD3}"/>
    <cellStyle name="Currency 5 2 4 11" xfId="8873" xr:uid="{AF5B4545-0DAC-4253-A096-01AF29B95F9F}"/>
    <cellStyle name="Currency 5 2 4 2" xfId="206" xr:uid="{00000000-0005-0000-0000-0000250C0000}"/>
    <cellStyle name="Currency 5 2 4 2 10" xfId="8874" xr:uid="{5F5377E7-0069-4928-B79C-85EDC3E0F42B}"/>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9241005B-7EAD-47F6-AE97-0449773DFE36}"/>
    <cellStyle name="Currency 5 2 4 2 2 2 3" xfId="11433" xr:uid="{D4CFA9A3-5E4D-4EA6-8B92-DB56069A602D}"/>
    <cellStyle name="Currency 5 2 4 2 2 3" xfId="5064" xr:uid="{00000000-0005-0000-0000-0000290C0000}"/>
    <cellStyle name="Currency 5 2 4 2 2 3 2" xfId="13506" xr:uid="{8EC44B98-B441-4BD0-B4C1-FCE72B31E547}"/>
    <cellStyle name="Currency 5 2 4 2 2 4" xfId="9288" xr:uid="{7AA98211-C189-4FE1-A777-D9E7887E735D}"/>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2499195A-09D9-4A58-9965-9B8EE83811F5}"/>
    <cellStyle name="Currency 5 2 4 2 3 2 3" xfId="11846" xr:uid="{A354BB2B-8E23-45D5-880E-CD76FEFA08F7}"/>
    <cellStyle name="Currency 5 2 4 2 3 3" xfId="5477" xr:uid="{00000000-0005-0000-0000-00002D0C0000}"/>
    <cellStyle name="Currency 5 2 4 2 3 3 2" xfId="13919" xr:uid="{C145083E-6FD3-4F00-BCE3-4925A7B8A1FE}"/>
    <cellStyle name="Currency 5 2 4 2 3 4" xfId="9701" xr:uid="{ABDE27FE-899B-405C-A5C9-21E17DBDA543}"/>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76C425DD-7767-4C43-BDC7-B3BD5CD7972E}"/>
    <cellStyle name="Currency 5 2 4 2 4 2 3" xfId="12259" xr:uid="{7EC0CF9F-4CFF-4CA0-858A-6793F90A171F}"/>
    <cellStyle name="Currency 5 2 4 2 4 3" xfId="5890" xr:uid="{00000000-0005-0000-0000-0000310C0000}"/>
    <cellStyle name="Currency 5 2 4 2 4 3 2" xfId="14332" xr:uid="{FBD9EF34-402D-4DA5-ACFC-8B04297A4260}"/>
    <cellStyle name="Currency 5 2 4 2 4 4" xfId="10114" xr:uid="{1805AEC6-A91B-48F1-8F73-CA5A296224FB}"/>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708569B5-5F91-45BC-9CC6-D8F225B62685}"/>
    <cellStyle name="Currency 5 2 4 2 5 2 3" xfId="12672" xr:uid="{4B0E4467-8312-4563-9DBB-271F60527882}"/>
    <cellStyle name="Currency 5 2 4 2 5 3" xfId="6303" xr:uid="{00000000-0005-0000-0000-0000350C0000}"/>
    <cellStyle name="Currency 5 2 4 2 5 3 2" xfId="14745" xr:uid="{3F345D3B-4944-4FD1-8F1C-93A992377CBC}"/>
    <cellStyle name="Currency 5 2 4 2 5 4" xfId="10527" xr:uid="{743B8088-3678-48E8-9A83-D45EC2F3194C}"/>
    <cellStyle name="Currency 5 2 4 2 6" xfId="2431" xr:uid="{00000000-0005-0000-0000-0000360C0000}"/>
    <cellStyle name="Currency 5 2 4 2 6 2" xfId="6716" xr:uid="{00000000-0005-0000-0000-0000370C0000}"/>
    <cellStyle name="Currency 5 2 4 2 6 2 2" xfId="15158" xr:uid="{6F70BA54-A4B3-4EFA-A5E7-E54E7519B7E2}"/>
    <cellStyle name="Currency 5 2 4 2 6 3" xfId="10940" xr:uid="{56CFFAE5-ADFB-4D6D-8EFB-57285CD558E2}"/>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A5DF9001-8D5E-4F89-A819-B70F0461DE98}"/>
    <cellStyle name="Currency 5 2 4 2 8 3" xfId="11257" xr:uid="{CDD124D9-B783-4AE7-BE63-F38588FFF111}"/>
    <cellStyle name="Currency 5 2 4 2 9" xfId="4650" xr:uid="{00000000-0005-0000-0000-00003B0C0000}"/>
    <cellStyle name="Currency 5 2 4 2 9 2" xfId="13092" xr:uid="{64D7B57D-DEFA-4740-A2DF-2B0EA91A8749}"/>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8EA29E96-F268-4591-A405-2E2075AEB1F9}"/>
    <cellStyle name="Currency 5 2 4 3 2 3" xfId="11432" xr:uid="{B3FEEAD3-A236-458E-94D2-048F06BFFE36}"/>
    <cellStyle name="Currency 5 2 4 3 3" xfId="5063" xr:uid="{00000000-0005-0000-0000-00003F0C0000}"/>
    <cellStyle name="Currency 5 2 4 3 3 2" xfId="13505" xr:uid="{442D8257-35D4-42CE-9FD1-64CA2567087A}"/>
    <cellStyle name="Currency 5 2 4 3 4" xfId="9287" xr:uid="{A835D44C-A231-467E-B5A0-976096136412}"/>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F5DC1107-3145-4857-A5E1-3A4990F80860}"/>
    <cellStyle name="Currency 5 2 4 4 2 3" xfId="11845" xr:uid="{A95C46C4-A90A-460D-B7C8-72F1FEF266A8}"/>
    <cellStyle name="Currency 5 2 4 4 3" xfId="5476" xr:uid="{00000000-0005-0000-0000-0000430C0000}"/>
    <cellStyle name="Currency 5 2 4 4 3 2" xfId="13918" xr:uid="{E8687D42-DAFB-472B-B9A8-7F270837B255}"/>
    <cellStyle name="Currency 5 2 4 4 4" xfId="9700" xr:uid="{64E820B3-1001-43EA-82A0-12FF1BED290B}"/>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D4FC14A7-905A-4C56-B221-2EE7FF015A0B}"/>
    <cellStyle name="Currency 5 2 4 5 2 3" xfId="12258" xr:uid="{C86DA5A9-159C-481B-B7B9-34B8FCEE85F3}"/>
    <cellStyle name="Currency 5 2 4 5 3" xfId="5889" xr:uid="{00000000-0005-0000-0000-0000470C0000}"/>
    <cellStyle name="Currency 5 2 4 5 3 2" xfId="14331" xr:uid="{E79380D6-783F-4CC4-BE6F-5C16C69D41E7}"/>
    <cellStyle name="Currency 5 2 4 5 4" xfId="10113" xr:uid="{C9E5C4A0-3A45-4443-ADEE-6C1CF9EAF43B}"/>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7976F907-EF28-4573-9F00-177EDB3F6520}"/>
    <cellStyle name="Currency 5 2 4 6 2 3" xfId="12671" xr:uid="{10ED54CF-4683-4367-B207-5FB4CDB1CB0B}"/>
    <cellStyle name="Currency 5 2 4 6 3" xfId="6302" xr:uid="{00000000-0005-0000-0000-00004B0C0000}"/>
    <cellStyle name="Currency 5 2 4 6 3 2" xfId="14744" xr:uid="{DB17ED57-2E94-4B6D-B628-EDFC58FE7A65}"/>
    <cellStyle name="Currency 5 2 4 6 4" xfId="10526" xr:uid="{AD7BAFC6-F732-42B7-8285-51CCA56A218B}"/>
    <cellStyle name="Currency 5 2 4 7" xfId="2430" xr:uid="{00000000-0005-0000-0000-00004C0C0000}"/>
    <cellStyle name="Currency 5 2 4 7 2" xfId="6715" xr:uid="{00000000-0005-0000-0000-00004D0C0000}"/>
    <cellStyle name="Currency 5 2 4 7 2 2" xfId="15157" xr:uid="{0538B9F1-B27A-400C-B6A8-6D1E2550CC03}"/>
    <cellStyle name="Currency 5 2 4 7 3" xfId="10939" xr:uid="{153670EB-919A-4408-8441-D6E52A761181}"/>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B3B6BE9-FBAD-45D1-87BD-491BD672258A}"/>
    <cellStyle name="Currency 5 2 4 9 3" xfId="11256" xr:uid="{7A5DFF6F-CAB9-452B-8DBD-5C8CE2C7BF2E}"/>
    <cellStyle name="Currency 5 2 5" xfId="207" xr:uid="{00000000-0005-0000-0000-0000510C0000}"/>
    <cellStyle name="Currency 5 2 5 10" xfId="8875" xr:uid="{7E31DD96-599D-413A-AC9A-859CAC25B792}"/>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AEEB6C19-9B8C-4A06-827D-AB9EC83D6CFD}"/>
    <cellStyle name="Currency 5 2 5 2 2 3" xfId="11434" xr:uid="{23212A21-65FC-4FD4-9F39-51F7899EE002}"/>
    <cellStyle name="Currency 5 2 5 2 3" xfId="5065" xr:uid="{00000000-0005-0000-0000-0000550C0000}"/>
    <cellStyle name="Currency 5 2 5 2 3 2" xfId="13507" xr:uid="{6632D033-BAB3-4E97-B951-3D6F31CB6792}"/>
    <cellStyle name="Currency 5 2 5 2 4" xfId="9289" xr:uid="{EC3F7214-7FD9-43EF-989B-D0A991F2DCEA}"/>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37055D8A-A2A0-4AAA-859D-916D935A24E4}"/>
    <cellStyle name="Currency 5 2 5 3 2 3" xfId="11847" xr:uid="{A1A6752A-46AE-4F28-8D0D-61B18102F87A}"/>
    <cellStyle name="Currency 5 2 5 3 3" xfId="5478" xr:uid="{00000000-0005-0000-0000-0000590C0000}"/>
    <cellStyle name="Currency 5 2 5 3 3 2" xfId="13920" xr:uid="{313A52DE-3269-46A4-B33E-3E3C26F38B00}"/>
    <cellStyle name="Currency 5 2 5 3 4" xfId="9702" xr:uid="{75A65148-145D-4925-B474-4AFFC60C1823}"/>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8A8BC3EB-1F7A-4B46-911D-962A5C16C3E9}"/>
    <cellStyle name="Currency 5 2 5 4 2 3" xfId="12260" xr:uid="{981C7A31-9775-408E-8C3A-1A176B3A1434}"/>
    <cellStyle name="Currency 5 2 5 4 3" xfId="5891" xr:uid="{00000000-0005-0000-0000-00005D0C0000}"/>
    <cellStyle name="Currency 5 2 5 4 3 2" xfId="14333" xr:uid="{9A464DA7-9A87-475C-AC01-2075AFEE2363}"/>
    <cellStyle name="Currency 5 2 5 4 4" xfId="10115" xr:uid="{9B25A561-71E0-4DFC-AD5B-75105CBEC264}"/>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D7AA0F5A-35CA-46C0-BD8C-E201A8F06CF3}"/>
    <cellStyle name="Currency 5 2 5 5 2 3" xfId="12673" xr:uid="{FB03A1DA-2297-47E1-828C-4138D3F93420}"/>
    <cellStyle name="Currency 5 2 5 5 3" xfId="6304" xr:uid="{00000000-0005-0000-0000-0000610C0000}"/>
    <cellStyle name="Currency 5 2 5 5 3 2" xfId="14746" xr:uid="{E9940095-8381-45EE-B40E-601D38380B78}"/>
    <cellStyle name="Currency 5 2 5 5 4" xfId="10528" xr:uid="{47056D4A-44ED-4AAC-8267-4F6004D53E56}"/>
    <cellStyle name="Currency 5 2 5 6" xfId="2432" xr:uid="{00000000-0005-0000-0000-0000620C0000}"/>
    <cellStyle name="Currency 5 2 5 6 2" xfId="6717" xr:uid="{00000000-0005-0000-0000-0000630C0000}"/>
    <cellStyle name="Currency 5 2 5 6 2 2" xfId="15159" xr:uid="{42A66AEA-FA05-41F9-8F6A-18EEABC761F5}"/>
    <cellStyle name="Currency 5 2 5 6 3" xfId="10941" xr:uid="{7D8304CF-571C-4639-94B7-B9BC7B6D9757}"/>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1E8A0A77-0B58-41EE-9534-C50EC766AB54}"/>
    <cellStyle name="Currency 5 2 5 8 3" xfId="11258" xr:uid="{88155636-8E8A-4C95-A964-7E80265EF4B9}"/>
    <cellStyle name="Currency 5 2 5 9" xfId="4651" xr:uid="{00000000-0005-0000-0000-0000670C0000}"/>
    <cellStyle name="Currency 5 2 5 9 2" xfId="13093" xr:uid="{BB0E535C-F968-4C48-B554-566F953E6196}"/>
    <cellStyle name="Currency 5 2 6" xfId="208" xr:uid="{00000000-0005-0000-0000-0000680C0000}"/>
    <cellStyle name="Currency 5 2 6 10" xfId="8876" xr:uid="{62E802B9-AB8A-4392-A35D-1A422D46C01F}"/>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2C578CCA-8ECA-46AC-B475-53AD510262FF}"/>
    <cellStyle name="Currency 5 2 6 2 2 3" xfId="11435" xr:uid="{5D76AD62-31B3-423A-9A59-7F084ADD8786}"/>
    <cellStyle name="Currency 5 2 6 2 3" xfId="5066" xr:uid="{00000000-0005-0000-0000-00006C0C0000}"/>
    <cellStyle name="Currency 5 2 6 2 3 2" xfId="13508" xr:uid="{45CC9AA0-7851-4A50-9645-350A01297845}"/>
    <cellStyle name="Currency 5 2 6 2 4" xfId="9290" xr:uid="{D89B6F68-F33C-4F3C-A4D2-15371105877E}"/>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533D6C51-2335-461C-9621-E5D87E55445F}"/>
    <cellStyle name="Currency 5 2 6 3 2 3" xfId="11848" xr:uid="{87A7DD67-B26D-46A5-A750-1402ADC8F6F7}"/>
    <cellStyle name="Currency 5 2 6 3 3" xfId="5479" xr:uid="{00000000-0005-0000-0000-0000700C0000}"/>
    <cellStyle name="Currency 5 2 6 3 3 2" xfId="13921" xr:uid="{AF4EC432-8080-4076-9238-557FA5F40D42}"/>
    <cellStyle name="Currency 5 2 6 3 4" xfId="9703" xr:uid="{868BBAFE-3282-4B24-B6BB-C18C18CF56E3}"/>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A5EFF471-DE2F-442C-A628-B3611EE55C9A}"/>
    <cellStyle name="Currency 5 2 6 4 2 3" xfId="12261" xr:uid="{005BA3FC-9710-46D2-8DEE-2A7803CA9972}"/>
    <cellStyle name="Currency 5 2 6 4 3" xfId="5892" xr:uid="{00000000-0005-0000-0000-0000740C0000}"/>
    <cellStyle name="Currency 5 2 6 4 3 2" xfId="14334" xr:uid="{52F7EFC7-095D-4609-8CE3-08A1A1E64DCE}"/>
    <cellStyle name="Currency 5 2 6 4 4" xfId="10116" xr:uid="{30BE0428-F2BA-4162-AD5F-790D9CC22F7F}"/>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B61C5E08-0160-46DB-86B4-7E4BB25A6D3D}"/>
    <cellStyle name="Currency 5 2 6 5 2 3" xfId="12674" xr:uid="{A1D6A3BA-74EB-415E-9146-F4427A8BB0F0}"/>
    <cellStyle name="Currency 5 2 6 5 3" xfId="6305" xr:uid="{00000000-0005-0000-0000-0000780C0000}"/>
    <cellStyle name="Currency 5 2 6 5 3 2" xfId="14747" xr:uid="{F9271976-2CEC-4B29-A3C7-990FFFBB38CB}"/>
    <cellStyle name="Currency 5 2 6 5 4" xfId="10529" xr:uid="{CA953D78-004D-4E20-AE1E-148923F25EBF}"/>
    <cellStyle name="Currency 5 2 6 6" xfId="2433" xr:uid="{00000000-0005-0000-0000-0000790C0000}"/>
    <cellStyle name="Currency 5 2 6 6 2" xfId="6718" xr:uid="{00000000-0005-0000-0000-00007A0C0000}"/>
    <cellStyle name="Currency 5 2 6 6 2 2" xfId="15160" xr:uid="{12280BA0-BC99-4B17-8976-B31F11F047B5}"/>
    <cellStyle name="Currency 5 2 6 6 3" xfId="10942" xr:uid="{363AE268-90DB-4F31-89D9-97878CFC5060}"/>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A3DF46AF-2A0F-4E0B-96B8-0C892A6C5D83}"/>
    <cellStyle name="Currency 5 2 6 8 3" xfId="11259" xr:uid="{7E0BB3B5-4E09-42D4-85BF-81DC77EE4FCC}"/>
    <cellStyle name="Currency 5 2 6 9" xfId="4652" xr:uid="{00000000-0005-0000-0000-00007E0C0000}"/>
    <cellStyle name="Currency 5 2 6 9 2" xfId="13094" xr:uid="{BE59AC1D-2239-479A-8F2C-933508B71663}"/>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1AE84DE0-21B0-41C6-9E2E-FE01836EC20E}"/>
    <cellStyle name="Currency 5 3 2 10 3" xfId="11260" xr:uid="{84909D0A-38F8-4229-9DCE-C38B7D2F9AAD}"/>
    <cellStyle name="Currency 5 3 2 11" xfId="4653" xr:uid="{00000000-0005-0000-0000-0000840C0000}"/>
    <cellStyle name="Currency 5 3 2 11 2" xfId="13095" xr:uid="{E8A0AF12-DDC8-478A-869C-FAA0B4DDA2EF}"/>
    <cellStyle name="Currency 5 3 2 12" xfId="8877" xr:uid="{ACC82AC0-3E3A-402E-A8A2-F5A6295737FB}"/>
    <cellStyle name="Currency 5 3 2 2" xfId="211" xr:uid="{00000000-0005-0000-0000-0000850C0000}"/>
    <cellStyle name="Currency 5 3 2 2 10" xfId="4654" xr:uid="{00000000-0005-0000-0000-0000860C0000}"/>
    <cellStyle name="Currency 5 3 2 2 10 2" xfId="13096" xr:uid="{18E95443-A678-4D53-B2F2-535F1B0F8955}"/>
    <cellStyle name="Currency 5 3 2 2 11" xfId="8878" xr:uid="{F8F675B5-B30C-4875-8545-E04039C71151}"/>
    <cellStyle name="Currency 5 3 2 2 2" xfId="212" xr:uid="{00000000-0005-0000-0000-0000870C0000}"/>
    <cellStyle name="Currency 5 3 2 2 2 10" xfId="8879" xr:uid="{19050BAC-F494-4704-B8EF-75E21CE6293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89CD6ED7-89EB-4792-B323-74BB0AD6259E}"/>
    <cellStyle name="Currency 5 3 2 2 2 2 2 3" xfId="11438" xr:uid="{EB0E8C8F-7812-412A-92AD-AF1909263C7C}"/>
    <cellStyle name="Currency 5 3 2 2 2 2 3" xfId="5069" xr:uid="{00000000-0005-0000-0000-00008B0C0000}"/>
    <cellStyle name="Currency 5 3 2 2 2 2 3 2" xfId="13511" xr:uid="{418BAE57-C3C2-46CD-928B-B691A5A2B5F2}"/>
    <cellStyle name="Currency 5 3 2 2 2 2 4" xfId="9293" xr:uid="{D5B216C9-2D4B-49C5-913A-E8F608A2D3D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5183AAF4-CD5E-4639-AF12-92F3DEF007CC}"/>
    <cellStyle name="Currency 5 3 2 2 2 3 2 3" xfId="11851" xr:uid="{263EA693-F5BE-463F-8904-BC00ACAF9A0F}"/>
    <cellStyle name="Currency 5 3 2 2 2 3 3" xfId="5482" xr:uid="{00000000-0005-0000-0000-00008F0C0000}"/>
    <cellStyle name="Currency 5 3 2 2 2 3 3 2" xfId="13924" xr:uid="{EA8C0769-E046-4C9A-9E1F-7DD7C0DB0EB2}"/>
    <cellStyle name="Currency 5 3 2 2 2 3 4" xfId="9706" xr:uid="{9E80423B-DABE-43C1-B748-8F7FFA3BBD1E}"/>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1ECBB74A-86C0-443B-86EA-E30E800B9D97}"/>
    <cellStyle name="Currency 5 3 2 2 2 4 2 3" xfId="12264" xr:uid="{28569E8E-B345-4E47-B0BF-165452CC04C7}"/>
    <cellStyle name="Currency 5 3 2 2 2 4 3" xfId="5895" xr:uid="{00000000-0005-0000-0000-0000930C0000}"/>
    <cellStyle name="Currency 5 3 2 2 2 4 3 2" xfId="14337" xr:uid="{97844994-056C-4814-862E-9102DFF2B888}"/>
    <cellStyle name="Currency 5 3 2 2 2 4 4" xfId="10119" xr:uid="{1827CD48-8C19-4157-B870-03A8E4FD67CD}"/>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A6ACCCBA-1DF8-4945-89DE-0465087C29F6}"/>
    <cellStyle name="Currency 5 3 2 2 2 5 2 3" xfId="12677" xr:uid="{666DE31F-528A-4798-97B1-95D58CB509B1}"/>
    <cellStyle name="Currency 5 3 2 2 2 5 3" xfId="6308" xr:uid="{00000000-0005-0000-0000-0000970C0000}"/>
    <cellStyle name="Currency 5 3 2 2 2 5 3 2" xfId="14750" xr:uid="{790F8EA7-A240-4EB9-AB3C-9553942AE065}"/>
    <cellStyle name="Currency 5 3 2 2 2 5 4" xfId="10532" xr:uid="{71523492-FEAD-4802-85DF-737C8585241D}"/>
    <cellStyle name="Currency 5 3 2 2 2 6" xfId="2436" xr:uid="{00000000-0005-0000-0000-0000980C0000}"/>
    <cellStyle name="Currency 5 3 2 2 2 6 2" xfId="6721" xr:uid="{00000000-0005-0000-0000-0000990C0000}"/>
    <cellStyle name="Currency 5 3 2 2 2 6 2 2" xfId="15163" xr:uid="{828FAEE7-A650-41A1-A488-C9030C0FCD4D}"/>
    <cellStyle name="Currency 5 3 2 2 2 6 3" xfId="10945" xr:uid="{C7E16865-A9A4-4105-B4BC-2D5108B7590E}"/>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B7542335-C50E-4964-9359-DA0225D26130}"/>
    <cellStyle name="Currency 5 3 2 2 2 8 3" xfId="11262" xr:uid="{0682C2F7-6908-4A8C-9CA2-BD1D0B54369D}"/>
    <cellStyle name="Currency 5 3 2 2 2 9" xfId="4655" xr:uid="{00000000-0005-0000-0000-00009D0C0000}"/>
    <cellStyle name="Currency 5 3 2 2 2 9 2" xfId="13097" xr:uid="{F21E4B04-90F1-473D-AC10-1E227CF8A569}"/>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61C6EB3B-F3C7-424C-993A-57E48DAF1E6F}"/>
    <cellStyle name="Currency 5 3 2 2 3 2 3" xfId="11437" xr:uid="{CF49392B-F790-45A4-B0AB-0205C7E0125C}"/>
    <cellStyle name="Currency 5 3 2 2 3 3" xfId="5068" xr:uid="{00000000-0005-0000-0000-0000A10C0000}"/>
    <cellStyle name="Currency 5 3 2 2 3 3 2" xfId="13510" xr:uid="{78FE6281-D1BF-4E51-82EA-EE7DB19D5EEE}"/>
    <cellStyle name="Currency 5 3 2 2 3 4" xfId="9292" xr:uid="{A01DE9A6-2DB3-4E27-94C0-32BFC6C573EF}"/>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06E2173B-60A3-4BC0-84AA-4A537015AEEB}"/>
    <cellStyle name="Currency 5 3 2 2 4 2 3" xfId="11850" xr:uid="{BF1D25F6-584F-48B2-8CBD-37F8E47F8F7A}"/>
    <cellStyle name="Currency 5 3 2 2 4 3" xfId="5481" xr:uid="{00000000-0005-0000-0000-0000A50C0000}"/>
    <cellStyle name="Currency 5 3 2 2 4 3 2" xfId="13923" xr:uid="{D009B12F-5EB3-4E36-A441-9EFEBCFD14EF}"/>
    <cellStyle name="Currency 5 3 2 2 4 4" xfId="9705" xr:uid="{03D40E22-02D1-4014-9D2C-3E2984E08842}"/>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B9167079-D6CB-4F38-9124-ED8A0A4E6827}"/>
    <cellStyle name="Currency 5 3 2 2 5 2 3" xfId="12263" xr:uid="{9629E8C7-586C-4351-8860-237100AFB49A}"/>
    <cellStyle name="Currency 5 3 2 2 5 3" xfId="5894" xr:uid="{00000000-0005-0000-0000-0000A90C0000}"/>
    <cellStyle name="Currency 5 3 2 2 5 3 2" xfId="14336" xr:uid="{BCF8119B-5EC3-432E-8D5A-DC92DC572A06}"/>
    <cellStyle name="Currency 5 3 2 2 5 4" xfId="10118" xr:uid="{1289CBC7-3ACA-4DFF-92E8-DFD73F5746F9}"/>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F30DBFDA-17D7-4754-82A2-BEA50A56F2BD}"/>
    <cellStyle name="Currency 5 3 2 2 6 2 3" xfId="12676" xr:uid="{53A7756A-505A-461D-873B-ED7813BD1ABA}"/>
    <cellStyle name="Currency 5 3 2 2 6 3" xfId="6307" xr:uid="{00000000-0005-0000-0000-0000AD0C0000}"/>
    <cellStyle name="Currency 5 3 2 2 6 3 2" xfId="14749" xr:uid="{35DCA3B4-F63A-4D4D-AB94-40238149312F}"/>
    <cellStyle name="Currency 5 3 2 2 6 4" xfId="10531" xr:uid="{9758B372-51C6-4A26-9A8C-C02952E8726E}"/>
    <cellStyle name="Currency 5 3 2 2 7" xfId="2435" xr:uid="{00000000-0005-0000-0000-0000AE0C0000}"/>
    <cellStyle name="Currency 5 3 2 2 7 2" xfId="6720" xr:uid="{00000000-0005-0000-0000-0000AF0C0000}"/>
    <cellStyle name="Currency 5 3 2 2 7 2 2" xfId="15162" xr:uid="{AD967DD9-ADA2-4966-A266-293B542D6E24}"/>
    <cellStyle name="Currency 5 3 2 2 7 3" xfId="10944" xr:uid="{F72F5A15-24A2-49E1-9CC1-2B2FFF3AF1C9}"/>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6472EAC0-3793-42A1-9688-C36CCBD70D7E}"/>
    <cellStyle name="Currency 5 3 2 2 9 3" xfId="11261" xr:uid="{04053D34-FD00-4E5B-9C57-F61EFB582A27}"/>
    <cellStyle name="Currency 5 3 2 3" xfId="213" xr:uid="{00000000-0005-0000-0000-0000B30C0000}"/>
    <cellStyle name="Currency 5 3 2 3 10" xfId="8880" xr:uid="{ED0B1C02-823C-4C81-96DE-2A0F574E7BD2}"/>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66BEB381-2DC2-442F-BBE6-2610EBAF24AE}"/>
    <cellStyle name="Currency 5 3 2 3 2 2 3" xfId="11439" xr:uid="{CDE3CAE3-FE2B-4A14-AA0E-E71ADD8A5B12}"/>
    <cellStyle name="Currency 5 3 2 3 2 3" xfId="5070" xr:uid="{00000000-0005-0000-0000-0000B70C0000}"/>
    <cellStyle name="Currency 5 3 2 3 2 3 2" xfId="13512" xr:uid="{2A078D2C-A6C0-4249-B346-000AB0F92625}"/>
    <cellStyle name="Currency 5 3 2 3 2 4" xfId="9294" xr:uid="{C98062A9-45AD-4B86-9B73-94A296F664E5}"/>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4C98ACB0-7BB5-4809-ABBB-623FBFB9974B}"/>
    <cellStyle name="Currency 5 3 2 3 3 2 3" xfId="11852" xr:uid="{3B256156-A467-425B-B9B2-14ABD3F45A4D}"/>
    <cellStyle name="Currency 5 3 2 3 3 3" xfId="5483" xr:uid="{00000000-0005-0000-0000-0000BB0C0000}"/>
    <cellStyle name="Currency 5 3 2 3 3 3 2" xfId="13925" xr:uid="{3B26E299-4945-480D-A1AA-3962619435E1}"/>
    <cellStyle name="Currency 5 3 2 3 3 4" xfId="9707" xr:uid="{198C1947-8A54-48DE-886F-5B369D813C7C}"/>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663EEFBB-3259-4E7C-8276-2C50A0C27FB9}"/>
    <cellStyle name="Currency 5 3 2 3 4 2 3" xfId="12265" xr:uid="{4CECFA89-43CB-4C31-BF70-2D4B16DF2B0E}"/>
    <cellStyle name="Currency 5 3 2 3 4 3" xfId="5896" xr:uid="{00000000-0005-0000-0000-0000BF0C0000}"/>
    <cellStyle name="Currency 5 3 2 3 4 3 2" xfId="14338" xr:uid="{51A4249C-2A73-4CD0-B905-0F3DC08D841F}"/>
    <cellStyle name="Currency 5 3 2 3 4 4" xfId="10120" xr:uid="{8B2E96DF-9D3A-4B80-B503-367FA5AEB64E}"/>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9A7E2E94-34B6-4EA8-A70E-E7090C185451}"/>
    <cellStyle name="Currency 5 3 2 3 5 2 3" xfId="12678" xr:uid="{4DEC9AF8-2614-4E54-A7E0-503336A05D84}"/>
    <cellStyle name="Currency 5 3 2 3 5 3" xfId="6309" xr:uid="{00000000-0005-0000-0000-0000C30C0000}"/>
    <cellStyle name="Currency 5 3 2 3 5 3 2" xfId="14751" xr:uid="{AC6E3346-8088-487E-86C1-84247999DBF6}"/>
    <cellStyle name="Currency 5 3 2 3 5 4" xfId="10533" xr:uid="{06A8457A-5690-47F0-8C01-76C6EB8140A3}"/>
    <cellStyle name="Currency 5 3 2 3 6" xfId="2437" xr:uid="{00000000-0005-0000-0000-0000C40C0000}"/>
    <cellStyle name="Currency 5 3 2 3 6 2" xfId="6722" xr:uid="{00000000-0005-0000-0000-0000C50C0000}"/>
    <cellStyle name="Currency 5 3 2 3 6 2 2" xfId="15164" xr:uid="{D58D9FEF-49B2-4D70-A032-666B8253B27C}"/>
    <cellStyle name="Currency 5 3 2 3 6 3" xfId="10946" xr:uid="{5F169358-5D2E-488F-A8B1-DA5ED3FF1CDB}"/>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CEE40DC1-75E4-445C-BB8D-FC3D808562C6}"/>
    <cellStyle name="Currency 5 3 2 3 8 3" xfId="11263" xr:uid="{FFCBCB72-7CDF-478E-AF27-BAA3676E86C1}"/>
    <cellStyle name="Currency 5 3 2 3 9" xfId="4656" xr:uid="{00000000-0005-0000-0000-0000C90C0000}"/>
    <cellStyle name="Currency 5 3 2 3 9 2" xfId="13098" xr:uid="{8E0DA41F-433E-4B46-ACF9-A4ECC8DCC11A}"/>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FD7B78E0-EF39-47ED-B77E-7C918536FDE1}"/>
    <cellStyle name="Currency 5 3 2 4 2 3" xfId="11436" xr:uid="{3CD08515-6313-46D7-B806-8B424BEC46F9}"/>
    <cellStyle name="Currency 5 3 2 4 3" xfId="5067" xr:uid="{00000000-0005-0000-0000-0000CD0C0000}"/>
    <cellStyle name="Currency 5 3 2 4 3 2" xfId="13509" xr:uid="{9EFD3C09-D51A-4CD9-A638-1AB1F02C8E1A}"/>
    <cellStyle name="Currency 5 3 2 4 4" xfId="9291" xr:uid="{ABDB2052-7F5E-4B17-8636-58BF51CB2651}"/>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BE47B9BB-EA92-450B-857C-D9CF6F277268}"/>
    <cellStyle name="Currency 5 3 2 5 2 3" xfId="11849" xr:uid="{A1B74677-3086-4F2C-9165-09F516FF6811}"/>
    <cellStyle name="Currency 5 3 2 5 3" xfId="5480" xr:uid="{00000000-0005-0000-0000-0000D10C0000}"/>
    <cellStyle name="Currency 5 3 2 5 3 2" xfId="13922" xr:uid="{2F944A12-5DF3-4154-8DEC-02AF9386F7DD}"/>
    <cellStyle name="Currency 5 3 2 5 4" xfId="9704" xr:uid="{01C21654-9FE0-47DE-9D93-9457D328C4FF}"/>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14EC3208-3A26-4F07-86BA-C2E4BE9F6060}"/>
    <cellStyle name="Currency 5 3 2 6 2 3" xfId="12262" xr:uid="{43992F11-6180-44BA-B614-5B122400136D}"/>
    <cellStyle name="Currency 5 3 2 6 3" xfId="5893" xr:uid="{00000000-0005-0000-0000-0000D50C0000}"/>
    <cellStyle name="Currency 5 3 2 6 3 2" xfId="14335" xr:uid="{4514319A-2A51-46E7-A336-0EDF3401D046}"/>
    <cellStyle name="Currency 5 3 2 6 4" xfId="10117" xr:uid="{394B2121-1605-4373-9CDD-B009CCAECDAC}"/>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15A5D7D2-5811-4ED7-82AE-7628DDE3BE95}"/>
    <cellStyle name="Currency 5 3 2 7 2 3" xfId="12675" xr:uid="{10F90A02-0D07-40AB-9EF9-39D555A23FC9}"/>
    <cellStyle name="Currency 5 3 2 7 3" xfId="6306" xr:uid="{00000000-0005-0000-0000-0000D90C0000}"/>
    <cellStyle name="Currency 5 3 2 7 3 2" xfId="14748" xr:uid="{0FAD973F-D302-4FC2-B8F4-692498391C32}"/>
    <cellStyle name="Currency 5 3 2 7 4" xfId="10530" xr:uid="{9EF20E0D-F48E-4451-9986-530F58E7FFC7}"/>
    <cellStyle name="Currency 5 3 2 8" xfId="2434" xr:uid="{00000000-0005-0000-0000-0000DA0C0000}"/>
    <cellStyle name="Currency 5 3 2 8 2" xfId="6719" xr:uid="{00000000-0005-0000-0000-0000DB0C0000}"/>
    <cellStyle name="Currency 5 3 2 8 2 2" xfId="15161" xr:uid="{CDD202B5-E39B-4979-BB30-71B024F71536}"/>
    <cellStyle name="Currency 5 3 2 8 3" xfId="10943" xr:uid="{39496AFF-4B43-490B-9B53-B509161EE9D2}"/>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81A29DD5-F779-4BF7-9974-46280AD5B22B}"/>
    <cellStyle name="Currency 5 3 3 11" xfId="8881" xr:uid="{BC623BA1-8BE0-4928-B903-E8537652B8FC}"/>
    <cellStyle name="Currency 5 3 3 2" xfId="215" xr:uid="{00000000-0005-0000-0000-0000DF0C0000}"/>
    <cellStyle name="Currency 5 3 3 2 10" xfId="8882" xr:uid="{2D448382-96F8-4338-B1B3-A53A3896B633}"/>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B060603B-B593-4EDF-9277-BEEE03E712B5}"/>
    <cellStyle name="Currency 5 3 3 2 2 2 3" xfId="11441" xr:uid="{9666FA4E-20DF-4FF6-A779-56D638EF18C0}"/>
    <cellStyle name="Currency 5 3 3 2 2 3" xfId="5072" xr:uid="{00000000-0005-0000-0000-0000E30C0000}"/>
    <cellStyle name="Currency 5 3 3 2 2 3 2" xfId="13514" xr:uid="{480C5183-5D5E-4F36-BC77-12B39538678F}"/>
    <cellStyle name="Currency 5 3 3 2 2 4" xfId="9296" xr:uid="{293A221F-FAA8-48CB-8239-FCE801195766}"/>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C1A4822A-FF5C-46F1-A190-D47ACE8E2042}"/>
    <cellStyle name="Currency 5 3 3 2 3 2 3" xfId="11854" xr:uid="{CDE9AFA2-2970-4079-A48F-E2A1109704EA}"/>
    <cellStyle name="Currency 5 3 3 2 3 3" xfId="5485" xr:uid="{00000000-0005-0000-0000-0000E70C0000}"/>
    <cellStyle name="Currency 5 3 3 2 3 3 2" xfId="13927" xr:uid="{E39B4F97-94F9-49A5-B03C-D0A321812238}"/>
    <cellStyle name="Currency 5 3 3 2 3 4" xfId="9709" xr:uid="{993E3DDB-3417-4599-A588-231D057E1673}"/>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8B69253F-360A-4855-8E46-D1A115175CDD}"/>
    <cellStyle name="Currency 5 3 3 2 4 2 3" xfId="12267" xr:uid="{41B3E4E3-38D5-42F2-A9D6-D3DF862FE161}"/>
    <cellStyle name="Currency 5 3 3 2 4 3" xfId="5898" xr:uid="{00000000-0005-0000-0000-0000EB0C0000}"/>
    <cellStyle name="Currency 5 3 3 2 4 3 2" xfId="14340" xr:uid="{2FE21E46-71BC-4DFF-8C1D-4576EB127CE4}"/>
    <cellStyle name="Currency 5 3 3 2 4 4" xfId="10122" xr:uid="{48FD75A7-49B3-4767-9DCB-45D12802D77A}"/>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559CD0FF-6FC2-42E0-AC57-6209E873E785}"/>
    <cellStyle name="Currency 5 3 3 2 5 2 3" xfId="12680" xr:uid="{4A5B51F7-179A-4BFD-A5DF-2BF5658940C9}"/>
    <cellStyle name="Currency 5 3 3 2 5 3" xfId="6311" xr:uid="{00000000-0005-0000-0000-0000EF0C0000}"/>
    <cellStyle name="Currency 5 3 3 2 5 3 2" xfId="14753" xr:uid="{2399DBB9-AF54-4416-AE32-717D049A1F87}"/>
    <cellStyle name="Currency 5 3 3 2 5 4" xfId="10535" xr:uid="{4623FE15-4A43-4F99-952C-4B86286627A2}"/>
    <cellStyle name="Currency 5 3 3 2 6" xfId="2439" xr:uid="{00000000-0005-0000-0000-0000F00C0000}"/>
    <cellStyle name="Currency 5 3 3 2 6 2" xfId="6724" xr:uid="{00000000-0005-0000-0000-0000F10C0000}"/>
    <cellStyle name="Currency 5 3 3 2 6 2 2" xfId="15166" xr:uid="{D1886336-F235-4E8A-A6B5-E9F233AC0A1F}"/>
    <cellStyle name="Currency 5 3 3 2 6 3" xfId="10948" xr:uid="{4A5D34F4-5B34-4EC5-AF4A-8D1DB9CAA55D}"/>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829CC4F2-2C16-4011-AFFF-4F8D12E62DF5}"/>
    <cellStyle name="Currency 5 3 3 2 8 3" xfId="11265" xr:uid="{5F5329AA-6D93-4AF1-BE9B-C879A282600F}"/>
    <cellStyle name="Currency 5 3 3 2 9" xfId="4658" xr:uid="{00000000-0005-0000-0000-0000F50C0000}"/>
    <cellStyle name="Currency 5 3 3 2 9 2" xfId="13100" xr:uid="{7299C50B-CDC5-4044-ACB0-60A23B0A670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C89EDFF1-17C6-4CD6-9638-FFBB8EE05FB0}"/>
    <cellStyle name="Currency 5 3 3 3 2 3" xfId="11440" xr:uid="{5CFE1ED3-60B7-492B-B7B7-737BFB8C1111}"/>
    <cellStyle name="Currency 5 3 3 3 3" xfId="5071" xr:uid="{00000000-0005-0000-0000-0000F90C0000}"/>
    <cellStyle name="Currency 5 3 3 3 3 2" xfId="13513" xr:uid="{1E17B2F0-87FA-41D2-90C3-EF8D9FB330AF}"/>
    <cellStyle name="Currency 5 3 3 3 4" xfId="9295" xr:uid="{1F5AB1D4-815D-4F05-8C29-07F149FC44A7}"/>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680BD47D-E74F-4DDE-9E99-83C498107FE1}"/>
    <cellStyle name="Currency 5 3 3 4 2 3" xfId="11853" xr:uid="{E1C5E933-D519-4E8F-BE31-B64CF5E6E727}"/>
    <cellStyle name="Currency 5 3 3 4 3" xfId="5484" xr:uid="{00000000-0005-0000-0000-0000FD0C0000}"/>
    <cellStyle name="Currency 5 3 3 4 3 2" xfId="13926" xr:uid="{7C5C6F82-E336-44DC-A084-042F67887750}"/>
    <cellStyle name="Currency 5 3 3 4 4" xfId="9708" xr:uid="{53D87AAA-595D-445C-88EC-293222133C62}"/>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4EC17B42-CCED-44E8-83BE-096BD90C3C42}"/>
    <cellStyle name="Currency 5 3 3 5 2 3" xfId="12266" xr:uid="{D4C15430-7CE2-4D21-B27A-AB11EC4634E2}"/>
    <cellStyle name="Currency 5 3 3 5 3" xfId="5897" xr:uid="{00000000-0005-0000-0000-0000010D0000}"/>
    <cellStyle name="Currency 5 3 3 5 3 2" xfId="14339" xr:uid="{CC70F331-88E0-4554-93BE-42D1E84C2AB6}"/>
    <cellStyle name="Currency 5 3 3 5 4" xfId="10121" xr:uid="{1739B82F-028C-499C-A1C4-4C38EA46ADCC}"/>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D7136906-86CB-49AA-9F15-E24DCFCEB573}"/>
    <cellStyle name="Currency 5 3 3 6 2 3" xfId="12679" xr:uid="{0F2C184D-F792-4FC5-9A3F-80533684F040}"/>
    <cellStyle name="Currency 5 3 3 6 3" xfId="6310" xr:uid="{00000000-0005-0000-0000-0000050D0000}"/>
    <cellStyle name="Currency 5 3 3 6 3 2" xfId="14752" xr:uid="{23B400B2-ABC4-4AAB-8B68-6AA8708F5831}"/>
    <cellStyle name="Currency 5 3 3 6 4" xfId="10534" xr:uid="{634A8B76-605E-4A73-925B-E51D9B6C987A}"/>
    <cellStyle name="Currency 5 3 3 7" xfId="2438" xr:uid="{00000000-0005-0000-0000-0000060D0000}"/>
    <cellStyle name="Currency 5 3 3 7 2" xfId="6723" xr:uid="{00000000-0005-0000-0000-0000070D0000}"/>
    <cellStyle name="Currency 5 3 3 7 2 2" xfId="15165" xr:uid="{25C93C78-0E44-4EFF-A7F5-9704A14C4567}"/>
    <cellStyle name="Currency 5 3 3 7 3" xfId="10947" xr:uid="{6D3FE245-78EF-43B2-AC8F-35CD5D8AA18A}"/>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31AA7A01-7078-472F-B331-1872072692A1}"/>
    <cellStyle name="Currency 5 3 3 9 3" xfId="11264" xr:uid="{E261FB72-B87C-4473-B75D-A6551CE50B3A}"/>
    <cellStyle name="Currency 5 3 4" xfId="216" xr:uid="{00000000-0005-0000-0000-00000B0D0000}"/>
    <cellStyle name="Currency 5 3 4 10" xfId="8883" xr:uid="{B5A39EF2-5CF2-458E-9219-7D9FA7422083}"/>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2A654973-D364-45C9-8F8A-D2746E444F9E}"/>
    <cellStyle name="Currency 5 3 4 2 2 3" xfId="11442" xr:uid="{AD154667-BC60-44A4-B6AF-90381ACC2C2D}"/>
    <cellStyle name="Currency 5 3 4 2 3" xfId="5073" xr:uid="{00000000-0005-0000-0000-00000F0D0000}"/>
    <cellStyle name="Currency 5 3 4 2 3 2" xfId="13515" xr:uid="{93A1919C-398E-4612-BD14-15B6D8485270}"/>
    <cellStyle name="Currency 5 3 4 2 4" xfId="9297" xr:uid="{0AC2613C-A52F-4EF1-A6FF-830778D89838}"/>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5A560D91-AA3F-490D-9307-004450EB8791}"/>
    <cellStyle name="Currency 5 3 4 3 2 3" xfId="11855" xr:uid="{778A443C-2668-4D0E-B317-81EC1E50D306}"/>
    <cellStyle name="Currency 5 3 4 3 3" xfId="5486" xr:uid="{00000000-0005-0000-0000-0000130D0000}"/>
    <cellStyle name="Currency 5 3 4 3 3 2" xfId="13928" xr:uid="{DD730C0C-3DC3-4667-86E7-A5E1A103F2F8}"/>
    <cellStyle name="Currency 5 3 4 3 4" xfId="9710" xr:uid="{21000ABD-29B5-4D9D-BE34-ECE184D7D374}"/>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356C24F0-18F6-431B-AD8A-EF4A68BBD0F9}"/>
    <cellStyle name="Currency 5 3 4 4 2 3" xfId="12268" xr:uid="{438174E1-3A49-4F6E-BE73-BED464290358}"/>
    <cellStyle name="Currency 5 3 4 4 3" xfId="5899" xr:uid="{00000000-0005-0000-0000-0000170D0000}"/>
    <cellStyle name="Currency 5 3 4 4 3 2" xfId="14341" xr:uid="{FB63CC1B-9DED-4C60-AEA3-EE3EAB02A989}"/>
    <cellStyle name="Currency 5 3 4 4 4" xfId="10123" xr:uid="{869150B3-547A-45B3-AD79-F3153F609C6A}"/>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0D76269B-5DEA-47B7-B2C6-2725080FAF67}"/>
    <cellStyle name="Currency 5 3 4 5 2 3" xfId="12681" xr:uid="{09757B79-5F60-4EF2-B140-1370BD459711}"/>
    <cellStyle name="Currency 5 3 4 5 3" xfId="6312" xr:uid="{00000000-0005-0000-0000-00001B0D0000}"/>
    <cellStyle name="Currency 5 3 4 5 3 2" xfId="14754" xr:uid="{9E8689E8-E8B8-4665-9735-D48493B90B5C}"/>
    <cellStyle name="Currency 5 3 4 5 4" xfId="10536" xr:uid="{76869EF2-E465-40F4-810B-5DB225B538CF}"/>
    <cellStyle name="Currency 5 3 4 6" xfId="2440" xr:uid="{00000000-0005-0000-0000-00001C0D0000}"/>
    <cellStyle name="Currency 5 3 4 6 2" xfId="6725" xr:uid="{00000000-0005-0000-0000-00001D0D0000}"/>
    <cellStyle name="Currency 5 3 4 6 2 2" xfId="15167" xr:uid="{071309B3-DC9C-4CF5-827B-55F453F05BF4}"/>
    <cellStyle name="Currency 5 3 4 6 3" xfId="10949" xr:uid="{CB571A29-0427-49DB-AC3E-FA8C73970DBC}"/>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BFB28216-A2E2-4FB8-A6A3-A60E361B7338}"/>
    <cellStyle name="Currency 5 3 4 8 3" xfId="11266" xr:uid="{0271DB68-F299-4F54-877B-924E26C518D1}"/>
    <cellStyle name="Currency 5 3 4 9" xfId="4659" xr:uid="{00000000-0005-0000-0000-0000210D0000}"/>
    <cellStyle name="Currency 5 3 4 9 2" xfId="13101" xr:uid="{D2598967-3BB0-413B-B76F-39F0F0988E5B}"/>
    <cellStyle name="Currency 5 3 5" xfId="217" xr:uid="{00000000-0005-0000-0000-0000220D0000}"/>
    <cellStyle name="Currency 5 3 5 10" xfId="8884" xr:uid="{AB8CCA13-064F-4452-BEA3-A16A95FEBBC8}"/>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A3119452-8862-4926-9E0E-37EFDC3E985B}"/>
    <cellStyle name="Currency 5 3 5 2 2 3" xfId="11443" xr:uid="{D0C04EF9-72A4-44D5-8CC2-879780784C08}"/>
    <cellStyle name="Currency 5 3 5 2 3" xfId="5074" xr:uid="{00000000-0005-0000-0000-0000260D0000}"/>
    <cellStyle name="Currency 5 3 5 2 3 2" xfId="13516" xr:uid="{8B901CAF-5363-4D4A-8DF4-BCD7C8D4651C}"/>
    <cellStyle name="Currency 5 3 5 2 4" xfId="9298" xr:uid="{5F5EE3D9-3F31-4E27-AD1C-EEBE67437376}"/>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57D07BE0-396F-4F71-BD26-5D5ED778325F}"/>
    <cellStyle name="Currency 5 3 5 3 2 3" xfId="11856" xr:uid="{D9CF4D9E-97AF-4F18-9F2C-753749195FCB}"/>
    <cellStyle name="Currency 5 3 5 3 3" xfId="5487" xr:uid="{00000000-0005-0000-0000-00002A0D0000}"/>
    <cellStyle name="Currency 5 3 5 3 3 2" xfId="13929" xr:uid="{7153BE1C-C210-40C1-AD68-B99C513644C8}"/>
    <cellStyle name="Currency 5 3 5 3 4" xfId="9711" xr:uid="{5A53063D-23F7-4876-B9A5-71B8880A829B}"/>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59F14CD0-E01C-404F-B1A3-5527549A0873}"/>
    <cellStyle name="Currency 5 3 5 4 2 3" xfId="12269" xr:uid="{7BCFA82D-410F-42F4-840D-A2C4C287C43A}"/>
    <cellStyle name="Currency 5 3 5 4 3" xfId="5900" xr:uid="{00000000-0005-0000-0000-00002E0D0000}"/>
    <cellStyle name="Currency 5 3 5 4 3 2" xfId="14342" xr:uid="{0E7C6FFD-F10B-4415-A5D2-51D588533B5F}"/>
    <cellStyle name="Currency 5 3 5 4 4" xfId="10124" xr:uid="{D2C0BBEE-895E-46F8-8B87-3D8AD2643EBF}"/>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DB780CAC-47CB-42F0-A7D6-F44A058EADB0}"/>
    <cellStyle name="Currency 5 3 5 5 2 3" xfId="12682" xr:uid="{359CE6CF-A927-4104-B0D8-0DD2A821AF35}"/>
    <cellStyle name="Currency 5 3 5 5 3" xfId="6313" xr:uid="{00000000-0005-0000-0000-0000320D0000}"/>
    <cellStyle name="Currency 5 3 5 5 3 2" xfId="14755" xr:uid="{8BFB2CB7-FB64-43A3-AED8-5A57DA64EC2E}"/>
    <cellStyle name="Currency 5 3 5 5 4" xfId="10537" xr:uid="{DB23AC8F-DD1C-4F77-84F2-C9B36A7326E3}"/>
    <cellStyle name="Currency 5 3 5 6" xfId="2441" xr:uid="{00000000-0005-0000-0000-0000330D0000}"/>
    <cellStyle name="Currency 5 3 5 6 2" xfId="6726" xr:uid="{00000000-0005-0000-0000-0000340D0000}"/>
    <cellStyle name="Currency 5 3 5 6 2 2" xfId="15168" xr:uid="{5361C5ED-2F6D-4A52-8638-7078A158BBD5}"/>
    <cellStyle name="Currency 5 3 5 6 3" xfId="10950" xr:uid="{63EA8A59-2D07-4727-A7A4-EFBF514CB25C}"/>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F0073308-AECA-4F30-BD12-07C65C2A83BA}"/>
    <cellStyle name="Currency 5 3 5 8 3" xfId="11267" xr:uid="{2205C02D-C052-4E38-A7DE-BEAB5358A8FC}"/>
    <cellStyle name="Currency 5 3 5 9" xfId="4660" xr:uid="{00000000-0005-0000-0000-0000380D0000}"/>
    <cellStyle name="Currency 5 3 5 9 2" xfId="13102" xr:uid="{16BFFC9B-5D1D-454B-8FD7-3718F5686216}"/>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4D6578DD-6176-474F-9FAA-AEB96A20EADD}"/>
    <cellStyle name="Currency 5 5 11" xfId="8885" xr:uid="{588B5B84-5B72-4E29-9027-C0E973B9221D}"/>
    <cellStyle name="Currency 5 5 2" xfId="220" xr:uid="{00000000-0005-0000-0000-00003D0D0000}"/>
    <cellStyle name="Currency 5 5 2 10" xfId="8886" xr:uid="{7492DF1B-ECCC-446E-9872-41A26CE570D4}"/>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CE79C803-B3D1-4047-BD29-AEF910B2F73C}"/>
    <cellStyle name="Currency 5 5 2 2 2 3" xfId="11445" xr:uid="{8067815E-F7B2-426A-BE4B-44F69106EBCF}"/>
    <cellStyle name="Currency 5 5 2 2 3" xfId="5076" xr:uid="{00000000-0005-0000-0000-0000410D0000}"/>
    <cellStyle name="Currency 5 5 2 2 3 2" xfId="13518" xr:uid="{A1AB0C65-7C7E-42E0-BF9B-EBD3B91F992A}"/>
    <cellStyle name="Currency 5 5 2 2 4" xfId="9300" xr:uid="{7C1AD043-8339-4C39-A164-8E1E62A99815}"/>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A7D1C399-2D52-46E4-B80F-315DAD59C468}"/>
    <cellStyle name="Currency 5 5 2 3 2 3" xfId="11858" xr:uid="{9CE2FE5F-AC5C-4F66-9D25-DD4587949507}"/>
    <cellStyle name="Currency 5 5 2 3 3" xfId="5489" xr:uid="{00000000-0005-0000-0000-0000450D0000}"/>
    <cellStyle name="Currency 5 5 2 3 3 2" xfId="13931" xr:uid="{F3D03E8F-40D5-455E-AA18-03AFB61EC322}"/>
    <cellStyle name="Currency 5 5 2 3 4" xfId="9713" xr:uid="{51D503E6-14EE-4932-95D2-6A60D7023417}"/>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2AD0FCB7-DAD8-4B06-94AC-5E2838851C77}"/>
    <cellStyle name="Currency 5 5 2 4 2 3" xfId="12271" xr:uid="{09D6C574-C934-4066-81CD-E28707370CFE}"/>
    <cellStyle name="Currency 5 5 2 4 3" xfId="5902" xr:uid="{00000000-0005-0000-0000-0000490D0000}"/>
    <cellStyle name="Currency 5 5 2 4 3 2" xfId="14344" xr:uid="{45AE2EFC-1A66-44B7-BEE5-1E0D7B250DC5}"/>
    <cellStyle name="Currency 5 5 2 4 4" xfId="10126" xr:uid="{36414CB1-0362-4D1B-BBE1-48FCB2D8A0AE}"/>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D3D33406-6719-4E58-8C87-899B89D19A87}"/>
    <cellStyle name="Currency 5 5 2 5 2 3" xfId="12684" xr:uid="{8BB9806A-2866-4AD7-891C-5D01AF5F6284}"/>
    <cellStyle name="Currency 5 5 2 5 3" xfId="6315" xr:uid="{00000000-0005-0000-0000-00004D0D0000}"/>
    <cellStyle name="Currency 5 5 2 5 3 2" xfId="14757" xr:uid="{3002E91F-7CF3-4284-8C6E-63E865639D54}"/>
    <cellStyle name="Currency 5 5 2 5 4" xfId="10539" xr:uid="{CC28C000-0899-4AB2-AD72-3D5545EDFE06}"/>
    <cellStyle name="Currency 5 5 2 6" xfId="2443" xr:uid="{00000000-0005-0000-0000-00004E0D0000}"/>
    <cellStyle name="Currency 5 5 2 6 2" xfId="6728" xr:uid="{00000000-0005-0000-0000-00004F0D0000}"/>
    <cellStyle name="Currency 5 5 2 6 2 2" xfId="15170" xr:uid="{AA7B4BB3-5A54-4C83-888C-D32A7B2FB55A}"/>
    <cellStyle name="Currency 5 5 2 6 3" xfId="10952" xr:uid="{59F0F549-F684-4A87-8D66-012D2EF53B73}"/>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82AD43FE-CF1F-480E-8E03-EE8999A614B2}"/>
    <cellStyle name="Currency 5 5 2 8 3" xfId="11269" xr:uid="{A411A9BF-AD44-43B9-8A1B-6860172CF1DA}"/>
    <cellStyle name="Currency 5 5 2 9" xfId="4662" xr:uid="{00000000-0005-0000-0000-0000530D0000}"/>
    <cellStyle name="Currency 5 5 2 9 2" xfId="13104" xr:uid="{E8D37898-CF93-41B1-AC93-4D8A182158DC}"/>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1C27E3FC-E438-4238-B751-7291C2F106FF}"/>
    <cellStyle name="Currency 5 5 3 2 3" xfId="11444" xr:uid="{7BDA1F43-1957-42C3-8651-C791FB7935A7}"/>
    <cellStyle name="Currency 5 5 3 3" xfId="5075" xr:uid="{00000000-0005-0000-0000-0000570D0000}"/>
    <cellStyle name="Currency 5 5 3 3 2" xfId="13517" xr:uid="{51DAF0CC-C0A1-4592-8974-D6A2699B2F2F}"/>
    <cellStyle name="Currency 5 5 3 4" xfId="9299" xr:uid="{336B3E28-5A4A-445C-97F8-1E4117F7C2B4}"/>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09A8D0AF-CEAC-4B68-9B1B-1D3CDCC39F2C}"/>
    <cellStyle name="Currency 5 5 4 2 3" xfId="11857" xr:uid="{AFBB5582-FD59-4774-9E29-D49673BFC59F}"/>
    <cellStyle name="Currency 5 5 4 3" xfId="5488" xr:uid="{00000000-0005-0000-0000-00005B0D0000}"/>
    <cellStyle name="Currency 5 5 4 3 2" xfId="13930" xr:uid="{3E517A53-C633-46C0-9636-2BBD7F0A5266}"/>
    <cellStyle name="Currency 5 5 4 4" xfId="9712" xr:uid="{C738B9AC-755C-4A25-BE74-34D8E7775A4B}"/>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4AEEBA83-07B4-4E28-839E-2E606075D324}"/>
    <cellStyle name="Currency 5 5 5 2 3" xfId="12270" xr:uid="{84144CA1-9FC3-43C8-B6BC-A5FCB3A3F29D}"/>
    <cellStyle name="Currency 5 5 5 3" xfId="5901" xr:uid="{00000000-0005-0000-0000-00005F0D0000}"/>
    <cellStyle name="Currency 5 5 5 3 2" xfId="14343" xr:uid="{2E386BC9-8DB4-4528-934B-68078B0D8A56}"/>
    <cellStyle name="Currency 5 5 5 4" xfId="10125" xr:uid="{E2F51EB4-9381-4D1B-B062-8D0787F4C6A9}"/>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2C7D7A2A-D142-49AB-A5F2-6DBFF2FCBAF9}"/>
    <cellStyle name="Currency 5 5 6 2 3" xfId="12683" xr:uid="{5A1E4897-B5F0-40D9-B1BC-33B82A0D50DD}"/>
    <cellStyle name="Currency 5 5 6 3" xfId="6314" xr:uid="{00000000-0005-0000-0000-0000630D0000}"/>
    <cellStyle name="Currency 5 5 6 3 2" xfId="14756" xr:uid="{A54113CC-802D-4E9D-950D-1C9C1FF1DA41}"/>
    <cellStyle name="Currency 5 5 6 4" xfId="10538" xr:uid="{1FA30493-CAAE-4EA2-8C59-58B1DCBB7E93}"/>
    <cellStyle name="Currency 5 5 7" xfId="2442" xr:uid="{00000000-0005-0000-0000-0000640D0000}"/>
    <cellStyle name="Currency 5 5 7 2" xfId="6727" xr:uid="{00000000-0005-0000-0000-0000650D0000}"/>
    <cellStyle name="Currency 5 5 7 2 2" xfId="15169" xr:uid="{7016FC78-AFCB-4991-A0A0-044734B73718}"/>
    <cellStyle name="Currency 5 5 7 3" xfId="10951" xr:uid="{ABEEDEA1-F9E1-465D-813B-9318A92A00F6}"/>
    <cellStyle name="Currency 5 5 8" xfId="2739" xr:uid="{00000000-0005-0000-0000-0000660D0000}"/>
    <cellStyle name="Currency 5 5 9" xfId="2820" xr:uid="{00000000-0005-0000-0000-0000670D0000}"/>
    <cellStyle name="Currency 5 5 9 2" xfId="7044" xr:uid="{00000000-0005-0000-0000-0000680D0000}"/>
    <cellStyle name="Currency 5 5 9 2 2" xfId="15486" xr:uid="{CD84405D-96F4-48DB-B2A5-1343ABA358C8}"/>
    <cellStyle name="Currency 5 5 9 3" xfId="11268" xr:uid="{FBC46E37-218B-4A55-9E6D-8DB01421B882}"/>
    <cellStyle name="Currency 5 6" xfId="221" xr:uid="{00000000-0005-0000-0000-0000690D0000}"/>
    <cellStyle name="Currency 5 6 10" xfId="8887" xr:uid="{07E4016A-97B2-459D-9F75-9BA18037D1CB}"/>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BCF87AFB-20AD-4AC1-AD9C-B6F1A3630DF0}"/>
    <cellStyle name="Currency 5 6 2 2 3" xfId="11446" xr:uid="{BC31AD51-A647-48CA-B347-A1102B3EAC62}"/>
    <cellStyle name="Currency 5 6 2 3" xfId="5077" xr:uid="{00000000-0005-0000-0000-00006D0D0000}"/>
    <cellStyle name="Currency 5 6 2 3 2" xfId="13519" xr:uid="{B7089660-2AE8-46D4-A503-97C17CBBB2F7}"/>
    <cellStyle name="Currency 5 6 2 4" xfId="9301" xr:uid="{0C8D8817-B586-4F16-8A3D-E201E094E88C}"/>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F9B01C81-ACA4-4F1B-B8C0-5FC4B9CACBFA}"/>
    <cellStyle name="Currency 5 6 3 2 3" xfId="11859" xr:uid="{8E7BC6D7-2997-44DC-B83E-54706AE5ACFF}"/>
    <cellStyle name="Currency 5 6 3 3" xfId="5490" xr:uid="{00000000-0005-0000-0000-0000710D0000}"/>
    <cellStyle name="Currency 5 6 3 3 2" xfId="13932" xr:uid="{50D0A620-CDAB-4EFA-B2EA-45E220B92AD5}"/>
    <cellStyle name="Currency 5 6 3 4" xfId="9714" xr:uid="{95886225-4D52-4337-B671-C3D0FDB2A787}"/>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A6AF99DF-4A1F-4BB0-B6A3-ACC7D17EE92B}"/>
    <cellStyle name="Currency 5 6 4 2 3" xfId="12272" xr:uid="{4BA954E2-BE4B-4AEB-AA76-432F5D95FFD5}"/>
    <cellStyle name="Currency 5 6 4 3" xfId="5903" xr:uid="{00000000-0005-0000-0000-0000750D0000}"/>
    <cellStyle name="Currency 5 6 4 3 2" xfId="14345" xr:uid="{A9EF9DB3-1F5B-4A6A-BDF0-7E4BC122D49B}"/>
    <cellStyle name="Currency 5 6 4 4" xfId="10127" xr:uid="{E39C2BF9-DC65-42DA-B8E9-A82001751855}"/>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15107EC3-1A47-4776-99E9-1B34C3615F22}"/>
    <cellStyle name="Currency 5 6 5 2 3" xfId="12685" xr:uid="{52C75D67-15D8-4A69-BA69-78DDDEA037D8}"/>
    <cellStyle name="Currency 5 6 5 3" xfId="6316" xr:uid="{00000000-0005-0000-0000-0000790D0000}"/>
    <cellStyle name="Currency 5 6 5 3 2" xfId="14758" xr:uid="{13980A80-05B0-43DB-812F-BC87D13287F5}"/>
    <cellStyle name="Currency 5 6 5 4" xfId="10540" xr:uid="{8868351E-BE12-4A78-80AA-FBD65681E667}"/>
    <cellStyle name="Currency 5 6 6" xfId="2444" xr:uid="{00000000-0005-0000-0000-00007A0D0000}"/>
    <cellStyle name="Currency 5 6 6 2" xfId="6729" xr:uid="{00000000-0005-0000-0000-00007B0D0000}"/>
    <cellStyle name="Currency 5 6 6 2 2" xfId="15171" xr:uid="{08C7FB93-66BD-4D13-8E0A-FBD1305D757D}"/>
    <cellStyle name="Currency 5 6 6 3" xfId="10953" xr:uid="{F198A4D1-F623-4633-A759-678E275F4F6C}"/>
    <cellStyle name="Currency 5 6 7" xfId="2741" xr:uid="{00000000-0005-0000-0000-00007C0D0000}"/>
    <cellStyle name="Currency 5 6 8" xfId="2822" xr:uid="{00000000-0005-0000-0000-00007D0D0000}"/>
    <cellStyle name="Currency 5 6 8 2" xfId="7046" xr:uid="{00000000-0005-0000-0000-00007E0D0000}"/>
    <cellStyle name="Currency 5 6 8 2 2" xfId="15488" xr:uid="{61186E1C-A05B-4CE9-9DF9-B14088287FA4}"/>
    <cellStyle name="Currency 5 6 8 3" xfId="11270" xr:uid="{0DD8177C-6885-4725-A06E-7B403B8659AD}"/>
    <cellStyle name="Currency 5 6 9" xfId="4663" xr:uid="{00000000-0005-0000-0000-00007F0D0000}"/>
    <cellStyle name="Currency 5 6 9 2" xfId="13105" xr:uid="{EEC04FCD-8B14-4CB6-A230-753170A3C994}"/>
    <cellStyle name="Currency 5 7" xfId="222" xr:uid="{00000000-0005-0000-0000-0000800D0000}"/>
    <cellStyle name="Currency 5 7 10" xfId="8888" xr:uid="{34CC1B46-AAFB-419B-B822-3A33D63B5C84}"/>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ED3B15B6-3CCA-44D8-9EA7-44CC1E9D8C11}"/>
    <cellStyle name="Currency 5 7 2 2 3" xfId="11447" xr:uid="{D30CA82D-3AF5-45B4-BFEA-A9A402450CBD}"/>
    <cellStyle name="Currency 5 7 2 3" xfId="5078" xr:uid="{00000000-0005-0000-0000-0000840D0000}"/>
    <cellStyle name="Currency 5 7 2 3 2" xfId="13520" xr:uid="{9DC8D64B-A7C8-4343-BF00-9B1958FFD129}"/>
    <cellStyle name="Currency 5 7 2 4" xfId="9302" xr:uid="{6A88B360-AB44-4D47-81BF-6CB630C593F1}"/>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C73DD3F9-E006-4DE0-9704-391E3AB2A2C0}"/>
    <cellStyle name="Currency 5 7 3 2 3" xfId="11860" xr:uid="{D19469BF-C34A-4FBE-897F-CF7032497FEF}"/>
    <cellStyle name="Currency 5 7 3 3" xfId="5491" xr:uid="{00000000-0005-0000-0000-0000880D0000}"/>
    <cellStyle name="Currency 5 7 3 3 2" xfId="13933" xr:uid="{AF1F278C-3DE3-4FEA-ACBD-04CE95034B27}"/>
    <cellStyle name="Currency 5 7 3 4" xfId="9715" xr:uid="{49F8F69B-CE95-435C-8CD9-D678D7136A6E}"/>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59DF6532-A09A-48F4-916E-CA600338051B}"/>
    <cellStyle name="Currency 5 7 4 2 3" xfId="12273" xr:uid="{81D073C6-81D9-458F-9A96-D996871712FE}"/>
    <cellStyle name="Currency 5 7 4 3" xfId="5904" xr:uid="{00000000-0005-0000-0000-00008C0D0000}"/>
    <cellStyle name="Currency 5 7 4 3 2" xfId="14346" xr:uid="{49EC68C2-C57B-4253-BC5F-80E9F6A3278A}"/>
    <cellStyle name="Currency 5 7 4 4" xfId="10128" xr:uid="{2048C0E2-65D7-408C-944A-ECD60E3906C0}"/>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BBA8B0E7-4DB4-4242-8AB6-56E5FCE4B31A}"/>
    <cellStyle name="Currency 5 7 5 2 3" xfId="12686" xr:uid="{03D72540-AC05-4BFB-A751-BF11B50E8F1A}"/>
    <cellStyle name="Currency 5 7 5 3" xfId="6317" xr:uid="{00000000-0005-0000-0000-0000900D0000}"/>
    <cellStyle name="Currency 5 7 5 3 2" xfId="14759" xr:uid="{DC4076ED-1908-4671-A9EF-FBFEE96BFE11}"/>
    <cellStyle name="Currency 5 7 5 4" xfId="10541" xr:uid="{A5FBC5F7-8250-4B0F-AD6F-2D68C43EFD75}"/>
    <cellStyle name="Currency 5 7 6" xfId="2445" xr:uid="{00000000-0005-0000-0000-0000910D0000}"/>
    <cellStyle name="Currency 5 7 6 2" xfId="6730" xr:uid="{00000000-0005-0000-0000-0000920D0000}"/>
    <cellStyle name="Currency 5 7 6 2 2" xfId="15172" xr:uid="{6E7467F5-8FCD-4124-8B0A-D09A95D7BD32}"/>
    <cellStyle name="Currency 5 7 6 3" xfId="10954" xr:uid="{33588AE8-EF25-4A7B-9124-2A744719A3B8}"/>
    <cellStyle name="Currency 5 7 7" xfId="2742" xr:uid="{00000000-0005-0000-0000-0000930D0000}"/>
    <cellStyle name="Currency 5 7 8" xfId="2823" xr:uid="{00000000-0005-0000-0000-0000940D0000}"/>
    <cellStyle name="Currency 5 7 8 2" xfId="7047" xr:uid="{00000000-0005-0000-0000-0000950D0000}"/>
    <cellStyle name="Currency 5 7 8 2 2" xfId="15489" xr:uid="{B708B7E2-A1DF-42B0-974D-1D2A6ABA8417}"/>
    <cellStyle name="Currency 5 7 8 3" xfId="11271" xr:uid="{43A43384-AFAB-474E-AE15-994CD7335C84}"/>
    <cellStyle name="Currency 5 7 9" xfId="4664" xr:uid="{00000000-0005-0000-0000-0000960D0000}"/>
    <cellStyle name="Currency 5 7 9 2" xfId="13106" xr:uid="{C194B273-68F5-44B4-9592-85568BE5E08C}"/>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4D4B218F-12AF-4B9E-BBA9-EF71753BC967}"/>
    <cellStyle name="Normal 12 10 3" xfId="10955" xr:uid="{3B8C7A86-4B2C-4F04-93DE-E926F0F96C34}"/>
    <cellStyle name="Normal 12 11" xfId="4665" xr:uid="{00000000-0005-0000-0000-0000CC0D0000}"/>
    <cellStyle name="Normal 12 11 2" xfId="13107" xr:uid="{52CE4639-AE73-45BE-853B-2C44744851D8}"/>
    <cellStyle name="Normal 12 12" xfId="8889" xr:uid="{976B5FB1-4BC7-4632-97C2-329BAA954271}"/>
    <cellStyle name="Normal 12 2" xfId="260" xr:uid="{00000000-0005-0000-0000-0000CD0D0000}"/>
    <cellStyle name="Normal 12 2 10" xfId="8890" xr:uid="{8B831372-872A-4CF9-81E0-63D1B8739072}"/>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E4267D4E-DE72-47D8-9305-88D40148357D}"/>
    <cellStyle name="Normal 12 2 2 2 2 2 3" xfId="11451" xr:uid="{C741902F-3520-4C1A-B3A3-517C273FF4DF}"/>
    <cellStyle name="Normal 12 2 2 2 2 3" xfId="5082" xr:uid="{00000000-0005-0000-0000-0000D30D0000}"/>
    <cellStyle name="Normal 12 2 2 2 2 3 2" xfId="13524" xr:uid="{0C58EBA4-E5A5-431A-9543-BEDBCF677DC5}"/>
    <cellStyle name="Normal 12 2 2 2 2 4" xfId="9306" xr:uid="{B42758BF-4DB5-4F90-A001-8AEA8D9B8F84}"/>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FB2DC2CE-6813-48F3-9378-D44F24B1320B}"/>
    <cellStyle name="Normal 12 2 2 2 3 2 3" xfId="11864" xr:uid="{7718F73A-0905-4C79-879C-3B10BC29696E}"/>
    <cellStyle name="Normal 12 2 2 2 3 3" xfId="5495" xr:uid="{00000000-0005-0000-0000-0000D70D0000}"/>
    <cellStyle name="Normal 12 2 2 2 3 3 2" xfId="13937" xr:uid="{FE4C5AA8-83D0-4ADC-B494-219A187455C4}"/>
    <cellStyle name="Normal 12 2 2 2 3 4" xfId="9719" xr:uid="{1BEF9306-5B85-458F-8F70-69E1843CB02D}"/>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EDD0CDCD-EF0A-4387-8755-286E03B67F72}"/>
    <cellStyle name="Normal 12 2 2 2 4 2 3" xfId="12277" xr:uid="{305EEB70-C459-42CD-AEE8-503EFF012AB7}"/>
    <cellStyle name="Normal 12 2 2 2 4 3" xfId="5908" xr:uid="{00000000-0005-0000-0000-0000DB0D0000}"/>
    <cellStyle name="Normal 12 2 2 2 4 3 2" xfId="14350" xr:uid="{DA696619-00AE-4660-9E2C-49E031908D70}"/>
    <cellStyle name="Normal 12 2 2 2 4 4" xfId="10132" xr:uid="{47030348-666D-4EAA-8FA4-4AA8B6EF3F2A}"/>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894C3F5-E01D-4B20-B7E6-317366908542}"/>
    <cellStyle name="Normal 12 2 2 2 5 2 3" xfId="12690" xr:uid="{52D52293-116A-415A-8B96-73A68E4BB7EC}"/>
    <cellStyle name="Normal 12 2 2 2 5 3" xfId="6321" xr:uid="{00000000-0005-0000-0000-0000DF0D0000}"/>
    <cellStyle name="Normal 12 2 2 2 5 3 2" xfId="14763" xr:uid="{4461DDEA-601F-4723-A80F-036FC26F08C1}"/>
    <cellStyle name="Normal 12 2 2 2 5 4" xfId="10545" xr:uid="{510C0070-2F22-4959-879E-5482962C91B8}"/>
    <cellStyle name="Normal 12 2 2 2 6" xfId="2450" xr:uid="{00000000-0005-0000-0000-0000E00D0000}"/>
    <cellStyle name="Normal 12 2 2 2 6 2" xfId="6734" xr:uid="{00000000-0005-0000-0000-0000E10D0000}"/>
    <cellStyle name="Normal 12 2 2 2 6 2 2" xfId="15176" xr:uid="{2E230647-68B5-4B70-9519-0CDAC0E48280}"/>
    <cellStyle name="Normal 12 2 2 2 6 3" xfId="10958" xr:uid="{376BB752-0E33-4AED-8F97-680737AC23E8}"/>
    <cellStyle name="Normal 12 2 2 2 7" xfId="4668" xr:uid="{00000000-0005-0000-0000-0000E20D0000}"/>
    <cellStyle name="Normal 12 2 2 2 7 2" xfId="13110" xr:uid="{EC285A37-91C4-47E7-AA99-C6BA1A844A7B}"/>
    <cellStyle name="Normal 12 2 2 2 8" xfId="8892" xr:uid="{B89082E5-0D52-45F8-B2EA-C42115F26381}"/>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FE463574-3F80-4249-9BE8-8850FC3BEBFF}"/>
    <cellStyle name="Normal 12 2 2 3 2 3" xfId="11450" xr:uid="{E54B449B-3659-447D-A519-F7C051ADC794}"/>
    <cellStyle name="Normal 12 2 2 3 3" xfId="5081" xr:uid="{00000000-0005-0000-0000-0000E60D0000}"/>
    <cellStyle name="Normal 12 2 2 3 3 2" xfId="13523" xr:uid="{1FBA28C3-6F0D-4FFD-ADC3-8F4F834205DC}"/>
    <cellStyle name="Normal 12 2 2 3 4" xfId="9305" xr:uid="{C7E04D1B-81A7-4116-B79E-8729B3544210}"/>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E28F0CD7-ADE8-46B0-BEB2-A9BF2283E463}"/>
    <cellStyle name="Normal 12 2 2 4 2 3" xfId="11863" xr:uid="{7A36C29E-1D81-46B5-A0D6-D741CEAC112D}"/>
    <cellStyle name="Normal 12 2 2 4 3" xfId="5494" xr:uid="{00000000-0005-0000-0000-0000EA0D0000}"/>
    <cellStyle name="Normal 12 2 2 4 3 2" xfId="13936" xr:uid="{937E8101-CBA9-4C06-BC66-6C9A35D13976}"/>
    <cellStyle name="Normal 12 2 2 4 4" xfId="9718" xr:uid="{197F0BB7-EE35-4454-AC70-3BF9CE8CA704}"/>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90D3B4DE-9BD6-4D57-B13F-2C2DB99B88DE}"/>
    <cellStyle name="Normal 12 2 2 5 2 3" xfId="12276" xr:uid="{39FBE27C-B638-49C8-945A-9434D7D3EB7E}"/>
    <cellStyle name="Normal 12 2 2 5 3" xfId="5907" xr:uid="{00000000-0005-0000-0000-0000EE0D0000}"/>
    <cellStyle name="Normal 12 2 2 5 3 2" xfId="14349" xr:uid="{98545454-76F4-45AA-8E4F-2E4EA8F99B8F}"/>
    <cellStyle name="Normal 12 2 2 5 4" xfId="10131" xr:uid="{691EC584-D117-445B-A0C2-66F766BAA367}"/>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193E270C-8CCC-4AAB-BEC2-10F8CB2515E0}"/>
    <cellStyle name="Normal 12 2 2 6 2 3" xfId="12689" xr:uid="{F76FD549-451D-4E54-B44F-9C2ABC6A5A89}"/>
    <cellStyle name="Normal 12 2 2 6 3" xfId="6320" xr:uid="{00000000-0005-0000-0000-0000F20D0000}"/>
    <cellStyle name="Normal 12 2 2 6 3 2" xfId="14762" xr:uid="{E90CACCA-E812-46BE-AF6F-00E94475663E}"/>
    <cellStyle name="Normal 12 2 2 6 4" xfId="10544" xr:uid="{064BA647-0D7E-452A-9ED6-A63B1D47FBC0}"/>
    <cellStyle name="Normal 12 2 2 7" xfId="2449" xr:uid="{00000000-0005-0000-0000-0000F30D0000}"/>
    <cellStyle name="Normal 12 2 2 7 2" xfId="6733" xr:uid="{00000000-0005-0000-0000-0000F40D0000}"/>
    <cellStyle name="Normal 12 2 2 7 2 2" xfId="15175" xr:uid="{BB6533E8-0FB5-4E2E-9BDA-839F08B9BD20}"/>
    <cellStyle name="Normal 12 2 2 7 3" xfId="10957" xr:uid="{C2305B1F-7DA0-498D-B331-9F73BA99A7D0}"/>
    <cellStyle name="Normal 12 2 2 8" xfId="4667" xr:uid="{00000000-0005-0000-0000-0000F50D0000}"/>
    <cellStyle name="Normal 12 2 2 8 2" xfId="13109" xr:uid="{E8CA19C1-733D-4D64-B0F9-29515FE9CE41}"/>
    <cellStyle name="Normal 12 2 2 9" xfId="8891" xr:uid="{2A129FA4-8F9D-4417-B71E-B40EE3CD37F4}"/>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CB681F67-EE74-4D0D-86F9-322873C14C72}"/>
    <cellStyle name="Normal 12 2 3 2 2 3" xfId="11452" xr:uid="{14894E23-21F4-4C4E-9F42-D54F25F238EB}"/>
    <cellStyle name="Normal 12 2 3 2 3" xfId="5083" xr:uid="{00000000-0005-0000-0000-0000FA0D0000}"/>
    <cellStyle name="Normal 12 2 3 2 3 2" xfId="13525" xr:uid="{5AA2DE69-11BC-4664-AA0C-187DAE4913D3}"/>
    <cellStyle name="Normal 12 2 3 2 4" xfId="9307" xr:uid="{B2385D45-8ED9-42B7-8BD3-324132880936}"/>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13D58F27-6FE3-4A58-9342-174050F36FEC}"/>
    <cellStyle name="Normal 12 2 3 3 2 3" xfId="11865" xr:uid="{D944749B-0C30-4F94-914C-12FB6A1C942B}"/>
    <cellStyle name="Normal 12 2 3 3 3" xfId="5496" xr:uid="{00000000-0005-0000-0000-0000FE0D0000}"/>
    <cellStyle name="Normal 12 2 3 3 3 2" xfId="13938" xr:uid="{5750DC2D-94DF-419D-97AF-D80C47A6F540}"/>
    <cellStyle name="Normal 12 2 3 3 4" xfId="9720" xr:uid="{9451BE74-5C49-4896-8615-FEF7E5D8C350}"/>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34229465-5851-4528-BC61-0F6F80582DCA}"/>
    <cellStyle name="Normal 12 2 3 4 2 3" xfId="12278" xr:uid="{DA7A6655-D867-4F24-B774-B41DE3B14391}"/>
    <cellStyle name="Normal 12 2 3 4 3" xfId="5909" xr:uid="{00000000-0005-0000-0000-0000020E0000}"/>
    <cellStyle name="Normal 12 2 3 4 3 2" xfId="14351" xr:uid="{F870DC0C-C4C2-4FE8-AA9A-7A99925AAA34}"/>
    <cellStyle name="Normal 12 2 3 4 4" xfId="10133" xr:uid="{1F16A81A-CA05-4F1D-BFE5-B3A7A2C94CC9}"/>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D1065FD2-5401-474F-89A3-B58A4DE5DC66}"/>
    <cellStyle name="Normal 12 2 3 5 2 3" xfId="12691" xr:uid="{52AD5847-6877-4E42-9B10-12D7C3ACA763}"/>
    <cellStyle name="Normal 12 2 3 5 3" xfId="6322" xr:uid="{00000000-0005-0000-0000-0000060E0000}"/>
    <cellStyle name="Normal 12 2 3 5 3 2" xfId="14764" xr:uid="{6BA1B46B-AE26-4ACD-9099-88A35BEBF94A}"/>
    <cellStyle name="Normal 12 2 3 5 4" xfId="10546" xr:uid="{65811A26-7BB9-4A35-957F-FF712FF019C4}"/>
    <cellStyle name="Normal 12 2 3 6" xfId="2451" xr:uid="{00000000-0005-0000-0000-0000070E0000}"/>
    <cellStyle name="Normal 12 2 3 6 2" xfId="6735" xr:uid="{00000000-0005-0000-0000-0000080E0000}"/>
    <cellStyle name="Normal 12 2 3 6 2 2" xfId="15177" xr:uid="{AE22494A-9BFD-44EA-BD8A-53D8D6DD3DAD}"/>
    <cellStyle name="Normal 12 2 3 6 3" xfId="10959" xr:uid="{12197CBE-9C91-4982-AB4A-A8ED4BF281F0}"/>
    <cellStyle name="Normal 12 2 3 7" xfId="4669" xr:uid="{00000000-0005-0000-0000-0000090E0000}"/>
    <cellStyle name="Normal 12 2 3 7 2" xfId="13111" xr:uid="{62906364-EC3F-4D4B-9B7C-48A4736A0B48}"/>
    <cellStyle name="Normal 12 2 3 8" xfId="8893" xr:uid="{DD23E097-FC7F-4D7A-9EDC-A52B39666CB4}"/>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AA0200CE-A61B-44F7-952D-D531ED443133}"/>
    <cellStyle name="Normal 12 2 4 2 3" xfId="11449" xr:uid="{613E146D-688F-4201-B730-70BF54A078A2}"/>
    <cellStyle name="Normal 12 2 4 3" xfId="5080" xr:uid="{00000000-0005-0000-0000-00000D0E0000}"/>
    <cellStyle name="Normal 12 2 4 3 2" xfId="13522" xr:uid="{D1E40C0F-A518-4626-A5F0-825C1A9809B5}"/>
    <cellStyle name="Normal 12 2 4 4" xfId="9304" xr:uid="{B437F014-F76F-4231-9EFB-8EB344C3C5C7}"/>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E5F87DC4-201E-42C0-8AE0-2EA2724BD80A}"/>
    <cellStyle name="Normal 12 2 5 2 3" xfId="11862" xr:uid="{DB3BEC5C-2EC6-4A58-859F-92AEB9C19791}"/>
    <cellStyle name="Normal 12 2 5 3" xfId="5493" xr:uid="{00000000-0005-0000-0000-0000110E0000}"/>
    <cellStyle name="Normal 12 2 5 3 2" xfId="13935" xr:uid="{3B6082EE-4151-48D7-AB07-01715D6C0447}"/>
    <cellStyle name="Normal 12 2 5 4" xfId="9717" xr:uid="{02047E2C-6A5E-4875-82B5-A4D240A4AAA1}"/>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1E46F5C8-E5AD-4E6A-A001-39CE2401F558}"/>
    <cellStyle name="Normal 12 2 6 2 3" xfId="12275" xr:uid="{DBE8FC2A-93D4-47C5-B1E2-60E4CDD41FA4}"/>
    <cellStyle name="Normal 12 2 6 3" xfId="5906" xr:uid="{00000000-0005-0000-0000-0000150E0000}"/>
    <cellStyle name="Normal 12 2 6 3 2" xfId="14348" xr:uid="{E1066A12-B9FB-46D2-A2ED-D960BFF07BBA}"/>
    <cellStyle name="Normal 12 2 6 4" xfId="10130" xr:uid="{6DB86BDE-8FFA-4A1E-8D35-B3C53992FB6C}"/>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978852A4-BED9-4D53-BB3E-B6D542804505}"/>
    <cellStyle name="Normal 12 2 7 2 3" xfId="12688" xr:uid="{02B70AE0-4C2E-4556-9781-FA0DA932DA63}"/>
    <cellStyle name="Normal 12 2 7 3" xfId="6319" xr:uid="{00000000-0005-0000-0000-0000190E0000}"/>
    <cellStyle name="Normal 12 2 7 3 2" xfId="14761" xr:uid="{63403FA5-8C5D-4B49-95D1-5BB1CD517757}"/>
    <cellStyle name="Normal 12 2 7 4" xfId="10543" xr:uid="{BCB8ED36-69FD-46FE-AF87-754406B2327A}"/>
    <cellStyle name="Normal 12 2 8" xfId="2448" xr:uid="{00000000-0005-0000-0000-00001A0E0000}"/>
    <cellStyle name="Normal 12 2 8 2" xfId="6732" xr:uid="{00000000-0005-0000-0000-00001B0E0000}"/>
    <cellStyle name="Normal 12 2 8 2 2" xfId="15174" xr:uid="{12E950C2-34C0-4808-A312-C38E0FF773E8}"/>
    <cellStyle name="Normal 12 2 8 3" xfId="10956" xr:uid="{A86D6503-C293-4125-ADCC-C8C2EC92452C}"/>
    <cellStyle name="Normal 12 2 9" xfId="4666" xr:uid="{00000000-0005-0000-0000-00001C0E0000}"/>
    <cellStyle name="Normal 12 2 9 2" xfId="13108" xr:uid="{6CE8C586-4D62-4077-BAF6-47F5F62AEDB5}"/>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132289E8-78E1-40D6-BDE8-76EBEAA2EF74}"/>
    <cellStyle name="Normal 12 3 2 2 2 3" xfId="11454" xr:uid="{FF0B3441-6356-41A4-9775-42704ED4C60E}"/>
    <cellStyle name="Normal 12 3 2 2 3" xfId="5085" xr:uid="{00000000-0005-0000-0000-0000220E0000}"/>
    <cellStyle name="Normal 12 3 2 2 3 2" xfId="13527" xr:uid="{5AE674F4-6513-4A1D-8F85-E9589FCC49F2}"/>
    <cellStyle name="Normal 12 3 2 2 4" xfId="9309" xr:uid="{A168C2C2-DC5E-4C39-A58C-F78C37EB1230}"/>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96FC2EC5-986A-41A1-8F5D-12F79F705BB9}"/>
    <cellStyle name="Normal 12 3 2 3 2 3" xfId="11867" xr:uid="{AC76B49B-BEBF-4EAC-8A00-75FD9B118866}"/>
    <cellStyle name="Normal 12 3 2 3 3" xfId="5498" xr:uid="{00000000-0005-0000-0000-0000260E0000}"/>
    <cellStyle name="Normal 12 3 2 3 3 2" xfId="13940" xr:uid="{76723209-A596-4C4B-B27F-26F7A2D2BE1A}"/>
    <cellStyle name="Normal 12 3 2 3 4" xfId="9722" xr:uid="{BCB9CB2F-F3FF-4977-9A4D-EF1E37B84502}"/>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BBF4FB6E-51AF-4211-9BC0-718FE3BC07E4}"/>
    <cellStyle name="Normal 12 3 2 4 2 3" xfId="12280" xr:uid="{5CE73626-B4D9-4075-81D5-90A1249495BF}"/>
    <cellStyle name="Normal 12 3 2 4 3" xfId="5911" xr:uid="{00000000-0005-0000-0000-00002A0E0000}"/>
    <cellStyle name="Normal 12 3 2 4 3 2" xfId="14353" xr:uid="{A1904834-5E4E-4C12-9528-5DE577FAA843}"/>
    <cellStyle name="Normal 12 3 2 4 4" xfId="10135" xr:uid="{B4F79E97-F862-4E63-8C25-F3CDE49D1D9D}"/>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7DCA9F4D-39F6-4402-BF6C-CDCB6FA17CAF}"/>
    <cellStyle name="Normal 12 3 2 5 2 3" xfId="12693" xr:uid="{0B3E1467-67DD-4CED-A39A-40ECD118C6DD}"/>
    <cellStyle name="Normal 12 3 2 5 3" xfId="6324" xr:uid="{00000000-0005-0000-0000-00002E0E0000}"/>
    <cellStyle name="Normal 12 3 2 5 3 2" xfId="14766" xr:uid="{7F7DDF61-804D-481F-9A7C-3265ED5FE8BA}"/>
    <cellStyle name="Normal 12 3 2 5 4" xfId="10548" xr:uid="{8EAE5138-A8AB-40FE-959D-D1250FD0ED15}"/>
    <cellStyle name="Normal 12 3 2 6" xfId="2453" xr:uid="{00000000-0005-0000-0000-00002F0E0000}"/>
    <cellStyle name="Normal 12 3 2 6 2" xfId="6737" xr:uid="{00000000-0005-0000-0000-0000300E0000}"/>
    <cellStyle name="Normal 12 3 2 6 2 2" xfId="15179" xr:uid="{8602F461-CBF5-406B-A038-36227D57AEA8}"/>
    <cellStyle name="Normal 12 3 2 6 3" xfId="10961" xr:uid="{1987CF21-85BB-44CA-938F-F2EB471F5F8B}"/>
    <cellStyle name="Normal 12 3 2 7" xfId="4671" xr:uid="{00000000-0005-0000-0000-0000310E0000}"/>
    <cellStyle name="Normal 12 3 2 7 2" xfId="13113" xr:uid="{2E38B071-3B17-4665-A948-9B59B0B43D85}"/>
    <cellStyle name="Normal 12 3 2 8" xfId="8895" xr:uid="{B9935BB2-CC61-4977-918D-DD11E1F0868A}"/>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848CD003-D5B3-4716-9607-BF8F2F71D634}"/>
    <cellStyle name="Normal 12 3 3 2 3" xfId="11453" xr:uid="{E5667FEC-0CA8-4E9B-82CF-0B132FBDF795}"/>
    <cellStyle name="Normal 12 3 3 3" xfId="5084" xr:uid="{00000000-0005-0000-0000-0000350E0000}"/>
    <cellStyle name="Normal 12 3 3 3 2" xfId="13526" xr:uid="{3C2FB8D6-444F-49B2-9D97-C7125D5B67F3}"/>
    <cellStyle name="Normal 12 3 3 4" xfId="9308" xr:uid="{4477D2B4-081A-4CD8-A455-2D5A3D5361EB}"/>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F2A60B37-E2E6-4D3F-8328-AAF0F4F85F30}"/>
    <cellStyle name="Normal 12 3 4 2 3" xfId="11866" xr:uid="{1639AF81-61EC-4A88-A83C-C6360822903F}"/>
    <cellStyle name="Normal 12 3 4 3" xfId="5497" xr:uid="{00000000-0005-0000-0000-0000390E0000}"/>
    <cellStyle name="Normal 12 3 4 3 2" xfId="13939" xr:uid="{B945D18D-6EC2-4879-BE25-F9964C9C57A1}"/>
    <cellStyle name="Normal 12 3 4 4" xfId="9721" xr:uid="{4266A2D8-1EF7-464E-BCFA-DFBB90E9EBA1}"/>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3454A2D1-5376-44C5-ABC8-1C2EBD7AEB70}"/>
    <cellStyle name="Normal 12 3 5 2 3" xfId="12279" xr:uid="{BD0412BA-270F-4FF1-BD63-13755B847DF1}"/>
    <cellStyle name="Normal 12 3 5 3" xfId="5910" xr:uid="{00000000-0005-0000-0000-00003D0E0000}"/>
    <cellStyle name="Normal 12 3 5 3 2" xfId="14352" xr:uid="{CCECDB83-3900-4312-9B9A-B2EE3238EA0A}"/>
    <cellStyle name="Normal 12 3 5 4" xfId="10134" xr:uid="{2A67FF89-9DBE-4453-A6B0-122CF87A73E2}"/>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F78A240F-BFBF-4826-8B4D-594684A90963}"/>
    <cellStyle name="Normal 12 3 6 2 3" xfId="12692" xr:uid="{C8F5C9EB-488C-44BE-8DFD-34DB2BA3BD8B}"/>
    <cellStyle name="Normal 12 3 6 3" xfId="6323" xr:uid="{00000000-0005-0000-0000-0000410E0000}"/>
    <cellStyle name="Normal 12 3 6 3 2" xfId="14765" xr:uid="{CE765054-C69F-43F7-AAB7-1CD74FDD2F09}"/>
    <cellStyle name="Normal 12 3 6 4" xfId="10547" xr:uid="{EA895D64-4E64-4BE5-8944-3DE6ECDEB760}"/>
    <cellStyle name="Normal 12 3 7" xfId="2452" xr:uid="{00000000-0005-0000-0000-0000420E0000}"/>
    <cellStyle name="Normal 12 3 7 2" xfId="6736" xr:uid="{00000000-0005-0000-0000-0000430E0000}"/>
    <cellStyle name="Normal 12 3 7 2 2" xfId="15178" xr:uid="{1421170C-63FC-425C-81F4-91AE8827AC8F}"/>
    <cellStyle name="Normal 12 3 7 3" xfId="10960" xr:uid="{BC5C0080-4D84-45A2-A7B0-DA09C6974608}"/>
    <cellStyle name="Normal 12 3 8" xfId="4670" xr:uid="{00000000-0005-0000-0000-0000440E0000}"/>
    <cellStyle name="Normal 12 3 8 2" xfId="13112" xr:uid="{325FEBC6-0929-4FD0-ABC0-AD3FE49EF938}"/>
    <cellStyle name="Normal 12 3 9" xfId="8894" xr:uid="{173EBD21-5919-4D68-B562-1A931C47FB52}"/>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4F06F986-3AB7-444A-B769-EA23536CF24D}"/>
    <cellStyle name="Normal 12 4 2 2 3" xfId="11455" xr:uid="{A675503F-E0E1-4969-9AF5-BB9752D3A2E8}"/>
    <cellStyle name="Normal 12 4 2 3" xfId="5086" xr:uid="{00000000-0005-0000-0000-0000490E0000}"/>
    <cellStyle name="Normal 12 4 2 3 2" xfId="13528" xr:uid="{B0C78A36-D380-478F-A2BC-3DF4E033FEDC}"/>
    <cellStyle name="Normal 12 4 2 4" xfId="9310" xr:uid="{2688E542-D84D-478C-9040-52A117B5DBEA}"/>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6E8802B3-6632-4D7D-A153-C6FA205B9A72}"/>
    <cellStyle name="Normal 12 4 3 2 3" xfId="11868" xr:uid="{3662C0CD-594F-488C-A680-86F3BB21C978}"/>
    <cellStyle name="Normal 12 4 3 3" xfId="5499" xr:uid="{00000000-0005-0000-0000-00004D0E0000}"/>
    <cellStyle name="Normal 12 4 3 3 2" xfId="13941" xr:uid="{CB1C6919-EF41-4289-A5ED-561DDCFE9E37}"/>
    <cellStyle name="Normal 12 4 3 4" xfId="9723" xr:uid="{8A26F20A-AC5E-4C34-9493-4A1ECF2B6B01}"/>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0969DBEE-6FED-49F8-A136-3DCA126D39FE}"/>
    <cellStyle name="Normal 12 4 4 2 3" xfId="12281" xr:uid="{F5AE4BA2-C04D-424D-B347-58AEADCA652C}"/>
    <cellStyle name="Normal 12 4 4 3" xfId="5912" xr:uid="{00000000-0005-0000-0000-0000510E0000}"/>
    <cellStyle name="Normal 12 4 4 3 2" xfId="14354" xr:uid="{7E551C50-FFC9-4774-8485-1F38DFDF9D57}"/>
    <cellStyle name="Normal 12 4 4 4" xfId="10136" xr:uid="{7F3DB4F6-E818-4A81-BA9D-E560B9B4B0F5}"/>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E43AFAAA-C103-4C89-A12F-1B66D5A7B595}"/>
    <cellStyle name="Normal 12 4 5 2 3" xfId="12694" xr:uid="{2A556D78-AF59-4209-AB2B-DD0C087DD790}"/>
    <cellStyle name="Normal 12 4 5 3" xfId="6325" xr:uid="{00000000-0005-0000-0000-0000550E0000}"/>
    <cellStyle name="Normal 12 4 5 3 2" xfId="14767" xr:uid="{A387A186-F9AD-49B0-AAB5-B3A91A5B904C}"/>
    <cellStyle name="Normal 12 4 5 4" xfId="10549" xr:uid="{12FDBF19-9DB9-4837-B148-18235794975D}"/>
    <cellStyle name="Normal 12 4 6" xfId="2454" xr:uid="{00000000-0005-0000-0000-0000560E0000}"/>
    <cellStyle name="Normal 12 4 6 2" xfId="6738" xr:uid="{00000000-0005-0000-0000-0000570E0000}"/>
    <cellStyle name="Normal 12 4 6 2 2" xfId="15180" xr:uid="{8F779869-2F42-42BC-9D4E-6BF3D0ABF03B}"/>
    <cellStyle name="Normal 12 4 6 3" xfId="10962" xr:uid="{E69F58CA-BD49-4F97-9695-5BFA301D022D}"/>
    <cellStyle name="Normal 12 4 7" xfId="4672" xr:uid="{00000000-0005-0000-0000-0000580E0000}"/>
    <cellStyle name="Normal 12 4 7 2" xfId="13114" xr:uid="{5A5C37E4-0E05-4A29-9F0F-A6DE4AACA504}"/>
    <cellStyle name="Normal 12 4 8" xfId="8896" xr:uid="{487F69AD-AFA3-4448-AABF-3434BAD1563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BBB6312F-0107-4097-981E-9D7625B37F1F}"/>
    <cellStyle name="Normal 12 6 2 3" xfId="11448" xr:uid="{E5FB1AFC-3B4D-43EA-AC4D-B4726314B7AD}"/>
    <cellStyle name="Normal 12 6 3" xfId="5079" xr:uid="{00000000-0005-0000-0000-00005D0E0000}"/>
    <cellStyle name="Normal 12 6 3 2" xfId="13521" xr:uid="{42963ECC-160B-44DD-BF15-B7C466A99293}"/>
    <cellStyle name="Normal 12 6 4" xfId="9303" xr:uid="{A5DCB4AB-879B-4E11-ADAC-C7ACB353A1D4}"/>
    <cellStyle name="Normal 12 7" xfId="1183" xr:uid="{00000000-0005-0000-0000-00005E0E0000}"/>
    <cellStyle name="Normal 12 7 2" xfId="3414" xr:uid="{00000000-0005-0000-0000-00005F0E0000}"/>
    <cellStyle name="Normal 12 7 2 2" xfId="7637" xr:uid="{00000000-0005-0000-0000-0000600E0000}"/>
    <cellStyle name="Normal 12 7 2 2 2" xfId="16079" xr:uid="{2CB4DDDE-4DC1-4A75-8766-D83D6188FC57}"/>
    <cellStyle name="Normal 12 7 2 3" xfId="11861" xr:uid="{13FD011A-2B2A-47A4-8C8C-B438FDD671D1}"/>
    <cellStyle name="Normal 12 7 3" xfId="5492" xr:uid="{00000000-0005-0000-0000-0000610E0000}"/>
    <cellStyle name="Normal 12 7 3 2" xfId="13934" xr:uid="{699E04EB-6E98-4B7B-9CF2-CE062E3D4AF7}"/>
    <cellStyle name="Normal 12 7 4" xfId="9716" xr:uid="{5D2868F0-DFBF-4C2E-9A63-1EE7E6EBD75E}"/>
    <cellStyle name="Normal 12 8" xfId="1597" xr:uid="{00000000-0005-0000-0000-0000620E0000}"/>
    <cellStyle name="Normal 12 8 2" xfId="3827" xr:uid="{00000000-0005-0000-0000-0000630E0000}"/>
    <cellStyle name="Normal 12 8 2 2" xfId="8050" xr:uid="{00000000-0005-0000-0000-0000640E0000}"/>
    <cellStyle name="Normal 12 8 2 2 2" xfId="16492" xr:uid="{FC9FC1DC-6532-463E-B86C-ED0061F572D4}"/>
    <cellStyle name="Normal 12 8 2 3" xfId="12274" xr:uid="{099BEF37-E5B7-4A88-8B96-563AE611CEAB}"/>
    <cellStyle name="Normal 12 8 3" xfId="5905" xr:uid="{00000000-0005-0000-0000-0000650E0000}"/>
    <cellStyle name="Normal 12 8 3 2" xfId="14347" xr:uid="{21E0103C-8AF6-4B43-B6D6-BB76F3CBA7EE}"/>
    <cellStyle name="Normal 12 8 4" xfId="10129" xr:uid="{7AE18E58-7111-4D9C-A0B0-02D3CE5B22FD}"/>
    <cellStyle name="Normal 12 9" xfId="2011" xr:uid="{00000000-0005-0000-0000-0000660E0000}"/>
    <cellStyle name="Normal 12 9 2" xfId="4240" xr:uid="{00000000-0005-0000-0000-0000670E0000}"/>
    <cellStyle name="Normal 12 9 2 2" xfId="8463" xr:uid="{00000000-0005-0000-0000-0000680E0000}"/>
    <cellStyle name="Normal 12 9 2 2 2" xfId="16905" xr:uid="{ED51E3E2-0007-44F5-894B-F22600D4B4F5}"/>
    <cellStyle name="Normal 12 9 2 3" xfId="12687" xr:uid="{140B5546-2161-4D31-8280-3868DEB67945}"/>
    <cellStyle name="Normal 12 9 3" xfId="6318" xr:uid="{00000000-0005-0000-0000-0000690E0000}"/>
    <cellStyle name="Normal 12 9 3 2" xfId="14760" xr:uid="{0D2CC654-20E7-4D31-948B-8D4B07C47A16}"/>
    <cellStyle name="Normal 12 9 4" xfId="10542" xr:uid="{6A1D1E11-5B2F-4384-887A-9E75E951BB81}"/>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5E349A95-D5F4-49A3-87B9-AED48A040D38}"/>
    <cellStyle name="Normal 14 2 2 3" xfId="11456" xr:uid="{C8D87211-3D8F-49E9-AADD-E5C6316DD0E2}"/>
    <cellStyle name="Normal 14 2 3" xfId="5087" xr:uid="{00000000-0005-0000-0000-0000700E0000}"/>
    <cellStyle name="Normal 14 2 3 2" xfId="13529" xr:uid="{E83AC9EC-1D19-419C-8162-39AF9AEAD98B}"/>
    <cellStyle name="Normal 14 2 4" xfId="9311" xr:uid="{D1E936DA-A5E2-44C0-9421-071506327DD9}"/>
    <cellStyle name="Normal 14 3" xfId="1191" xr:uid="{00000000-0005-0000-0000-0000710E0000}"/>
    <cellStyle name="Normal 14 3 2" xfId="3422" xr:uid="{00000000-0005-0000-0000-0000720E0000}"/>
    <cellStyle name="Normal 14 3 2 2" xfId="7645" xr:uid="{00000000-0005-0000-0000-0000730E0000}"/>
    <cellStyle name="Normal 14 3 2 2 2" xfId="16087" xr:uid="{3140F347-F523-4F57-95B1-38772CF28D6F}"/>
    <cellStyle name="Normal 14 3 2 3" xfId="11869" xr:uid="{AF914BD1-056E-43A9-B6D2-235FFEC5D749}"/>
    <cellStyle name="Normal 14 3 3" xfId="5500" xr:uid="{00000000-0005-0000-0000-0000740E0000}"/>
    <cellStyle name="Normal 14 3 3 2" xfId="13942" xr:uid="{39BF7610-5C68-4663-ACE0-9128BA0DE07D}"/>
    <cellStyle name="Normal 14 3 4" xfId="9724" xr:uid="{C31B2AA6-100F-4515-A59E-D5F788E1B341}"/>
    <cellStyle name="Normal 14 4" xfId="1605" xr:uid="{00000000-0005-0000-0000-0000750E0000}"/>
    <cellStyle name="Normal 14 4 2" xfId="3835" xr:uid="{00000000-0005-0000-0000-0000760E0000}"/>
    <cellStyle name="Normal 14 4 2 2" xfId="8058" xr:uid="{00000000-0005-0000-0000-0000770E0000}"/>
    <cellStyle name="Normal 14 4 2 2 2" xfId="16500" xr:uid="{EA48535F-9DA4-4743-8215-1D312073CA00}"/>
    <cellStyle name="Normal 14 4 2 3" xfId="12282" xr:uid="{9CE34A82-FEEA-4486-9526-F727E7A9E56C}"/>
    <cellStyle name="Normal 14 4 3" xfId="5913" xr:uid="{00000000-0005-0000-0000-0000780E0000}"/>
    <cellStyle name="Normal 14 4 3 2" xfId="14355" xr:uid="{7E182129-3E29-4808-9971-73B2AE1149B6}"/>
    <cellStyle name="Normal 14 4 4" xfId="10137" xr:uid="{9A6124D2-D9F1-4532-A33D-21F1BD021E4F}"/>
    <cellStyle name="Normal 14 5" xfId="2019" xr:uid="{00000000-0005-0000-0000-0000790E0000}"/>
    <cellStyle name="Normal 14 5 2" xfId="4248" xr:uid="{00000000-0005-0000-0000-00007A0E0000}"/>
    <cellStyle name="Normal 14 5 2 2" xfId="8471" xr:uid="{00000000-0005-0000-0000-00007B0E0000}"/>
    <cellStyle name="Normal 14 5 2 2 2" xfId="16913" xr:uid="{EC080410-A64A-4179-BF78-E1A2EA16E619}"/>
    <cellStyle name="Normal 14 5 2 3" xfId="12695" xr:uid="{FCDA8BCB-C19C-44F6-BBE3-BE52539CBE0A}"/>
    <cellStyle name="Normal 14 5 3" xfId="6326" xr:uid="{00000000-0005-0000-0000-00007C0E0000}"/>
    <cellStyle name="Normal 14 5 3 2" xfId="14768" xr:uid="{4782A43A-35F0-4EF5-B135-D4E1AE66B827}"/>
    <cellStyle name="Normal 14 5 4" xfId="10550" xr:uid="{C2FF5667-69B6-4DC9-BEAF-24376D36FC9E}"/>
    <cellStyle name="Normal 14 6" xfId="2455" xr:uid="{00000000-0005-0000-0000-00007D0E0000}"/>
    <cellStyle name="Normal 14 6 2" xfId="6739" xr:uid="{00000000-0005-0000-0000-00007E0E0000}"/>
    <cellStyle name="Normal 14 6 2 2" xfId="15181" xr:uid="{0CB016FA-9A6C-4EEE-9816-EDC76548D3C3}"/>
    <cellStyle name="Normal 14 6 3" xfId="10963" xr:uid="{266296F9-B1F0-4578-BC40-DB67A1C71DAB}"/>
    <cellStyle name="Normal 14 7" xfId="4673" xr:uid="{00000000-0005-0000-0000-00007F0E0000}"/>
    <cellStyle name="Normal 14 7 2" xfId="13115" xr:uid="{835F2E25-7733-4742-8FE8-D77DE9B6778D}"/>
    <cellStyle name="Normal 14 8" xfId="8897" xr:uid="{76904584-1362-4DC8-A5B8-F28DE3E84F15}"/>
    <cellStyle name="Normal 15" xfId="4496" xr:uid="{00000000-0005-0000-0000-0000800E0000}"/>
    <cellStyle name="Normal 15 2" xfId="12941" xr:uid="{87B19F5E-C83A-4D0F-870E-9B433A7660C0}"/>
    <cellStyle name="Normal 16" xfId="4500" xr:uid="{00000000-0005-0000-0000-0000810E0000}"/>
    <cellStyle name="Normal 16 2" xfId="8716" xr:uid="{00000000-0005-0000-0000-0000820E0000}"/>
    <cellStyle name="Normal 16 2 2" xfId="17158" xr:uid="{2763AD18-A9E4-4A6B-B702-6CAB84EC03CF}"/>
    <cellStyle name="Normal 16 3" xfId="8719" xr:uid="{3DE1BEEB-61FA-4094-B10F-9E0444F68763}"/>
    <cellStyle name="Normal 16 3 2" xfId="8723" xr:uid="{FE0BC069-4698-40B2-814D-8E09719245E9}"/>
    <cellStyle name="Normal 16 3 2 2" xfId="8726" xr:uid="{D3E9609F-293A-4CFC-B194-1FF2F92D621D}"/>
    <cellStyle name="Normal 16 3 2 3" xfId="17164" xr:uid="{C96B58E5-7FC5-4981-A424-FB90BCED03BF}"/>
    <cellStyle name="Normal 16 3 3" xfId="17161" xr:uid="{ADD50C91-590C-41C0-82D1-EC07415A5EE9}"/>
    <cellStyle name="Normal 16 4" xfId="12944" xr:uid="{3CC03C28-2F88-4444-AEC5-D0443211360B}"/>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81319D55-A290-4A02-9A90-8132F49335D8}"/>
    <cellStyle name="Normal 2 4 2 10 2 3" xfId="12696" xr:uid="{3E7E7A9B-806A-43FC-9021-B335A4EEAA5B}"/>
    <cellStyle name="Normal 2 4 2 10 3" xfId="6327" xr:uid="{00000000-0005-0000-0000-0000910E0000}"/>
    <cellStyle name="Normal 2 4 2 10 3 2" xfId="14769" xr:uid="{7B7E8763-03DF-4641-8566-08741CEBA96F}"/>
    <cellStyle name="Normal 2 4 2 10 4" xfId="10551" xr:uid="{D004A642-00CF-4E57-9ECC-048CF224DE20}"/>
    <cellStyle name="Normal 2 4 2 11" xfId="2456" xr:uid="{00000000-0005-0000-0000-0000920E0000}"/>
    <cellStyle name="Normal 2 4 2 11 2" xfId="6740" xr:uid="{00000000-0005-0000-0000-0000930E0000}"/>
    <cellStyle name="Normal 2 4 2 11 2 2" xfId="15182" xr:uid="{4D1E4F50-AE63-43D5-AA0F-B145FCE667DB}"/>
    <cellStyle name="Normal 2 4 2 11 3" xfId="10964" xr:uid="{A58BCE97-5819-4D80-82C7-5B7E2DA60D5F}"/>
    <cellStyle name="Normal 2 4 2 12" xfId="4674" xr:uid="{00000000-0005-0000-0000-0000940E0000}"/>
    <cellStyle name="Normal 2 4 2 12 2" xfId="13116" xr:uid="{FA371E68-AE78-4BB8-A259-2659DD629435}"/>
    <cellStyle name="Normal 2 4 2 13" xfId="8898" xr:uid="{317F3A81-03DE-4E73-87B5-35CFD8E70053}"/>
    <cellStyle name="Normal 2 4 2 2" xfId="280" xr:uid="{00000000-0005-0000-0000-0000950E0000}"/>
    <cellStyle name="Normal 2 4 2 3" xfId="281" xr:uid="{00000000-0005-0000-0000-0000960E0000}"/>
    <cellStyle name="Normal 2 4 2 3 10" xfId="4675" xr:uid="{00000000-0005-0000-0000-0000970E0000}"/>
    <cellStyle name="Normal 2 4 2 3 10 2" xfId="13117" xr:uid="{45ACB43A-7B74-4AFA-BF77-077710AD6D6D}"/>
    <cellStyle name="Normal 2 4 2 3 11" xfId="8899" xr:uid="{EC3D5725-3C61-445D-930D-358A93775E95}"/>
    <cellStyle name="Normal 2 4 2 3 2" xfId="282" xr:uid="{00000000-0005-0000-0000-0000980E0000}"/>
    <cellStyle name="Normal 2 4 2 3 2 10" xfId="8900" xr:uid="{87CD76EC-3FC0-4E18-8F28-642739F681D6}"/>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FBD881B6-209E-476A-A4A0-52E85AD3D0F6}"/>
    <cellStyle name="Normal 2 4 2 3 2 2 2 2 2 3" xfId="11461" xr:uid="{581E8DC9-D7B6-4761-AA08-AA89A5766C72}"/>
    <cellStyle name="Normal 2 4 2 3 2 2 2 2 3" xfId="5092" xr:uid="{00000000-0005-0000-0000-00009E0E0000}"/>
    <cellStyle name="Normal 2 4 2 3 2 2 2 2 3 2" xfId="13534" xr:uid="{23DE5F04-782F-4805-85E5-1D1F4FD88BD6}"/>
    <cellStyle name="Normal 2 4 2 3 2 2 2 2 4" xfId="9316" xr:uid="{FE32864F-CA24-4380-B271-8FD967C3C7A9}"/>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2EFD7257-6112-4EC8-8333-D6B0DAB39D80}"/>
    <cellStyle name="Normal 2 4 2 3 2 2 2 3 2 3" xfId="11874" xr:uid="{62A829E1-1835-4DFC-A71E-627D749D0C75}"/>
    <cellStyle name="Normal 2 4 2 3 2 2 2 3 3" xfId="5505" xr:uid="{00000000-0005-0000-0000-0000A20E0000}"/>
    <cellStyle name="Normal 2 4 2 3 2 2 2 3 3 2" xfId="13947" xr:uid="{76CB6DA0-977A-4F1C-8642-46864C846988}"/>
    <cellStyle name="Normal 2 4 2 3 2 2 2 3 4" xfId="9729" xr:uid="{41AFFE33-9FBF-4EA8-9F37-1D64D673D7E5}"/>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CE08E2DA-5F92-4AF7-8FDB-59F789F0BFE7}"/>
    <cellStyle name="Normal 2 4 2 3 2 2 2 4 2 3" xfId="12287" xr:uid="{3AF97B1A-4029-4E10-8A9C-52C105C2C824}"/>
    <cellStyle name="Normal 2 4 2 3 2 2 2 4 3" xfId="5918" xr:uid="{00000000-0005-0000-0000-0000A60E0000}"/>
    <cellStyle name="Normal 2 4 2 3 2 2 2 4 3 2" xfId="14360" xr:uid="{3FD92CD5-4C0C-4348-A9C1-A678613E8C79}"/>
    <cellStyle name="Normal 2 4 2 3 2 2 2 4 4" xfId="10142" xr:uid="{34A6EB0F-EF16-4BF0-B4F6-FC7F70A3C2FA}"/>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5D791E0C-449A-4C3F-A891-23BB37671830}"/>
    <cellStyle name="Normal 2 4 2 3 2 2 2 5 2 3" xfId="12700" xr:uid="{21619DBB-1533-4E8E-86A4-F81C16C6E6EB}"/>
    <cellStyle name="Normal 2 4 2 3 2 2 2 5 3" xfId="6331" xr:uid="{00000000-0005-0000-0000-0000AA0E0000}"/>
    <cellStyle name="Normal 2 4 2 3 2 2 2 5 3 2" xfId="14773" xr:uid="{2F1966C6-1E65-4425-B995-64FF3987C68B}"/>
    <cellStyle name="Normal 2 4 2 3 2 2 2 5 4" xfId="10555" xr:uid="{C6BA95F1-24C9-46FE-ADDB-F26DF036D033}"/>
    <cellStyle name="Normal 2 4 2 3 2 2 2 6" xfId="2460" xr:uid="{00000000-0005-0000-0000-0000AB0E0000}"/>
    <cellStyle name="Normal 2 4 2 3 2 2 2 6 2" xfId="6744" xr:uid="{00000000-0005-0000-0000-0000AC0E0000}"/>
    <cellStyle name="Normal 2 4 2 3 2 2 2 6 2 2" xfId="15186" xr:uid="{13EDDA35-3246-4EEF-8D62-21F55ED3D785}"/>
    <cellStyle name="Normal 2 4 2 3 2 2 2 6 3" xfId="10968" xr:uid="{C59774D5-ACC1-473F-9821-C51294951ADD}"/>
    <cellStyle name="Normal 2 4 2 3 2 2 2 7" xfId="4678" xr:uid="{00000000-0005-0000-0000-0000AD0E0000}"/>
    <cellStyle name="Normal 2 4 2 3 2 2 2 7 2" xfId="13120" xr:uid="{09CE6966-1850-41E3-9598-B4378E2F6978}"/>
    <cellStyle name="Normal 2 4 2 3 2 2 2 8" xfId="8902" xr:uid="{E8C05AF7-ECB3-4991-A461-7500298BA166}"/>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DEFA6C29-72CF-4EE1-B564-360AA98A219A}"/>
    <cellStyle name="Normal 2 4 2 3 2 2 3 2 3" xfId="11460" xr:uid="{ED4909EE-CBDD-4688-89C0-B5A60CB2CF13}"/>
    <cellStyle name="Normal 2 4 2 3 2 2 3 3" xfId="5091" xr:uid="{00000000-0005-0000-0000-0000B10E0000}"/>
    <cellStyle name="Normal 2 4 2 3 2 2 3 3 2" xfId="13533" xr:uid="{C8D46A85-37D8-4139-BFDF-47BBA0BC7485}"/>
    <cellStyle name="Normal 2 4 2 3 2 2 3 4" xfId="9315" xr:uid="{EAD934D8-CD54-4932-BEAB-174F0B587F98}"/>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3ACCFA39-4BE9-4281-8E8A-A5F8A82F94A3}"/>
    <cellStyle name="Normal 2 4 2 3 2 2 4 2 3" xfId="11873" xr:uid="{E0459E71-4BC0-4046-A78A-9FE23D727C25}"/>
    <cellStyle name="Normal 2 4 2 3 2 2 4 3" xfId="5504" xr:uid="{00000000-0005-0000-0000-0000B50E0000}"/>
    <cellStyle name="Normal 2 4 2 3 2 2 4 3 2" xfId="13946" xr:uid="{8A188ABE-85DA-4AB5-B0E5-B5BD2DEB003E}"/>
    <cellStyle name="Normal 2 4 2 3 2 2 4 4" xfId="9728" xr:uid="{3E1B96AF-983A-47D7-9F08-1302FC78AF85}"/>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E4D03791-869E-4216-AABA-23D0AB923D99}"/>
    <cellStyle name="Normal 2 4 2 3 2 2 5 2 3" xfId="12286" xr:uid="{60D8A94C-B3C4-45FD-9D99-71CD1C37EBDE}"/>
    <cellStyle name="Normal 2 4 2 3 2 2 5 3" xfId="5917" xr:uid="{00000000-0005-0000-0000-0000B90E0000}"/>
    <cellStyle name="Normal 2 4 2 3 2 2 5 3 2" xfId="14359" xr:uid="{152C97DC-3B98-4531-B781-E66F28FD1EA6}"/>
    <cellStyle name="Normal 2 4 2 3 2 2 5 4" xfId="10141" xr:uid="{D1F3E451-D4E1-49F9-831C-274D43DF8A3C}"/>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E283A408-6A80-4257-96E2-BB51A4A6B919}"/>
    <cellStyle name="Normal 2 4 2 3 2 2 6 2 3" xfId="12699" xr:uid="{F52E15DB-F54A-45B4-AD32-8F888D02B28A}"/>
    <cellStyle name="Normal 2 4 2 3 2 2 6 3" xfId="6330" xr:uid="{00000000-0005-0000-0000-0000BD0E0000}"/>
    <cellStyle name="Normal 2 4 2 3 2 2 6 3 2" xfId="14772" xr:uid="{2456DE82-E3EC-4CD1-8958-40B81936CDF1}"/>
    <cellStyle name="Normal 2 4 2 3 2 2 6 4" xfId="10554" xr:uid="{30375FF6-D257-4148-AED9-512607C59CFD}"/>
    <cellStyle name="Normal 2 4 2 3 2 2 7" xfId="2459" xr:uid="{00000000-0005-0000-0000-0000BE0E0000}"/>
    <cellStyle name="Normal 2 4 2 3 2 2 7 2" xfId="6743" xr:uid="{00000000-0005-0000-0000-0000BF0E0000}"/>
    <cellStyle name="Normal 2 4 2 3 2 2 7 2 2" xfId="15185" xr:uid="{D157CE9D-1363-45BA-AC15-36DB456AEDF6}"/>
    <cellStyle name="Normal 2 4 2 3 2 2 7 3" xfId="10967" xr:uid="{6DE38A8A-28C0-4BEC-BC35-8E99423B7C96}"/>
    <cellStyle name="Normal 2 4 2 3 2 2 8" xfId="4677" xr:uid="{00000000-0005-0000-0000-0000C00E0000}"/>
    <cellStyle name="Normal 2 4 2 3 2 2 8 2" xfId="13119" xr:uid="{C47E7569-C984-4A50-BEF6-54F4097C49CA}"/>
    <cellStyle name="Normal 2 4 2 3 2 2 9" xfId="8901" xr:uid="{B1E67F2E-CCC6-4E9C-9575-49E3181B8EF9}"/>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54932B62-5081-423D-8AC9-50269C949385}"/>
    <cellStyle name="Normal 2 4 2 3 2 3 2 2 3" xfId="11462" xr:uid="{911C8DBF-7DDA-407A-9A03-4517211E1EC0}"/>
    <cellStyle name="Normal 2 4 2 3 2 3 2 3" xfId="5093" xr:uid="{00000000-0005-0000-0000-0000C50E0000}"/>
    <cellStyle name="Normal 2 4 2 3 2 3 2 3 2" xfId="13535" xr:uid="{AAF5B63F-08AD-4B6F-A438-55CCA1ECAC97}"/>
    <cellStyle name="Normal 2 4 2 3 2 3 2 4" xfId="9317" xr:uid="{CA9B65D7-9D14-44F2-B1A5-2F9C5F83B87F}"/>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492FBDD1-4289-4E27-9676-0D2E8A2B1E07}"/>
    <cellStyle name="Normal 2 4 2 3 2 3 3 2 3" xfId="11875" xr:uid="{3C6B100E-7F29-48EE-B558-BBA9B6798EB6}"/>
    <cellStyle name="Normal 2 4 2 3 2 3 3 3" xfId="5506" xr:uid="{00000000-0005-0000-0000-0000C90E0000}"/>
    <cellStyle name="Normal 2 4 2 3 2 3 3 3 2" xfId="13948" xr:uid="{A3845959-D294-417E-B155-91CEDE013429}"/>
    <cellStyle name="Normal 2 4 2 3 2 3 3 4" xfId="9730" xr:uid="{D48D0B8E-A007-4ED9-B40F-C37B8F3069C3}"/>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DC6E3A49-CA6B-4892-9FCD-78063281E8EA}"/>
    <cellStyle name="Normal 2 4 2 3 2 3 4 2 3" xfId="12288" xr:uid="{66339404-B1E6-4875-813E-281F3C875008}"/>
    <cellStyle name="Normal 2 4 2 3 2 3 4 3" xfId="5919" xr:uid="{00000000-0005-0000-0000-0000CD0E0000}"/>
    <cellStyle name="Normal 2 4 2 3 2 3 4 3 2" xfId="14361" xr:uid="{421AB57A-089C-47B8-95D1-F7976E637E89}"/>
    <cellStyle name="Normal 2 4 2 3 2 3 4 4" xfId="10143" xr:uid="{189E030B-0985-4259-9423-3A7A22F55622}"/>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22733061-2B32-4036-A960-83205211808A}"/>
    <cellStyle name="Normal 2 4 2 3 2 3 5 2 3" xfId="12701" xr:uid="{488135BA-EDF9-4B80-87C3-29B9AD4C2694}"/>
    <cellStyle name="Normal 2 4 2 3 2 3 5 3" xfId="6332" xr:uid="{00000000-0005-0000-0000-0000D10E0000}"/>
    <cellStyle name="Normal 2 4 2 3 2 3 5 3 2" xfId="14774" xr:uid="{5E854861-7F0B-4D10-9234-92BCFD25D2B5}"/>
    <cellStyle name="Normal 2 4 2 3 2 3 5 4" xfId="10556" xr:uid="{33F2B918-E02B-4317-A402-287C1FAD5A48}"/>
    <cellStyle name="Normal 2 4 2 3 2 3 6" xfId="2461" xr:uid="{00000000-0005-0000-0000-0000D20E0000}"/>
    <cellStyle name="Normal 2 4 2 3 2 3 6 2" xfId="6745" xr:uid="{00000000-0005-0000-0000-0000D30E0000}"/>
    <cellStyle name="Normal 2 4 2 3 2 3 6 2 2" xfId="15187" xr:uid="{C9325D70-877A-4BA8-8404-654DE5001B9E}"/>
    <cellStyle name="Normal 2 4 2 3 2 3 6 3" xfId="10969" xr:uid="{75EFF04F-FEE9-4904-9AD1-836CF605B969}"/>
    <cellStyle name="Normal 2 4 2 3 2 3 7" xfId="4679" xr:uid="{00000000-0005-0000-0000-0000D40E0000}"/>
    <cellStyle name="Normal 2 4 2 3 2 3 7 2" xfId="13121" xr:uid="{B19299EC-C9D8-4C70-9179-92A8441FB609}"/>
    <cellStyle name="Normal 2 4 2 3 2 3 8" xfId="8903" xr:uid="{29D71EEB-FDCC-435B-9048-E0065E9F7B33}"/>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254D8E9C-F218-43FB-9884-631FA1052A54}"/>
    <cellStyle name="Normal 2 4 2 3 2 4 2 3" xfId="11459" xr:uid="{B27E31BD-C3FD-4DF7-ADB9-98E41AE72BCD}"/>
    <cellStyle name="Normal 2 4 2 3 2 4 3" xfId="5090" xr:uid="{00000000-0005-0000-0000-0000D80E0000}"/>
    <cellStyle name="Normal 2 4 2 3 2 4 3 2" xfId="13532" xr:uid="{F847F8ED-F37D-4C5D-8DED-376CAAE9AAF2}"/>
    <cellStyle name="Normal 2 4 2 3 2 4 4" xfId="9314" xr:uid="{030F1945-1BF4-42B6-976D-9531EA1E0B22}"/>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2CF08C5D-4EBF-4DA8-8DD7-A391A6F38F33}"/>
    <cellStyle name="Normal 2 4 2 3 2 5 2 3" xfId="11872" xr:uid="{1C021CB5-ED1D-4D55-B99F-9C97721321CA}"/>
    <cellStyle name="Normal 2 4 2 3 2 5 3" xfId="5503" xr:uid="{00000000-0005-0000-0000-0000DC0E0000}"/>
    <cellStyle name="Normal 2 4 2 3 2 5 3 2" xfId="13945" xr:uid="{42DF436E-3D40-4FF6-985D-1E6701C39D5E}"/>
    <cellStyle name="Normal 2 4 2 3 2 5 4" xfId="9727" xr:uid="{D5E574ED-561D-4DC8-8292-4D119583A2BD}"/>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CDCAC4E3-391D-46E0-B030-B37F182230CE}"/>
    <cellStyle name="Normal 2 4 2 3 2 6 2 3" xfId="12285" xr:uid="{678CA15C-8D11-441B-8B02-518A6E657413}"/>
    <cellStyle name="Normal 2 4 2 3 2 6 3" xfId="5916" xr:uid="{00000000-0005-0000-0000-0000E00E0000}"/>
    <cellStyle name="Normal 2 4 2 3 2 6 3 2" xfId="14358" xr:uid="{B1FCACE8-4A4B-4905-8C66-401877ED4560}"/>
    <cellStyle name="Normal 2 4 2 3 2 6 4" xfId="10140" xr:uid="{B0BE57F5-021E-4915-AE26-6DF0A9FD110D}"/>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5F310223-756D-4AB3-A330-DE457F2AF869}"/>
    <cellStyle name="Normal 2 4 2 3 2 7 2 3" xfId="12698" xr:uid="{CFD92560-643E-41F9-92F2-A8CD0FF8983E}"/>
    <cellStyle name="Normal 2 4 2 3 2 7 3" xfId="6329" xr:uid="{00000000-0005-0000-0000-0000E40E0000}"/>
    <cellStyle name="Normal 2 4 2 3 2 7 3 2" xfId="14771" xr:uid="{9080523C-73E7-4645-B4EC-DCB733E4D144}"/>
    <cellStyle name="Normal 2 4 2 3 2 7 4" xfId="10553" xr:uid="{77A93613-3D94-4A53-99FF-98BAED444C86}"/>
    <cellStyle name="Normal 2 4 2 3 2 8" xfId="2458" xr:uid="{00000000-0005-0000-0000-0000E50E0000}"/>
    <cellStyle name="Normal 2 4 2 3 2 8 2" xfId="6742" xr:uid="{00000000-0005-0000-0000-0000E60E0000}"/>
    <cellStyle name="Normal 2 4 2 3 2 8 2 2" xfId="15184" xr:uid="{F1318914-8219-445D-BC40-9E04AFE0B2BB}"/>
    <cellStyle name="Normal 2 4 2 3 2 8 3" xfId="10966" xr:uid="{F9196430-98DF-479B-BF0C-606C4F4D0961}"/>
    <cellStyle name="Normal 2 4 2 3 2 9" xfId="4676" xr:uid="{00000000-0005-0000-0000-0000E70E0000}"/>
    <cellStyle name="Normal 2 4 2 3 2 9 2" xfId="13118" xr:uid="{C3670314-B55A-4789-AED8-BA31AEB34416}"/>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BE661589-169C-4671-85FE-A7CBFF85119E}"/>
    <cellStyle name="Normal 2 4 2 3 3 2 2 2 3" xfId="11464" xr:uid="{B5C3D108-2F88-46F1-8E46-BAF310B4B559}"/>
    <cellStyle name="Normal 2 4 2 3 3 2 2 3" xfId="5095" xr:uid="{00000000-0005-0000-0000-0000ED0E0000}"/>
    <cellStyle name="Normal 2 4 2 3 3 2 2 3 2" xfId="13537" xr:uid="{4A5B8EFF-E1BE-4E08-9278-7E4388158688}"/>
    <cellStyle name="Normal 2 4 2 3 3 2 2 4" xfId="9319" xr:uid="{74B09E17-0086-4203-8C8E-452DFAEB5FD8}"/>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F0EEF3D0-60FF-467E-85DD-0066351648A7}"/>
    <cellStyle name="Normal 2 4 2 3 3 2 3 2 3" xfId="11877" xr:uid="{50A2C9D4-1390-4806-9343-3C564DCB5ACB}"/>
    <cellStyle name="Normal 2 4 2 3 3 2 3 3" xfId="5508" xr:uid="{00000000-0005-0000-0000-0000F10E0000}"/>
    <cellStyle name="Normal 2 4 2 3 3 2 3 3 2" xfId="13950" xr:uid="{5F90CDD0-000F-4EE0-BB49-F7E60BC4F324}"/>
    <cellStyle name="Normal 2 4 2 3 3 2 3 4" xfId="9732" xr:uid="{926C5E1F-BC41-4385-A2A8-5CF70629997A}"/>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52F39241-AF61-4173-ACA1-64DE4BCBC80B}"/>
    <cellStyle name="Normal 2 4 2 3 3 2 4 2 3" xfId="12290" xr:uid="{F07E7435-BF27-43B4-86B7-2D0066F16493}"/>
    <cellStyle name="Normal 2 4 2 3 3 2 4 3" xfId="5921" xr:uid="{00000000-0005-0000-0000-0000F50E0000}"/>
    <cellStyle name="Normal 2 4 2 3 3 2 4 3 2" xfId="14363" xr:uid="{7C53A083-AD3F-4618-B94A-85DCF696CEC2}"/>
    <cellStyle name="Normal 2 4 2 3 3 2 4 4" xfId="10145" xr:uid="{3861D3F1-5727-4C81-B353-9B1DD5FD619E}"/>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93F633C6-7B1E-4778-B903-6C2B99D90903}"/>
    <cellStyle name="Normal 2 4 2 3 3 2 5 2 3" xfId="12703" xr:uid="{ABF882CA-15E4-424F-88F2-9A1A3C8E1965}"/>
    <cellStyle name="Normal 2 4 2 3 3 2 5 3" xfId="6334" xr:uid="{00000000-0005-0000-0000-0000F90E0000}"/>
    <cellStyle name="Normal 2 4 2 3 3 2 5 3 2" xfId="14776" xr:uid="{DE099B6D-CAB1-4936-BDF5-7C98BF049D36}"/>
    <cellStyle name="Normal 2 4 2 3 3 2 5 4" xfId="10558" xr:uid="{75A89FA0-A97E-4724-91D5-3C115A5818BD}"/>
    <cellStyle name="Normal 2 4 2 3 3 2 6" xfId="2463" xr:uid="{00000000-0005-0000-0000-0000FA0E0000}"/>
    <cellStyle name="Normal 2 4 2 3 3 2 6 2" xfId="6747" xr:uid="{00000000-0005-0000-0000-0000FB0E0000}"/>
    <cellStyle name="Normal 2 4 2 3 3 2 6 2 2" xfId="15189" xr:uid="{B1484648-DFD9-4F17-8BB8-9B2A26D76502}"/>
    <cellStyle name="Normal 2 4 2 3 3 2 6 3" xfId="10971" xr:uid="{584A6B4D-2659-4879-87B1-172E6AD7B93D}"/>
    <cellStyle name="Normal 2 4 2 3 3 2 7" xfId="4681" xr:uid="{00000000-0005-0000-0000-0000FC0E0000}"/>
    <cellStyle name="Normal 2 4 2 3 3 2 7 2" xfId="13123" xr:uid="{8CBAE82D-9F57-4960-BB5F-B766185DA182}"/>
    <cellStyle name="Normal 2 4 2 3 3 2 8" xfId="8905" xr:uid="{39006758-824F-4D02-AD91-82B4EB724AE9}"/>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710D0F69-63BC-482D-A83C-B5109DC6C3C8}"/>
    <cellStyle name="Normal 2 4 2 3 3 3 2 3" xfId="11463" xr:uid="{BA0E065F-A0E7-40D7-A326-22430945D84F}"/>
    <cellStyle name="Normal 2 4 2 3 3 3 3" xfId="5094" xr:uid="{00000000-0005-0000-0000-0000000F0000}"/>
    <cellStyle name="Normal 2 4 2 3 3 3 3 2" xfId="13536" xr:uid="{A29B2E88-6DE0-4CB6-93C0-DF95253655FF}"/>
    <cellStyle name="Normal 2 4 2 3 3 3 4" xfId="9318" xr:uid="{EE8607B5-02B8-4829-BEC7-398A3645E13B}"/>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187C6896-0B65-4ABC-A9DC-2AD0C31D78A8}"/>
    <cellStyle name="Normal 2 4 2 3 3 4 2 3" xfId="11876" xr:uid="{54222042-3C14-425A-96E6-6BF7FE5E5EFC}"/>
    <cellStyle name="Normal 2 4 2 3 3 4 3" xfId="5507" xr:uid="{00000000-0005-0000-0000-0000040F0000}"/>
    <cellStyle name="Normal 2 4 2 3 3 4 3 2" xfId="13949" xr:uid="{D0B03C5C-AA52-456D-917C-D3B7562227A7}"/>
    <cellStyle name="Normal 2 4 2 3 3 4 4" xfId="9731" xr:uid="{29B10397-48E9-43EB-9DFB-83F54FD94CF7}"/>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C65741A3-FA81-4E69-8E4A-A78AB0E2EDF2}"/>
    <cellStyle name="Normal 2 4 2 3 3 5 2 3" xfId="12289" xr:uid="{0133FB59-4519-4147-BCB2-26D1255406F5}"/>
    <cellStyle name="Normal 2 4 2 3 3 5 3" xfId="5920" xr:uid="{00000000-0005-0000-0000-0000080F0000}"/>
    <cellStyle name="Normal 2 4 2 3 3 5 3 2" xfId="14362" xr:uid="{BEAB5796-8FA0-49C6-941F-A9A6EF10A921}"/>
    <cellStyle name="Normal 2 4 2 3 3 5 4" xfId="10144" xr:uid="{B7A1DD55-BEA9-4DB8-BFF5-DBC539581247}"/>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7479BC33-033E-4F83-B9D3-9C2D67BC749B}"/>
    <cellStyle name="Normal 2 4 2 3 3 6 2 3" xfId="12702" xr:uid="{CC6078BE-795C-4948-95A9-B01CA984A81C}"/>
    <cellStyle name="Normal 2 4 2 3 3 6 3" xfId="6333" xr:uid="{00000000-0005-0000-0000-00000C0F0000}"/>
    <cellStyle name="Normal 2 4 2 3 3 6 3 2" xfId="14775" xr:uid="{58B90864-A7AA-4827-9C68-081ED572947B}"/>
    <cellStyle name="Normal 2 4 2 3 3 6 4" xfId="10557" xr:uid="{4BDB04B5-6A9C-4FDF-84E2-B819517544C9}"/>
    <cellStyle name="Normal 2 4 2 3 3 7" xfId="2462" xr:uid="{00000000-0005-0000-0000-00000D0F0000}"/>
    <cellStyle name="Normal 2 4 2 3 3 7 2" xfId="6746" xr:uid="{00000000-0005-0000-0000-00000E0F0000}"/>
    <cellStyle name="Normal 2 4 2 3 3 7 2 2" xfId="15188" xr:uid="{5BE0F44A-937F-42C8-9BB7-3400E51ED706}"/>
    <cellStyle name="Normal 2 4 2 3 3 7 3" xfId="10970" xr:uid="{28C4B425-0BB7-4AAD-AC78-92E0FA6D85BF}"/>
    <cellStyle name="Normal 2 4 2 3 3 8" xfId="4680" xr:uid="{00000000-0005-0000-0000-00000F0F0000}"/>
    <cellStyle name="Normal 2 4 2 3 3 8 2" xfId="13122" xr:uid="{8B850DBE-40F5-42EC-A4E3-D7C760806760}"/>
    <cellStyle name="Normal 2 4 2 3 3 9" xfId="8904" xr:uid="{932E8B0B-A810-4404-AA82-05336C1956B6}"/>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6560FB59-6C57-4203-B8F5-F81286DEFA78}"/>
    <cellStyle name="Normal 2 4 2 3 4 2 2 3" xfId="11465" xr:uid="{264586B5-93A4-45E8-9F57-F68EE245998A}"/>
    <cellStyle name="Normal 2 4 2 3 4 2 3" xfId="5096" xr:uid="{00000000-0005-0000-0000-0000140F0000}"/>
    <cellStyle name="Normal 2 4 2 3 4 2 3 2" xfId="13538" xr:uid="{B9BB5250-8596-4284-AACE-2022A9794515}"/>
    <cellStyle name="Normal 2 4 2 3 4 2 4" xfId="9320" xr:uid="{36B859B4-6AA9-41FA-AC10-CDCF13FA11D2}"/>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5F0C4048-08BF-40B8-B3D0-22D37B7382F9}"/>
    <cellStyle name="Normal 2 4 2 3 4 3 2 3" xfId="11878" xr:uid="{C63C2596-2467-4E3C-AD73-290DF5B8D37E}"/>
    <cellStyle name="Normal 2 4 2 3 4 3 3" xfId="5509" xr:uid="{00000000-0005-0000-0000-0000180F0000}"/>
    <cellStyle name="Normal 2 4 2 3 4 3 3 2" xfId="13951" xr:uid="{65B376FD-AD52-43BD-BF94-816B38A1859E}"/>
    <cellStyle name="Normal 2 4 2 3 4 3 4" xfId="9733" xr:uid="{8333534B-8025-42D6-BB4F-DE0851206B9D}"/>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9C85BA6A-20C7-44A7-8D81-CD8712DEF873}"/>
    <cellStyle name="Normal 2 4 2 3 4 4 2 3" xfId="12291" xr:uid="{9914EC9E-DE75-49A7-A0C6-00D252A2F6F8}"/>
    <cellStyle name="Normal 2 4 2 3 4 4 3" xfId="5922" xr:uid="{00000000-0005-0000-0000-00001C0F0000}"/>
    <cellStyle name="Normal 2 4 2 3 4 4 3 2" xfId="14364" xr:uid="{56220BC4-2772-419E-8EE7-F8335BA80999}"/>
    <cellStyle name="Normal 2 4 2 3 4 4 4" xfId="10146" xr:uid="{AFD940A9-7B31-43B2-BCAF-2AD7195C3042}"/>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08A5CF05-696D-48D4-B853-F7DEA7534DCF}"/>
    <cellStyle name="Normal 2 4 2 3 4 5 2 3" xfId="12704" xr:uid="{FF2A8855-E6FD-40CB-8238-45200FB222BC}"/>
    <cellStyle name="Normal 2 4 2 3 4 5 3" xfId="6335" xr:uid="{00000000-0005-0000-0000-0000200F0000}"/>
    <cellStyle name="Normal 2 4 2 3 4 5 3 2" xfId="14777" xr:uid="{2E7E7E46-5E54-4910-8D67-38BAB50C8F27}"/>
    <cellStyle name="Normal 2 4 2 3 4 5 4" xfId="10559" xr:uid="{95C9835E-D30E-4350-9422-B94A362C3196}"/>
    <cellStyle name="Normal 2 4 2 3 4 6" xfId="2464" xr:uid="{00000000-0005-0000-0000-0000210F0000}"/>
    <cellStyle name="Normal 2 4 2 3 4 6 2" xfId="6748" xr:uid="{00000000-0005-0000-0000-0000220F0000}"/>
    <cellStyle name="Normal 2 4 2 3 4 6 2 2" xfId="15190" xr:uid="{BC3FFAAA-56CE-4C5C-80D3-532418471FE9}"/>
    <cellStyle name="Normal 2 4 2 3 4 6 3" xfId="10972" xr:uid="{C9D31166-5ABF-49C0-87E7-F6BCD63DDAAD}"/>
    <cellStyle name="Normal 2 4 2 3 4 7" xfId="4682" xr:uid="{00000000-0005-0000-0000-0000230F0000}"/>
    <cellStyle name="Normal 2 4 2 3 4 7 2" xfId="13124" xr:uid="{7DABAEE8-0655-42C0-BC8F-BDBF03831009}"/>
    <cellStyle name="Normal 2 4 2 3 4 8" xfId="8906" xr:uid="{8DEE2366-CFCC-4A17-82BB-4C7E844A9F19}"/>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293DE5E5-B336-418E-BBD9-CA8F9ECCEC14}"/>
    <cellStyle name="Normal 2 4 2 3 5 2 3" xfId="11458" xr:uid="{049A8E3F-381F-4212-B427-A095FF07795D}"/>
    <cellStyle name="Normal 2 4 2 3 5 3" xfId="5089" xr:uid="{00000000-0005-0000-0000-0000270F0000}"/>
    <cellStyle name="Normal 2 4 2 3 5 3 2" xfId="13531" xr:uid="{B7C64864-642E-4CBA-8EE6-C01863F3B791}"/>
    <cellStyle name="Normal 2 4 2 3 5 4" xfId="9313" xr:uid="{7B799786-3208-472C-880B-83C4220DC403}"/>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123EE1C4-2C48-4082-A662-71BC972494FD}"/>
    <cellStyle name="Normal 2 4 2 3 6 2 3" xfId="11871" xr:uid="{97AB575B-301F-4A49-B1BB-28BC5FC5CE31}"/>
    <cellStyle name="Normal 2 4 2 3 6 3" xfId="5502" xr:uid="{00000000-0005-0000-0000-00002B0F0000}"/>
    <cellStyle name="Normal 2 4 2 3 6 3 2" xfId="13944" xr:uid="{848806BC-7BF2-4B4F-8EF9-3B95BC27EFAA}"/>
    <cellStyle name="Normal 2 4 2 3 6 4" xfId="9726" xr:uid="{45761580-9E03-4C24-812D-64E046526C28}"/>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47B986FA-1E22-48FE-AF62-7B744C8DE23A}"/>
    <cellStyle name="Normal 2 4 2 3 7 2 3" xfId="12284" xr:uid="{09861C8D-DB95-43AB-97D2-D11BDBB5B6CA}"/>
    <cellStyle name="Normal 2 4 2 3 7 3" xfId="5915" xr:uid="{00000000-0005-0000-0000-00002F0F0000}"/>
    <cellStyle name="Normal 2 4 2 3 7 3 2" xfId="14357" xr:uid="{9F6D5FF5-E552-476A-8AA9-A1D7666411CE}"/>
    <cellStyle name="Normal 2 4 2 3 7 4" xfId="10139" xr:uid="{F624B0FF-DC5B-4C5D-9393-63F151F2A5FD}"/>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6704843B-C29C-41D4-85A8-13C1C23F2DDD}"/>
    <cellStyle name="Normal 2 4 2 3 8 2 3" xfId="12697" xr:uid="{C8B57FFD-8E62-4118-8983-EF7F10313007}"/>
    <cellStyle name="Normal 2 4 2 3 8 3" xfId="6328" xr:uid="{00000000-0005-0000-0000-0000330F0000}"/>
    <cellStyle name="Normal 2 4 2 3 8 3 2" xfId="14770" xr:uid="{BFCC4625-3C60-458E-8E97-74A3428A1975}"/>
    <cellStyle name="Normal 2 4 2 3 8 4" xfId="10552" xr:uid="{AD9597DA-AEAB-4622-AA12-F84B9615E7AB}"/>
    <cellStyle name="Normal 2 4 2 3 9" xfId="2457" xr:uid="{00000000-0005-0000-0000-0000340F0000}"/>
    <cellStyle name="Normal 2 4 2 3 9 2" xfId="6741" xr:uid="{00000000-0005-0000-0000-0000350F0000}"/>
    <cellStyle name="Normal 2 4 2 3 9 2 2" xfId="15183" xr:uid="{5B38E6AE-3748-4B68-A333-95E496890199}"/>
    <cellStyle name="Normal 2 4 2 3 9 3" xfId="10965" xr:uid="{6A205F1A-4AA3-46D4-884F-B5E41B2D2BBA}"/>
    <cellStyle name="Normal 2 4 2 4" xfId="289" xr:uid="{00000000-0005-0000-0000-0000360F0000}"/>
    <cellStyle name="Normal 2 4 2 4 10" xfId="8907" xr:uid="{38C00DA5-E276-4654-82ED-C8E4B7F428A9}"/>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BEADD8E1-E078-4C2C-9E4D-9E4450E20C54}"/>
    <cellStyle name="Normal 2 4 2 4 2 2 2 2 3" xfId="11468" xr:uid="{3971E57B-36D8-4A2D-BFD8-F2A856A8BB4B}"/>
    <cellStyle name="Normal 2 4 2 4 2 2 2 3" xfId="5099" xr:uid="{00000000-0005-0000-0000-00003C0F0000}"/>
    <cellStyle name="Normal 2 4 2 4 2 2 2 3 2" xfId="13541" xr:uid="{ED06A729-AD60-477C-A0DF-A35555BE4DEB}"/>
    <cellStyle name="Normal 2 4 2 4 2 2 2 4" xfId="9323" xr:uid="{E0B7D564-78CF-433A-88EB-A997E2EEDDDD}"/>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C762DB31-5883-4F39-9976-F1FB83374DE0}"/>
    <cellStyle name="Normal 2 4 2 4 2 2 3 2 3" xfId="11881" xr:uid="{14525CC8-2269-4462-A99E-3B9794C824E5}"/>
    <cellStyle name="Normal 2 4 2 4 2 2 3 3" xfId="5512" xr:uid="{00000000-0005-0000-0000-0000400F0000}"/>
    <cellStyle name="Normal 2 4 2 4 2 2 3 3 2" xfId="13954" xr:uid="{05B704D0-3DAF-46F8-9DEA-6CB669F32D7D}"/>
    <cellStyle name="Normal 2 4 2 4 2 2 3 4" xfId="9736" xr:uid="{74931C3A-EFB7-4B58-B5F8-E8167B66C06C}"/>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943F078F-F321-41EB-8A00-7119E4A4FA4B}"/>
    <cellStyle name="Normal 2 4 2 4 2 2 4 2 3" xfId="12294" xr:uid="{A4B84E1F-6FB3-4251-90D8-6B6EE2A65F1D}"/>
    <cellStyle name="Normal 2 4 2 4 2 2 4 3" xfId="5925" xr:uid="{00000000-0005-0000-0000-0000440F0000}"/>
    <cellStyle name="Normal 2 4 2 4 2 2 4 3 2" xfId="14367" xr:uid="{839B960D-5706-449A-B9C9-40C4A177404A}"/>
    <cellStyle name="Normal 2 4 2 4 2 2 4 4" xfId="10149" xr:uid="{0917D546-2520-4397-9461-C99FD688C66F}"/>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580D3C24-5BA9-43C4-99CB-8068079ACD94}"/>
    <cellStyle name="Normal 2 4 2 4 2 2 5 2 3" xfId="12707" xr:uid="{7C375050-A2A0-47A9-933E-25B4FB03A280}"/>
    <cellStyle name="Normal 2 4 2 4 2 2 5 3" xfId="6338" xr:uid="{00000000-0005-0000-0000-0000480F0000}"/>
    <cellStyle name="Normal 2 4 2 4 2 2 5 3 2" xfId="14780" xr:uid="{4EBC5B5B-F0CD-45F0-8E37-7327A107D524}"/>
    <cellStyle name="Normal 2 4 2 4 2 2 5 4" xfId="10562" xr:uid="{F7AEC4DB-A8AA-40E4-8A94-5E192025A28B}"/>
    <cellStyle name="Normal 2 4 2 4 2 2 6" xfId="2467" xr:uid="{00000000-0005-0000-0000-0000490F0000}"/>
    <cellStyle name="Normal 2 4 2 4 2 2 6 2" xfId="6751" xr:uid="{00000000-0005-0000-0000-00004A0F0000}"/>
    <cellStyle name="Normal 2 4 2 4 2 2 6 2 2" xfId="15193" xr:uid="{515F431D-BC23-4E9B-A588-D7620DC9C8B5}"/>
    <cellStyle name="Normal 2 4 2 4 2 2 6 3" xfId="10975" xr:uid="{FA5DC1AD-BE59-4F2B-A79B-ACF37BF790E6}"/>
    <cellStyle name="Normal 2 4 2 4 2 2 7" xfId="4685" xr:uid="{00000000-0005-0000-0000-00004B0F0000}"/>
    <cellStyle name="Normal 2 4 2 4 2 2 7 2" xfId="13127" xr:uid="{D979FE23-3397-443E-BF2D-EA859CA35448}"/>
    <cellStyle name="Normal 2 4 2 4 2 2 8" xfId="8909" xr:uid="{D17DDF83-7CC4-45A7-8F54-A4F5242148E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84347083-9775-4864-B255-5367F931DDBF}"/>
    <cellStyle name="Normal 2 4 2 4 2 3 2 3" xfId="11467" xr:uid="{6F1017F9-E2CE-4C28-9096-C0017EA2844D}"/>
    <cellStyle name="Normal 2 4 2 4 2 3 3" xfId="5098" xr:uid="{00000000-0005-0000-0000-00004F0F0000}"/>
    <cellStyle name="Normal 2 4 2 4 2 3 3 2" xfId="13540" xr:uid="{55D95DF6-3222-42CC-A2D0-2852F5C312E9}"/>
    <cellStyle name="Normal 2 4 2 4 2 3 4" xfId="9322" xr:uid="{59A369A2-CF25-4954-B65E-CFF1CAA8162C}"/>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7592ECCD-642A-48C6-A9C0-28F8F4ED22B0}"/>
    <cellStyle name="Normal 2 4 2 4 2 4 2 3" xfId="11880" xr:uid="{29638FD7-D634-40AD-A6FC-938EB42DA828}"/>
    <cellStyle name="Normal 2 4 2 4 2 4 3" xfId="5511" xr:uid="{00000000-0005-0000-0000-0000530F0000}"/>
    <cellStyle name="Normal 2 4 2 4 2 4 3 2" xfId="13953" xr:uid="{93F4F944-4518-44E7-A4DA-F2285FCD99B8}"/>
    <cellStyle name="Normal 2 4 2 4 2 4 4" xfId="9735" xr:uid="{C824761A-8729-4DB6-AF11-B3E2209ACEA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D45DAE01-6255-44C8-A61E-9E7BA8C56539}"/>
    <cellStyle name="Normal 2 4 2 4 2 5 2 3" xfId="12293" xr:uid="{C5AEA872-D2E6-4D54-B6C8-05E189929B56}"/>
    <cellStyle name="Normal 2 4 2 4 2 5 3" xfId="5924" xr:uid="{00000000-0005-0000-0000-0000570F0000}"/>
    <cellStyle name="Normal 2 4 2 4 2 5 3 2" xfId="14366" xr:uid="{C56C1F9C-3CDE-4300-84B2-F954613A9D92}"/>
    <cellStyle name="Normal 2 4 2 4 2 5 4" xfId="10148" xr:uid="{42B0A4A0-6171-4AAD-9CF2-AF8117BB0546}"/>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9345D39E-0715-46CE-A1F5-B94FDB61DD7B}"/>
    <cellStyle name="Normal 2 4 2 4 2 6 2 3" xfId="12706" xr:uid="{D1DFFBA0-3FCD-4D36-8D9E-FD8362D7CB4F}"/>
    <cellStyle name="Normal 2 4 2 4 2 6 3" xfId="6337" xr:uid="{00000000-0005-0000-0000-00005B0F0000}"/>
    <cellStyle name="Normal 2 4 2 4 2 6 3 2" xfId="14779" xr:uid="{52D2F354-8A76-425B-ADD6-26FC4223D284}"/>
    <cellStyle name="Normal 2 4 2 4 2 6 4" xfId="10561" xr:uid="{678C63F1-DFBD-4939-A339-E65C37193688}"/>
    <cellStyle name="Normal 2 4 2 4 2 7" xfId="2466" xr:uid="{00000000-0005-0000-0000-00005C0F0000}"/>
    <cellStyle name="Normal 2 4 2 4 2 7 2" xfId="6750" xr:uid="{00000000-0005-0000-0000-00005D0F0000}"/>
    <cellStyle name="Normal 2 4 2 4 2 7 2 2" xfId="15192" xr:uid="{6AA9DE78-99EE-4FAA-9095-0AD575F2ECD6}"/>
    <cellStyle name="Normal 2 4 2 4 2 7 3" xfId="10974" xr:uid="{265BE02F-31C5-4933-AD2F-7F3F91B75522}"/>
    <cellStyle name="Normal 2 4 2 4 2 8" xfId="4684" xr:uid="{00000000-0005-0000-0000-00005E0F0000}"/>
    <cellStyle name="Normal 2 4 2 4 2 8 2" xfId="13126" xr:uid="{1BC51DB6-818F-4E7F-8721-874D0B9E867B}"/>
    <cellStyle name="Normal 2 4 2 4 2 9" xfId="8908" xr:uid="{E9F301D4-03CD-4A52-9DD1-CC02FCBB9DD4}"/>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6E0FBA8E-8101-4291-9061-4C4810E5EBBC}"/>
    <cellStyle name="Normal 2 4 2 4 3 2 2 3" xfId="11469" xr:uid="{B1858E06-A8A9-47EA-BC45-AB1BE9B44475}"/>
    <cellStyle name="Normal 2 4 2 4 3 2 3" xfId="5100" xr:uid="{00000000-0005-0000-0000-0000630F0000}"/>
    <cellStyle name="Normal 2 4 2 4 3 2 3 2" xfId="13542" xr:uid="{A55EA561-394A-4053-8DA6-C9219B5E59B8}"/>
    <cellStyle name="Normal 2 4 2 4 3 2 4" xfId="9324" xr:uid="{E2EA5EAE-1CCD-426A-A788-0DAB0FE6CF9F}"/>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06DEAAFA-260E-4049-B8AA-0DEEB40459E0}"/>
    <cellStyle name="Normal 2 4 2 4 3 3 2 3" xfId="11882" xr:uid="{C5846AF1-4B69-4E0C-8928-8F6077563FCA}"/>
    <cellStyle name="Normal 2 4 2 4 3 3 3" xfId="5513" xr:uid="{00000000-0005-0000-0000-0000670F0000}"/>
    <cellStyle name="Normal 2 4 2 4 3 3 3 2" xfId="13955" xr:uid="{C6A20DE2-843C-4011-ABC0-ED0986292DEA}"/>
    <cellStyle name="Normal 2 4 2 4 3 3 4" xfId="9737" xr:uid="{61A66473-A4AE-44F5-9E87-A1B7C31CAFB1}"/>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17165661-5DD5-4FF5-8D2C-68D3B9C04F95}"/>
    <cellStyle name="Normal 2 4 2 4 3 4 2 3" xfId="12295" xr:uid="{645F0E8A-A1C1-4D82-AAB5-4E646CA039A6}"/>
    <cellStyle name="Normal 2 4 2 4 3 4 3" xfId="5926" xr:uid="{00000000-0005-0000-0000-00006B0F0000}"/>
    <cellStyle name="Normal 2 4 2 4 3 4 3 2" xfId="14368" xr:uid="{28D290CE-1369-48D8-B20B-FE893B4C889B}"/>
    <cellStyle name="Normal 2 4 2 4 3 4 4" xfId="10150" xr:uid="{4C9F4591-5652-4F01-9B8C-8F75C5888DC3}"/>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551D19BE-70A2-43BB-8EF4-CE5F7F41549B}"/>
    <cellStyle name="Normal 2 4 2 4 3 5 2 3" xfId="12708" xr:uid="{7E790EFC-9EF0-429A-8326-9642E9C14E36}"/>
    <cellStyle name="Normal 2 4 2 4 3 5 3" xfId="6339" xr:uid="{00000000-0005-0000-0000-00006F0F0000}"/>
    <cellStyle name="Normal 2 4 2 4 3 5 3 2" xfId="14781" xr:uid="{22C92C09-E1CD-4331-B954-5323738E6862}"/>
    <cellStyle name="Normal 2 4 2 4 3 5 4" xfId="10563" xr:uid="{FCA391A1-5F44-4B23-B044-FC398F6EA95A}"/>
    <cellStyle name="Normal 2 4 2 4 3 6" xfId="2468" xr:uid="{00000000-0005-0000-0000-0000700F0000}"/>
    <cellStyle name="Normal 2 4 2 4 3 6 2" xfId="6752" xr:uid="{00000000-0005-0000-0000-0000710F0000}"/>
    <cellStyle name="Normal 2 4 2 4 3 6 2 2" xfId="15194" xr:uid="{D2A42922-3817-471D-B047-6E945F2A7427}"/>
    <cellStyle name="Normal 2 4 2 4 3 6 3" xfId="10976" xr:uid="{E42F8FC2-9442-4736-AF91-01FE01D17666}"/>
    <cellStyle name="Normal 2 4 2 4 3 7" xfId="4686" xr:uid="{00000000-0005-0000-0000-0000720F0000}"/>
    <cellStyle name="Normal 2 4 2 4 3 7 2" xfId="13128" xr:uid="{16644DE4-BBB6-4E4A-BE19-38EB32D25471}"/>
    <cellStyle name="Normal 2 4 2 4 3 8" xfId="8910" xr:uid="{29B8DCD1-BE21-428C-8630-4387E247E352}"/>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2A50A132-9979-402A-9DAA-678AF1C37218}"/>
    <cellStyle name="Normal 2 4 2 4 4 2 3" xfId="11466" xr:uid="{D6851FBC-BA29-4357-AAE8-7ACBB1ED3DFD}"/>
    <cellStyle name="Normal 2 4 2 4 4 3" xfId="5097" xr:uid="{00000000-0005-0000-0000-0000760F0000}"/>
    <cellStyle name="Normal 2 4 2 4 4 3 2" xfId="13539" xr:uid="{1D7CF6F7-B05C-4E0C-9257-B482B2AA5FB1}"/>
    <cellStyle name="Normal 2 4 2 4 4 4" xfId="9321" xr:uid="{989D0BC6-97E6-42BA-B37B-C84DA741A541}"/>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DBE9D5E5-0B60-4EE1-9581-D5BA5FA7DA5E}"/>
    <cellStyle name="Normal 2 4 2 4 5 2 3" xfId="11879" xr:uid="{88E3A3E7-17C7-41E5-90D5-08A64B8BDDDC}"/>
    <cellStyle name="Normal 2 4 2 4 5 3" xfId="5510" xr:uid="{00000000-0005-0000-0000-00007A0F0000}"/>
    <cellStyle name="Normal 2 4 2 4 5 3 2" xfId="13952" xr:uid="{8DA8451B-82E5-4374-81AB-9FAECB17354D}"/>
    <cellStyle name="Normal 2 4 2 4 5 4" xfId="9734" xr:uid="{679CFD07-485C-4600-8580-9BDCE01740AE}"/>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7F81DBF4-5542-4779-B41D-1E5E54B4EBB5}"/>
    <cellStyle name="Normal 2 4 2 4 6 2 3" xfId="12292" xr:uid="{067BFDA8-3B79-42BF-9823-3DADFFD8AC62}"/>
    <cellStyle name="Normal 2 4 2 4 6 3" xfId="5923" xr:uid="{00000000-0005-0000-0000-00007E0F0000}"/>
    <cellStyle name="Normal 2 4 2 4 6 3 2" xfId="14365" xr:uid="{59CBCBCE-391C-48AD-B2AB-4ABE373589DF}"/>
    <cellStyle name="Normal 2 4 2 4 6 4" xfId="10147" xr:uid="{2AB9868F-B4CB-4318-A862-6B12B615B2AA}"/>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0A1D2F6A-8E0B-4FCC-A41B-F3C8F44F5B6F}"/>
    <cellStyle name="Normal 2 4 2 4 7 2 3" xfId="12705" xr:uid="{639BE53D-5291-428C-A63E-E76AF08D0EC2}"/>
    <cellStyle name="Normal 2 4 2 4 7 3" xfId="6336" xr:uid="{00000000-0005-0000-0000-0000820F0000}"/>
    <cellStyle name="Normal 2 4 2 4 7 3 2" xfId="14778" xr:uid="{76F7941B-1F87-4B37-BDFD-E75104DB0C38}"/>
    <cellStyle name="Normal 2 4 2 4 7 4" xfId="10560" xr:uid="{E0264745-DF44-44B3-AB19-5A14EDB5E613}"/>
    <cellStyle name="Normal 2 4 2 4 8" xfId="2465" xr:uid="{00000000-0005-0000-0000-0000830F0000}"/>
    <cellStyle name="Normal 2 4 2 4 8 2" xfId="6749" xr:uid="{00000000-0005-0000-0000-0000840F0000}"/>
    <cellStyle name="Normal 2 4 2 4 8 2 2" xfId="15191" xr:uid="{0318D559-19E0-42B8-98DE-437EC30B784C}"/>
    <cellStyle name="Normal 2 4 2 4 8 3" xfId="10973" xr:uid="{63AF7609-103E-43D3-A933-66722A71D6C2}"/>
    <cellStyle name="Normal 2 4 2 4 9" xfId="4683" xr:uid="{00000000-0005-0000-0000-0000850F0000}"/>
    <cellStyle name="Normal 2 4 2 4 9 2" xfId="13125" xr:uid="{35860AEA-0AF4-40B2-8064-939A9E9C514D}"/>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22790BA2-EB91-4B11-83D2-298045B959CD}"/>
    <cellStyle name="Normal 2 4 2 5 2 2 2 3" xfId="11471" xr:uid="{C5E60950-97F6-460E-A909-38B9D8F8CFD9}"/>
    <cellStyle name="Normal 2 4 2 5 2 2 3" xfId="5102" xr:uid="{00000000-0005-0000-0000-00008B0F0000}"/>
    <cellStyle name="Normal 2 4 2 5 2 2 3 2" xfId="13544" xr:uid="{ECCBE7AF-0341-4E6C-B43C-8D1DF1F499B4}"/>
    <cellStyle name="Normal 2 4 2 5 2 2 4" xfId="9326" xr:uid="{21E5FB08-4D7B-4B93-807C-7ED57A896FFD}"/>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7DA759EC-04A9-4C36-ACA9-B54056FE7612}"/>
    <cellStyle name="Normal 2 4 2 5 2 3 2 3" xfId="11884" xr:uid="{E82B307B-8E2C-4B7B-8471-C9E3D8BB3687}"/>
    <cellStyle name="Normal 2 4 2 5 2 3 3" xfId="5515" xr:uid="{00000000-0005-0000-0000-00008F0F0000}"/>
    <cellStyle name="Normal 2 4 2 5 2 3 3 2" xfId="13957" xr:uid="{32F3B5A2-2199-45B3-BAE6-89D706F00819}"/>
    <cellStyle name="Normal 2 4 2 5 2 3 4" xfId="9739" xr:uid="{F82B2C9D-4DBE-4E20-BAF8-F4EEE06721A9}"/>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F8553E5F-7283-4E17-AA66-91D612D7678E}"/>
    <cellStyle name="Normal 2 4 2 5 2 4 2 3" xfId="12297" xr:uid="{1CEDCFED-B874-4584-A059-36624D187612}"/>
    <cellStyle name="Normal 2 4 2 5 2 4 3" xfId="5928" xr:uid="{00000000-0005-0000-0000-0000930F0000}"/>
    <cellStyle name="Normal 2 4 2 5 2 4 3 2" xfId="14370" xr:uid="{2DBF4739-1ED1-4517-8C71-74F915A4F8C2}"/>
    <cellStyle name="Normal 2 4 2 5 2 4 4" xfId="10152" xr:uid="{BCEF46BA-6AE4-45A3-9203-73824CEA460A}"/>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3564E80B-742F-4EAC-A064-CF500CC58B2C}"/>
    <cellStyle name="Normal 2 4 2 5 2 5 2 3" xfId="12710" xr:uid="{8F710DA1-7701-46A2-BF88-41EAD1F06C64}"/>
    <cellStyle name="Normal 2 4 2 5 2 5 3" xfId="6341" xr:uid="{00000000-0005-0000-0000-0000970F0000}"/>
    <cellStyle name="Normal 2 4 2 5 2 5 3 2" xfId="14783" xr:uid="{E4890081-378A-4476-B1B3-A47D2E169288}"/>
    <cellStyle name="Normal 2 4 2 5 2 5 4" xfId="10565" xr:uid="{CA1C4D53-3B37-4A1B-BFBE-26ED963A27B4}"/>
    <cellStyle name="Normal 2 4 2 5 2 6" xfId="2470" xr:uid="{00000000-0005-0000-0000-0000980F0000}"/>
    <cellStyle name="Normal 2 4 2 5 2 6 2" xfId="6754" xr:uid="{00000000-0005-0000-0000-0000990F0000}"/>
    <cellStyle name="Normal 2 4 2 5 2 6 2 2" xfId="15196" xr:uid="{4C683663-0B40-46B7-B2C8-8A435EE02B28}"/>
    <cellStyle name="Normal 2 4 2 5 2 6 3" xfId="10978" xr:uid="{09D93A2B-2FA0-49C1-973D-D1A9E3B64285}"/>
    <cellStyle name="Normal 2 4 2 5 2 7" xfId="4688" xr:uid="{00000000-0005-0000-0000-00009A0F0000}"/>
    <cellStyle name="Normal 2 4 2 5 2 7 2" xfId="13130" xr:uid="{B163C2F0-221D-4033-9CC6-94F69714A705}"/>
    <cellStyle name="Normal 2 4 2 5 2 8" xfId="8912" xr:uid="{AB8E3022-777B-49EB-B9C8-6FC299EDCB46}"/>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200A16F3-D62B-4C96-A2EB-0C720C7EBCF8}"/>
    <cellStyle name="Normal 2 4 2 5 3 2 3" xfId="11470" xr:uid="{A653A4F4-0CB5-4E39-A435-3535FD9F0CB3}"/>
    <cellStyle name="Normal 2 4 2 5 3 3" xfId="5101" xr:uid="{00000000-0005-0000-0000-00009E0F0000}"/>
    <cellStyle name="Normal 2 4 2 5 3 3 2" xfId="13543" xr:uid="{32CAC19D-0F29-47B9-9728-9869D87527E0}"/>
    <cellStyle name="Normal 2 4 2 5 3 4" xfId="9325" xr:uid="{560388CE-8C52-41D5-BBB7-18554F44A35B}"/>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CE0AE5B0-E049-4265-94E6-2D64CF327465}"/>
    <cellStyle name="Normal 2 4 2 5 4 2 3" xfId="11883" xr:uid="{D222FCD4-645D-40F7-8350-859F586BD1C2}"/>
    <cellStyle name="Normal 2 4 2 5 4 3" xfId="5514" xr:uid="{00000000-0005-0000-0000-0000A20F0000}"/>
    <cellStyle name="Normal 2 4 2 5 4 3 2" xfId="13956" xr:uid="{56B1CCEE-02AD-49C3-BF74-A0099C43D1EE}"/>
    <cellStyle name="Normal 2 4 2 5 4 4" xfId="9738" xr:uid="{C23AF9B5-7D50-4D1D-A013-129B6DC8C94F}"/>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96D594ED-A413-43B9-BA0F-EEE58E0833BE}"/>
    <cellStyle name="Normal 2 4 2 5 5 2 3" xfId="12296" xr:uid="{1D21E9BB-9D7F-4502-9853-885482F40AF2}"/>
    <cellStyle name="Normal 2 4 2 5 5 3" xfId="5927" xr:uid="{00000000-0005-0000-0000-0000A60F0000}"/>
    <cellStyle name="Normal 2 4 2 5 5 3 2" xfId="14369" xr:uid="{15F63841-62CD-420E-A6A1-0CA2EA6C58E4}"/>
    <cellStyle name="Normal 2 4 2 5 5 4" xfId="10151" xr:uid="{14A06897-83BF-4153-AF1D-270AAED79305}"/>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27BCCAAE-D0CC-465B-BF37-22EFA33E3428}"/>
    <cellStyle name="Normal 2 4 2 5 6 2 3" xfId="12709" xr:uid="{0476E8E0-9F80-44FD-A9FC-F5B8E051371B}"/>
    <cellStyle name="Normal 2 4 2 5 6 3" xfId="6340" xr:uid="{00000000-0005-0000-0000-0000AA0F0000}"/>
    <cellStyle name="Normal 2 4 2 5 6 3 2" xfId="14782" xr:uid="{8C4E780C-7586-4B41-B776-8AC6EAA16F70}"/>
    <cellStyle name="Normal 2 4 2 5 6 4" xfId="10564" xr:uid="{577A5C8C-BC39-40A9-9629-88108339DA9C}"/>
    <cellStyle name="Normal 2 4 2 5 7" xfId="2469" xr:uid="{00000000-0005-0000-0000-0000AB0F0000}"/>
    <cellStyle name="Normal 2 4 2 5 7 2" xfId="6753" xr:uid="{00000000-0005-0000-0000-0000AC0F0000}"/>
    <cellStyle name="Normal 2 4 2 5 7 2 2" xfId="15195" xr:uid="{B79FD2EF-7B4A-4ED5-A0F7-EF40C11A4630}"/>
    <cellStyle name="Normal 2 4 2 5 7 3" xfId="10977" xr:uid="{627C2CD3-EEBC-48DE-BD06-B08387EFDBE0}"/>
    <cellStyle name="Normal 2 4 2 5 8" xfId="4687" xr:uid="{00000000-0005-0000-0000-0000AD0F0000}"/>
    <cellStyle name="Normal 2 4 2 5 8 2" xfId="13129" xr:uid="{213399EF-B8EC-4461-9600-CCAF515072C2}"/>
    <cellStyle name="Normal 2 4 2 5 9" xfId="8911" xr:uid="{E82DF7A3-0F37-482C-9C7A-944B5DA0D85E}"/>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99BE5E93-00E3-432D-8FAB-8EC73B422CCB}"/>
    <cellStyle name="Normal 2 4 2 6 2 2 3" xfId="11472" xr:uid="{FE86440D-E3AA-4839-9E2E-E186EA2E7628}"/>
    <cellStyle name="Normal 2 4 2 6 2 3" xfId="5103" xr:uid="{00000000-0005-0000-0000-0000B20F0000}"/>
    <cellStyle name="Normal 2 4 2 6 2 3 2" xfId="13545" xr:uid="{8962D61D-5C04-4FEC-9E5F-D04A2DAA295C}"/>
    <cellStyle name="Normal 2 4 2 6 2 4" xfId="9327" xr:uid="{08EC8C28-AB95-445A-8E91-9FEC482D7D88}"/>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158F9BCF-D625-4133-AE9C-D03CEADCD1C5}"/>
    <cellStyle name="Normal 2 4 2 6 3 2 3" xfId="11885" xr:uid="{3EB3DF58-27FD-4CBD-BC33-CF3724EA74EE}"/>
    <cellStyle name="Normal 2 4 2 6 3 3" xfId="5516" xr:uid="{00000000-0005-0000-0000-0000B60F0000}"/>
    <cellStyle name="Normal 2 4 2 6 3 3 2" xfId="13958" xr:uid="{6C0B0247-BB0E-4B84-B4CE-1944139F54AD}"/>
    <cellStyle name="Normal 2 4 2 6 3 4" xfId="9740" xr:uid="{0DAC70EB-AFCF-4680-AC68-D3BC01FA308E}"/>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94AFBA2A-1549-4C97-8ED3-2477DCD5B711}"/>
    <cellStyle name="Normal 2 4 2 6 4 2 3" xfId="12298" xr:uid="{DEC718E5-59B5-4979-BFF4-880A4E5CE504}"/>
    <cellStyle name="Normal 2 4 2 6 4 3" xfId="5929" xr:uid="{00000000-0005-0000-0000-0000BA0F0000}"/>
    <cellStyle name="Normal 2 4 2 6 4 3 2" xfId="14371" xr:uid="{45ECD397-FC69-41AB-8288-F40D7B48CF1C}"/>
    <cellStyle name="Normal 2 4 2 6 4 4" xfId="10153" xr:uid="{09B4C9BC-E429-47C6-9D8E-A5B165C65AA9}"/>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509EF533-3B73-4420-9A2E-FFF9C83D5739}"/>
    <cellStyle name="Normal 2 4 2 6 5 2 3" xfId="12711" xr:uid="{B11EC4DD-2658-45A4-B639-E3EC9828D42A}"/>
    <cellStyle name="Normal 2 4 2 6 5 3" xfId="6342" xr:uid="{00000000-0005-0000-0000-0000BE0F0000}"/>
    <cellStyle name="Normal 2 4 2 6 5 3 2" xfId="14784" xr:uid="{33858998-D363-45B0-83AE-7BACCA6B5484}"/>
    <cellStyle name="Normal 2 4 2 6 5 4" xfId="10566" xr:uid="{9EC10855-D587-47CA-AC5A-F3FEAB96D6AE}"/>
    <cellStyle name="Normal 2 4 2 6 6" xfId="2471" xr:uid="{00000000-0005-0000-0000-0000BF0F0000}"/>
    <cellStyle name="Normal 2 4 2 6 6 2" xfId="6755" xr:uid="{00000000-0005-0000-0000-0000C00F0000}"/>
    <cellStyle name="Normal 2 4 2 6 6 2 2" xfId="15197" xr:uid="{63FD48E8-AB8D-4254-A9AF-F2514106C7E5}"/>
    <cellStyle name="Normal 2 4 2 6 6 3" xfId="10979" xr:uid="{0DE43998-49F6-4597-81EF-93A03A8BD650}"/>
    <cellStyle name="Normal 2 4 2 6 7" xfId="4689" xr:uid="{00000000-0005-0000-0000-0000C10F0000}"/>
    <cellStyle name="Normal 2 4 2 6 7 2" xfId="13131" xr:uid="{3667EF0B-DC75-4C3A-840D-EE7CEE3C394C}"/>
    <cellStyle name="Normal 2 4 2 6 8" xfId="8913" xr:uid="{8E99D929-2D06-4EE9-88A3-BAB0836798D2}"/>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784F3D88-A7B2-4E90-830B-79FE9F8D8E38}"/>
    <cellStyle name="Normal 2 4 2 7 2 3" xfId="11457" xr:uid="{AE45FDEB-E858-4297-906B-461D740DE1D8}"/>
    <cellStyle name="Normal 2 4 2 7 3" xfId="5088" xr:uid="{00000000-0005-0000-0000-0000C50F0000}"/>
    <cellStyle name="Normal 2 4 2 7 3 2" xfId="13530" xr:uid="{EC7B29AD-CC4C-44DE-92B2-A685C2EA39DF}"/>
    <cellStyle name="Normal 2 4 2 7 4" xfId="9312" xr:uid="{38997C07-0E24-4A8C-AD2D-391CEE0DB84F}"/>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3C812D36-8568-4041-891E-DE5EF0945283}"/>
    <cellStyle name="Normal 2 4 2 8 2 3" xfId="11870" xr:uid="{9602F244-5F55-4E27-A048-2DDFC1CF4EBD}"/>
    <cellStyle name="Normal 2 4 2 8 3" xfId="5501" xr:uid="{00000000-0005-0000-0000-0000C90F0000}"/>
    <cellStyle name="Normal 2 4 2 8 3 2" xfId="13943" xr:uid="{0EA942E3-6EEB-4837-8F96-C9DF6A63BFEE}"/>
    <cellStyle name="Normal 2 4 2 8 4" xfId="9725" xr:uid="{8D176909-9EF8-4B79-8A8A-972E0C1791C6}"/>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EB21800B-068D-40AF-B9C2-D20C43B44E3A}"/>
    <cellStyle name="Normal 2 4 2 9 2 3" xfId="12283" xr:uid="{4BB81C10-21D4-48F9-99BC-9D3AC4773C42}"/>
    <cellStyle name="Normal 2 4 2 9 3" xfId="5914" xr:uid="{00000000-0005-0000-0000-0000CD0F0000}"/>
    <cellStyle name="Normal 2 4 2 9 3 2" xfId="14356" xr:uid="{952CFBF4-D6A9-453B-B1DE-07F562530789}"/>
    <cellStyle name="Normal 2 4 2 9 4" xfId="10138" xr:uid="{7D9E14B5-913E-4326-9BA4-8822A8966AB7}"/>
    <cellStyle name="Normal 2 4 3" xfId="296" xr:uid="{00000000-0005-0000-0000-0000CE0F0000}"/>
    <cellStyle name="Normal 2 4 3 10" xfId="8914" xr:uid="{5288CB49-6835-4896-B94F-49D32469D841}"/>
    <cellStyle name="Normal 2 4 3 2" xfId="297" xr:uid="{00000000-0005-0000-0000-0000CF0F0000}"/>
    <cellStyle name="Normal 2 4 3 3" xfId="298" xr:uid="{00000000-0005-0000-0000-0000D00F0000}"/>
    <cellStyle name="Normal 2 4 3 3 10" xfId="8915" xr:uid="{4C6874DF-ED9B-4032-8AC5-D1DE38A7745E}"/>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B2579BD8-31F3-43D8-8194-34A81D806B70}"/>
    <cellStyle name="Normal 2 4 3 3 2 2 2 2 3" xfId="11476" xr:uid="{421CA21C-9AC1-4C03-8DDF-088DA42EDECE}"/>
    <cellStyle name="Normal 2 4 3 3 2 2 2 3" xfId="5107" xr:uid="{00000000-0005-0000-0000-0000D60F0000}"/>
    <cellStyle name="Normal 2 4 3 3 2 2 2 3 2" xfId="13549" xr:uid="{7785B583-11CF-48D7-A676-69E6C4442E54}"/>
    <cellStyle name="Normal 2 4 3 3 2 2 2 4" xfId="9331" xr:uid="{5AB6394D-4B5A-4A9F-BE3D-75D35BCF4319}"/>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A437BEB6-D8EB-4F1E-B5BF-3468D496ED19}"/>
    <cellStyle name="Normal 2 4 3 3 2 2 3 2 3" xfId="11889" xr:uid="{A71F35D2-073B-4BA2-806E-C4D6985BF722}"/>
    <cellStyle name="Normal 2 4 3 3 2 2 3 3" xfId="5520" xr:uid="{00000000-0005-0000-0000-0000DA0F0000}"/>
    <cellStyle name="Normal 2 4 3 3 2 2 3 3 2" xfId="13962" xr:uid="{24B2138E-1A7F-4BC4-86BD-F130FC0BFB49}"/>
    <cellStyle name="Normal 2 4 3 3 2 2 3 4" xfId="9744" xr:uid="{FC5F08AC-10B1-4CAF-A12F-70621510509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07B6B1CD-DC33-49AC-8701-61ACD88BDFF9}"/>
    <cellStyle name="Normal 2 4 3 3 2 2 4 2 3" xfId="12302" xr:uid="{6B08D9CF-6248-4903-8F99-7DB39FBD248F}"/>
    <cellStyle name="Normal 2 4 3 3 2 2 4 3" xfId="5933" xr:uid="{00000000-0005-0000-0000-0000DE0F0000}"/>
    <cellStyle name="Normal 2 4 3 3 2 2 4 3 2" xfId="14375" xr:uid="{CFEF82BD-4625-46EB-872B-AACCC6352727}"/>
    <cellStyle name="Normal 2 4 3 3 2 2 4 4" xfId="10157" xr:uid="{4FC8C5D2-BD04-490E-8E5F-42F08D77625C}"/>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1A85B4C6-D0F6-425E-ACCE-1BD3B9287FD1}"/>
    <cellStyle name="Normal 2 4 3 3 2 2 5 2 3" xfId="12715" xr:uid="{F40456C2-37AA-4080-B9F4-598B2DC14EE8}"/>
    <cellStyle name="Normal 2 4 3 3 2 2 5 3" xfId="6346" xr:uid="{00000000-0005-0000-0000-0000E20F0000}"/>
    <cellStyle name="Normal 2 4 3 3 2 2 5 3 2" xfId="14788" xr:uid="{45148D39-5223-4438-9072-B22BAA07F037}"/>
    <cellStyle name="Normal 2 4 3 3 2 2 5 4" xfId="10570" xr:uid="{8A252564-663E-4958-B09B-ABA82311886C}"/>
    <cellStyle name="Normal 2 4 3 3 2 2 6" xfId="2475" xr:uid="{00000000-0005-0000-0000-0000E30F0000}"/>
    <cellStyle name="Normal 2 4 3 3 2 2 6 2" xfId="6759" xr:uid="{00000000-0005-0000-0000-0000E40F0000}"/>
    <cellStyle name="Normal 2 4 3 3 2 2 6 2 2" xfId="15201" xr:uid="{9B3F7AFC-F08E-491B-8AFC-6249052594AC}"/>
    <cellStyle name="Normal 2 4 3 3 2 2 6 3" xfId="10983" xr:uid="{4067CAAC-49B4-4E5B-818C-0B4A0C38ECC9}"/>
    <cellStyle name="Normal 2 4 3 3 2 2 7" xfId="4693" xr:uid="{00000000-0005-0000-0000-0000E50F0000}"/>
    <cellStyle name="Normal 2 4 3 3 2 2 7 2" xfId="13135" xr:uid="{150EEF56-2D91-41C2-BA3C-EF23F6C6C3B6}"/>
    <cellStyle name="Normal 2 4 3 3 2 2 8" xfId="8917" xr:uid="{3842BF53-5AD2-452B-B0A7-B8DBB568BF6A}"/>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0A84EE8F-4597-4919-9D05-489036739ECF}"/>
    <cellStyle name="Normal 2 4 3 3 2 3 2 3" xfId="11475" xr:uid="{86F56B3E-0FEB-436B-BFE5-DB7EED5DDACA}"/>
    <cellStyle name="Normal 2 4 3 3 2 3 3" xfId="5106" xr:uid="{00000000-0005-0000-0000-0000E90F0000}"/>
    <cellStyle name="Normal 2 4 3 3 2 3 3 2" xfId="13548" xr:uid="{8F757011-A0A7-46A7-800F-97C7C61D654F}"/>
    <cellStyle name="Normal 2 4 3 3 2 3 4" xfId="9330" xr:uid="{7F0E3A49-4297-4F50-8AB9-36B44C70B773}"/>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A3C36F28-E42A-40F9-887F-3982DFE4DA5D}"/>
    <cellStyle name="Normal 2 4 3 3 2 4 2 3" xfId="11888" xr:uid="{CDC8C82C-C740-4758-A352-F5FC5222FAB9}"/>
    <cellStyle name="Normal 2 4 3 3 2 4 3" xfId="5519" xr:uid="{00000000-0005-0000-0000-0000ED0F0000}"/>
    <cellStyle name="Normal 2 4 3 3 2 4 3 2" xfId="13961" xr:uid="{A4B79EC7-F6FE-4988-8FE4-14743433CD1B}"/>
    <cellStyle name="Normal 2 4 3 3 2 4 4" xfId="9743" xr:uid="{422CBD91-5875-4C2D-92EF-5D0EEEA6E81A}"/>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42DCBD76-1439-4AB4-951E-D13A25A809D8}"/>
    <cellStyle name="Normal 2 4 3 3 2 5 2 3" xfId="12301" xr:uid="{210F2FD1-6501-4C51-9E53-13E12FC463D6}"/>
    <cellStyle name="Normal 2 4 3 3 2 5 3" xfId="5932" xr:uid="{00000000-0005-0000-0000-0000F10F0000}"/>
    <cellStyle name="Normal 2 4 3 3 2 5 3 2" xfId="14374" xr:uid="{C8713073-11BE-4294-A492-B5BD4D13A06A}"/>
    <cellStyle name="Normal 2 4 3 3 2 5 4" xfId="10156" xr:uid="{C0EF1F19-85EB-400C-B5F3-F3397AB572A9}"/>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E686A824-0D8E-4FB9-BD73-B258ACB82DFF}"/>
    <cellStyle name="Normal 2 4 3 3 2 6 2 3" xfId="12714" xr:uid="{F1E792B8-B198-4AD7-8BE9-122531B86F5C}"/>
    <cellStyle name="Normal 2 4 3 3 2 6 3" xfId="6345" xr:uid="{00000000-0005-0000-0000-0000F50F0000}"/>
    <cellStyle name="Normal 2 4 3 3 2 6 3 2" xfId="14787" xr:uid="{50603B30-2F47-4A34-9D1C-9B44EBF362A0}"/>
    <cellStyle name="Normal 2 4 3 3 2 6 4" xfId="10569" xr:uid="{AAE335D2-8CF3-4D6B-A6A4-404A269D9473}"/>
    <cellStyle name="Normal 2 4 3 3 2 7" xfId="2474" xr:uid="{00000000-0005-0000-0000-0000F60F0000}"/>
    <cellStyle name="Normal 2 4 3 3 2 7 2" xfId="6758" xr:uid="{00000000-0005-0000-0000-0000F70F0000}"/>
    <cellStyle name="Normal 2 4 3 3 2 7 2 2" xfId="15200" xr:uid="{770F65D2-7683-42D4-880C-BE26CD9929F5}"/>
    <cellStyle name="Normal 2 4 3 3 2 7 3" xfId="10982" xr:uid="{1980226C-ED2A-459F-872C-2A9AB12BD44F}"/>
    <cellStyle name="Normal 2 4 3 3 2 8" xfId="4692" xr:uid="{00000000-0005-0000-0000-0000F80F0000}"/>
    <cellStyle name="Normal 2 4 3 3 2 8 2" xfId="13134" xr:uid="{445B5D9B-3BD9-4264-A76E-23EDE294104A}"/>
    <cellStyle name="Normal 2 4 3 3 2 9" xfId="8916" xr:uid="{DE68553F-A665-4405-9D94-92F54687A00C}"/>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40B3411B-2D26-4C36-895C-D304E5D9088C}"/>
    <cellStyle name="Normal 2 4 3 3 3 2 2 3" xfId="11477" xr:uid="{D5E60F76-AB08-481E-9233-4CD396DA4073}"/>
    <cellStyle name="Normal 2 4 3 3 3 2 3" xfId="5108" xr:uid="{00000000-0005-0000-0000-0000FD0F0000}"/>
    <cellStyle name="Normal 2 4 3 3 3 2 3 2" xfId="13550" xr:uid="{92B798EB-6145-4629-9D49-A1DBFA9EEE83}"/>
    <cellStyle name="Normal 2 4 3 3 3 2 4" xfId="9332" xr:uid="{44401460-CBFC-4928-8A8C-44650121B3F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16114E35-E24C-4877-91C0-B6C98E0D41D2}"/>
    <cellStyle name="Normal 2 4 3 3 3 3 2 3" xfId="11890" xr:uid="{C770B5B2-CA0B-4F72-8BE7-F3C40C30B4D3}"/>
    <cellStyle name="Normal 2 4 3 3 3 3 3" xfId="5521" xr:uid="{00000000-0005-0000-0000-000001100000}"/>
    <cellStyle name="Normal 2 4 3 3 3 3 3 2" xfId="13963" xr:uid="{63B0AA51-9F47-45AF-91C0-ED562F372A1B}"/>
    <cellStyle name="Normal 2 4 3 3 3 3 4" xfId="9745" xr:uid="{96354ACD-0B86-4E55-8D1F-6AF000731383}"/>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B597FB73-771E-4F8F-B9CC-F15E348870FF}"/>
    <cellStyle name="Normal 2 4 3 3 3 4 2 3" xfId="12303" xr:uid="{F71B3105-57A0-4626-87AC-6B712C0A24AB}"/>
    <cellStyle name="Normal 2 4 3 3 3 4 3" xfId="5934" xr:uid="{00000000-0005-0000-0000-000005100000}"/>
    <cellStyle name="Normal 2 4 3 3 3 4 3 2" xfId="14376" xr:uid="{CFAB8F23-B15B-4DD0-8B94-BBC388D59A5A}"/>
    <cellStyle name="Normal 2 4 3 3 3 4 4" xfId="10158" xr:uid="{E05DBBD6-1FF1-4E57-A0B7-0911D00436C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5EDCEB78-821B-4D24-83F5-9F2F80CB937E}"/>
    <cellStyle name="Normal 2 4 3 3 3 5 2 3" xfId="12716" xr:uid="{BA7FF0A9-704F-45A6-A247-FB7B17E425AF}"/>
    <cellStyle name="Normal 2 4 3 3 3 5 3" xfId="6347" xr:uid="{00000000-0005-0000-0000-000009100000}"/>
    <cellStyle name="Normal 2 4 3 3 3 5 3 2" xfId="14789" xr:uid="{CDC7B93A-8EA3-4117-856E-BD35B7355405}"/>
    <cellStyle name="Normal 2 4 3 3 3 5 4" xfId="10571" xr:uid="{9D90B193-5F52-469B-96A8-8E7E842118EF}"/>
    <cellStyle name="Normal 2 4 3 3 3 6" xfId="2476" xr:uid="{00000000-0005-0000-0000-00000A100000}"/>
    <cellStyle name="Normal 2 4 3 3 3 6 2" xfId="6760" xr:uid="{00000000-0005-0000-0000-00000B100000}"/>
    <cellStyle name="Normal 2 4 3 3 3 6 2 2" xfId="15202" xr:uid="{E04DB445-DFF7-4218-B79A-D1EC53C4BD5E}"/>
    <cellStyle name="Normal 2 4 3 3 3 6 3" xfId="10984" xr:uid="{BC31CEE4-2309-4B65-BFA9-AA5A8DE78AE9}"/>
    <cellStyle name="Normal 2 4 3 3 3 7" xfId="4694" xr:uid="{00000000-0005-0000-0000-00000C100000}"/>
    <cellStyle name="Normal 2 4 3 3 3 7 2" xfId="13136" xr:uid="{80CAA6D2-4D2A-4532-8364-9E20F05C8186}"/>
    <cellStyle name="Normal 2 4 3 3 3 8" xfId="8918" xr:uid="{1783BEFE-9028-406D-A151-BC07210C556C}"/>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580116EA-36FF-48D6-9934-AB4D6865EDD4}"/>
    <cellStyle name="Normal 2 4 3 3 4 2 3" xfId="11474" xr:uid="{700F79A4-F80E-4987-9BE2-54B6B7CFA5B4}"/>
    <cellStyle name="Normal 2 4 3 3 4 3" xfId="5105" xr:uid="{00000000-0005-0000-0000-000010100000}"/>
    <cellStyle name="Normal 2 4 3 3 4 3 2" xfId="13547" xr:uid="{904E3330-0172-4E84-A457-68A85998169C}"/>
    <cellStyle name="Normal 2 4 3 3 4 4" xfId="9329" xr:uid="{0DC6C490-F20A-49BE-99A0-10BA07CC3FA7}"/>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67F315B7-B1F8-467E-9BB7-9FB1557AEA2C}"/>
    <cellStyle name="Normal 2 4 3 3 5 2 3" xfId="11887" xr:uid="{1938BA87-ECF1-4595-8FBB-3E2AD059806C}"/>
    <cellStyle name="Normal 2 4 3 3 5 3" xfId="5518" xr:uid="{00000000-0005-0000-0000-000014100000}"/>
    <cellStyle name="Normal 2 4 3 3 5 3 2" xfId="13960" xr:uid="{564B15E7-E670-480B-93A7-9AE8FC322E2E}"/>
    <cellStyle name="Normal 2 4 3 3 5 4" xfId="9742" xr:uid="{CEF57703-91D0-426B-BE82-A15A3918CD12}"/>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26A4989C-A61A-464F-8896-D3BB549B7625}"/>
    <cellStyle name="Normal 2 4 3 3 6 2 3" xfId="12300" xr:uid="{2307BEB9-B5E6-4F21-87AA-96FE1821F248}"/>
    <cellStyle name="Normal 2 4 3 3 6 3" xfId="5931" xr:uid="{00000000-0005-0000-0000-000018100000}"/>
    <cellStyle name="Normal 2 4 3 3 6 3 2" xfId="14373" xr:uid="{15D46B22-389C-4D42-9416-EB231C435E9D}"/>
    <cellStyle name="Normal 2 4 3 3 6 4" xfId="10155" xr:uid="{BF3507B3-C1CA-44FE-9D87-994AE91EFDD6}"/>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BDFDE417-2DDA-45AE-949F-5A723E2C8E43}"/>
    <cellStyle name="Normal 2 4 3 3 7 2 3" xfId="12713" xr:uid="{8CF7B8BA-B77E-4CA9-BD99-75D03459B541}"/>
    <cellStyle name="Normal 2 4 3 3 7 3" xfId="6344" xr:uid="{00000000-0005-0000-0000-00001C100000}"/>
    <cellStyle name="Normal 2 4 3 3 7 3 2" xfId="14786" xr:uid="{860F1694-4D9F-44B0-8938-6B32CD00145D}"/>
    <cellStyle name="Normal 2 4 3 3 7 4" xfId="10568" xr:uid="{FF6A0D8E-2DE8-4E42-8E0A-0C9E569E9EED}"/>
    <cellStyle name="Normal 2 4 3 3 8" xfId="2473" xr:uid="{00000000-0005-0000-0000-00001D100000}"/>
    <cellStyle name="Normal 2 4 3 3 8 2" xfId="6757" xr:uid="{00000000-0005-0000-0000-00001E100000}"/>
    <cellStyle name="Normal 2 4 3 3 8 2 2" xfId="15199" xr:uid="{2F17893D-4220-4423-829F-F9FDA31A7DDF}"/>
    <cellStyle name="Normal 2 4 3 3 8 3" xfId="10981" xr:uid="{56CA7FCF-3C6A-46FE-A0F8-7BC3D5891D0F}"/>
    <cellStyle name="Normal 2 4 3 3 9" xfId="4691" xr:uid="{00000000-0005-0000-0000-00001F100000}"/>
    <cellStyle name="Normal 2 4 3 3 9 2" xfId="13133" xr:uid="{0625EC0F-616C-46C5-916E-95DB038A48BA}"/>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86A9E101-3A5F-44CE-AF25-8913E3352675}"/>
    <cellStyle name="Normal 2 4 3 4 2 3" xfId="11473" xr:uid="{64B4FCD3-5C8C-4D4A-8C56-8C6795FAD5BB}"/>
    <cellStyle name="Normal 2 4 3 4 3" xfId="5104" xr:uid="{00000000-0005-0000-0000-000023100000}"/>
    <cellStyle name="Normal 2 4 3 4 3 2" xfId="13546" xr:uid="{BAFC9669-FB70-4C29-8538-3894F670F5C2}"/>
    <cellStyle name="Normal 2 4 3 4 4" xfId="9328" xr:uid="{B7AB085C-B5C5-4E49-A8CD-0BAD0AD76161}"/>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3E2FB64F-B578-432F-B39E-AB00836BFE44}"/>
    <cellStyle name="Normal 2 4 3 5 2 3" xfId="11886" xr:uid="{E0088F08-8549-45CC-B5D0-49F8AFE2A0E2}"/>
    <cellStyle name="Normal 2 4 3 5 3" xfId="5517" xr:uid="{00000000-0005-0000-0000-000027100000}"/>
    <cellStyle name="Normal 2 4 3 5 3 2" xfId="13959" xr:uid="{A817DB77-B5F0-438E-8015-337884F5C677}"/>
    <cellStyle name="Normal 2 4 3 5 4" xfId="9741" xr:uid="{9BEB5E20-4A21-45DF-856C-E88E3E1733DD}"/>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D98A43D2-9D6D-4F5B-9377-D8D3EA77C8CC}"/>
    <cellStyle name="Normal 2 4 3 6 2 3" xfId="12299" xr:uid="{2FF5EC56-2F24-4678-B98E-70132294A49A}"/>
    <cellStyle name="Normal 2 4 3 6 3" xfId="5930" xr:uid="{00000000-0005-0000-0000-00002B100000}"/>
    <cellStyle name="Normal 2 4 3 6 3 2" xfId="14372" xr:uid="{450C7760-F3B6-4B73-9472-6A650DED0E99}"/>
    <cellStyle name="Normal 2 4 3 6 4" xfId="10154" xr:uid="{1CBE6E92-7F6C-41AB-A0AB-EDC8B05990ED}"/>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66FFCD5A-81D7-4CC1-A738-CF35DF102FB1}"/>
    <cellStyle name="Normal 2 4 3 7 2 3" xfId="12712" xr:uid="{391A8ECF-56BA-4F2F-902F-4EE4A9CB2ABC}"/>
    <cellStyle name="Normal 2 4 3 7 3" xfId="6343" xr:uid="{00000000-0005-0000-0000-00002F100000}"/>
    <cellStyle name="Normal 2 4 3 7 3 2" xfId="14785" xr:uid="{F861F469-8657-4314-ABED-751228F5741B}"/>
    <cellStyle name="Normal 2 4 3 7 4" xfId="10567" xr:uid="{035CEB31-F3FB-47F4-A0D3-9B4B2EB6CD74}"/>
    <cellStyle name="Normal 2 4 3 8" xfId="2472" xr:uid="{00000000-0005-0000-0000-000030100000}"/>
    <cellStyle name="Normal 2 4 3 8 2" xfId="6756" xr:uid="{00000000-0005-0000-0000-000031100000}"/>
    <cellStyle name="Normal 2 4 3 8 2 2" xfId="15198" xr:uid="{C4C924F6-2DE1-4AFF-A433-94E5B0DE2783}"/>
    <cellStyle name="Normal 2 4 3 8 3" xfId="10980" xr:uid="{34E10E37-271C-4508-A750-62B72145411C}"/>
    <cellStyle name="Normal 2 4 3 9" xfId="4690" xr:uid="{00000000-0005-0000-0000-000032100000}"/>
    <cellStyle name="Normal 2 4 3 9 2" xfId="13132" xr:uid="{EC36C369-632B-4184-85E9-CEA7D3A366E4}"/>
    <cellStyle name="Normal 2 4 4" xfId="302" xr:uid="{00000000-0005-0000-0000-000033100000}"/>
    <cellStyle name="Normal 2 4 5" xfId="303" xr:uid="{00000000-0005-0000-0000-000034100000}"/>
    <cellStyle name="Normal 2 4 5 10" xfId="4695" xr:uid="{00000000-0005-0000-0000-000035100000}"/>
    <cellStyle name="Normal 2 4 5 10 2" xfId="13137" xr:uid="{4903282E-C6D4-4CF2-B937-1AA8101815F9}"/>
    <cellStyle name="Normal 2 4 5 11" xfId="8919" xr:uid="{5242F91E-81CA-4B12-8BB1-B633A0A5363D}"/>
    <cellStyle name="Normal 2 4 5 2" xfId="304" xr:uid="{00000000-0005-0000-0000-000036100000}"/>
    <cellStyle name="Normal 2 4 5 2 10" xfId="8920" xr:uid="{4AE2AF82-820B-4B96-8663-566E258DBD16}"/>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5D8DFA0D-B88B-4356-8E2A-1EBD2BB21F93}"/>
    <cellStyle name="Normal 2 4 5 2 2 2 2 2 3" xfId="11481" xr:uid="{93ACD4B5-6AAF-47A6-A4D7-93DB4F796C8F}"/>
    <cellStyle name="Normal 2 4 5 2 2 2 2 3" xfId="5112" xr:uid="{00000000-0005-0000-0000-00003C100000}"/>
    <cellStyle name="Normal 2 4 5 2 2 2 2 3 2" xfId="13554" xr:uid="{494B09E4-8A54-4448-9288-746C706592AC}"/>
    <cellStyle name="Normal 2 4 5 2 2 2 2 4" xfId="9336" xr:uid="{82A01C56-C538-464A-A5D1-8E7362C205D3}"/>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63E7BC3C-3D83-4317-BB98-212961D2F938}"/>
    <cellStyle name="Normal 2 4 5 2 2 2 3 2 3" xfId="11894" xr:uid="{F71B638A-2A53-48F6-ADBD-732B1E547AB9}"/>
    <cellStyle name="Normal 2 4 5 2 2 2 3 3" xfId="5525" xr:uid="{00000000-0005-0000-0000-000040100000}"/>
    <cellStyle name="Normal 2 4 5 2 2 2 3 3 2" xfId="13967" xr:uid="{6A304327-5766-43DA-97C3-0114F87D18A9}"/>
    <cellStyle name="Normal 2 4 5 2 2 2 3 4" xfId="9749" xr:uid="{82A516EE-F8A1-412B-8BEE-E5314CD77DA4}"/>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FE005218-318F-4D00-BBF3-893B5A0B6DB5}"/>
    <cellStyle name="Normal 2 4 5 2 2 2 4 2 3" xfId="12307" xr:uid="{93E21184-6E02-4741-ADB0-5F07C2A94E31}"/>
    <cellStyle name="Normal 2 4 5 2 2 2 4 3" xfId="5938" xr:uid="{00000000-0005-0000-0000-000044100000}"/>
    <cellStyle name="Normal 2 4 5 2 2 2 4 3 2" xfId="14380" xr:uid="{915622F0-E6F3-435D-A1FB-FF2D41551D8F}"/>
    <cellStyle name="Normal 2 4 5 2 2 2 4 4" xfId="10162" xr:uid="{90232869-4D66-4A75-87F8-1BC37D64E371}"/>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6023E546-0C35-4A56-8E96-FB8DBDE35DA7}"/>
    <cellStyle name="Normal 2 4 5 2 2 2 5 2 3" xfId="12720" xr:uid="{18282DE0-7476-43DF-97BA-E7D4EA1B12A3}"/>
    <cellStyle name="Normal 2 4 5 2 2 2 5 3" xfId="6351" xr:uid="{00000000-0005-0000-0000-000048100000}"/>
    <cellStyle name="Normal 2 4 5 2 2 2 5 3 2" xfId="14793" xr:uid="{FE06CCC6-AF03-436B-ADE7-4B0491C25262}"/>
    <cellStyle name="Normal 2 4 5 2 2 2 5 4" xfId="10575" xr:uid="{B9BB4773-EB8A-4D88-9EC8-A3C4B2E5FD90}"/>
    <cellStyle name="Normal 2 4 5 2 2 2 6" xfId="2480" xr:uid="{00000000-0005-0000-0000-000049100000}"/>
    <cellStyle name="Normal 2 4 5 2 2 2 6 2" xfId="6764" xr:uid="{00000000-0005-0000-0000-00004A100000}"/>
    <cellStyle name="Normal 2 4 5 2 2 2 6 2 2" xfId="15206" xr:uid="{799FDD3C-50CE-4619-8FE0-5E1A8AA35507}"/>
    <cellStyle name="Normal 2 4 5 2 2 2 6 3" xfId="10988" xr:uid="{1661578A-423A-4974-8DDD-7EF3E49C7A9E}"/>
    <cellStyle name="Normal 2 4 5 2 2 2 7" xfId="4698" xr:uid="{00000000-0005-0000-0000-00004B100000}"/>
    <cellStyle name="Normal 2 4 5 2 2 2 7 2" xfId="13140" xr:uid="{5E0A84D9-9AF1-41AC-B63A-97AD177BCB97}"/>
    <cellStyle name="Normal 2 4 5 2 2 2 8" xfId="8922" xr:uid="{23A3BFDA-E0F5-401E-9A42-2E44E6CEBDB9}"/>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31F58641-0C16-4257-9090-363ED08D34B2}"/>
    <cellStyle name="Normal 2 4 5 2 2 3 2 3" xfId="11480" xr:uid="{A24D66D9-2215-4D0E-84A7-D2E58E5BDAA3}"/>
    <cellStyle name="Normal 2 4 5 2 2 3 3" xfId="5111" xr:uid="{00000000-0005-0000-0000-00004F100000}"/>
    <cellStyle name="Normal 2 4 5 2 2 3 3 2" xfId="13553" xr:uid="{6F950998-7831-4F9D-9C49-3495790446EF}"/>
    <cellStyle name="Normal 2 4 5 2 2 3 4" xfId="9335" xr:uid="{EF96C4DE-C96A-4D62-89F5-3D73B88A9BB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783BA912-874B-4611-AACD-4B84F5D894E8}"/>
    <cellStyle name="Normal 2 4 5 2 2 4 2 3" xfId="11893" xr:uid="{E5DC074D-7DD2-4574-9548-09FFD385BD93}"/>
    <cellStyle name="Normal 2 4 5 2 2 4 3" xfId="5524" xr:uid="{00000000-0005-0000-0000-000053100000}"/>
    <cellStyle name="Normal 2 4 5 2 2 4 3 2" xfId="13966" xr:uid="{B29D1CDB-2973-4AD7-BD8D-5174972029C9}"/>
    <cellStyle name="Normal 2 4 5 2 2 4 4" xfId="9748" xr:uid="{EF37D815-B064-4870-A961-56CCDED90ADB}"/>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A266ADDC-DDF0-408A-A9AF-D524CDC55A76}"/>
    <cellStyle name="Normal 2 4 5 2 2 5 2 3" xfId="12306" xr:uid="{090F1FC2-A965-4049-962C-EEAE3363592A}"/>
    <cellStyle name="Normal 2 4 5 2 2 5 3" xfId="5937" xr:uid="{00000000-0005-0000-0000-000057100000}"/>
    <cellStyle name="Normal 2 4 5 2 2 5 3 2" xfId="14379" xr:uid="{05D71A2A-ADB5-434F-8B57-8E0CBBD8CF6C}"/>
    <cellStyle name="Normal 2 4 5 2 2 5 4" xfId="10161" xr:uid="{0D5362F5-24B3-46F7-8300-021FF9D588DA}"/>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37B43CD3-B0E4-4AEF-9E66-2C2F18B2265B}"/>
    <cellStyle name="Normal 2 4 5 2 2 6 2 3" xfId="12719" xr:uid="{68698794-BC77-4A15-AB26-A20992565019}"/>
    <cellStyle name="Normal 2 4 5 2 2 6 3" xfId="6350" xr:uid="{00000000-0005-0000-0000-00005B100000}"/>
    <cellStyle name="Normal 2 4 5 2 2 6 3 2" xfId="14792" xr:uid="{C6EBE5DC-3AA4-472B-B9B3-3995445684EF}"/>
    <cellStyle name="Normal 2 4 5 2 2 6 4" xfId="10574" xr:uid="{6F49918D-417D-4307-BDE6-50D8AD768D96}"/>
    <cellStyle name="Normal 2 4 5 2 2 7" xfId="2479" xr:uid="{00000000-0005-0000-0000-00005C100000}"/>
    <cellStyle name="Normal 2 4 5 2 2 7 2" xfId="6763" xr:uid="{00000000-0005-0000-0000-00005D100000}"/>
    <cellStyle name="Normal 2 4 5 2 2 7 2 2" xfId="15205" xr:uid="{69E18B27-9DC7-4DE8-AD4C-DBEAB5D5F609}"/>
    <cellStyle name="Normal 2 4 5 2 2 7 3" xfId="10987" xr:uid="{9F9AF88B-9B61-4EA8-A242-7255D7C796D7}"/>
    <cellStyle name="Normal 2 4 5 2 2 8" xfId="4697" xr:uid="{00000000-0005-0000-0000-00005E100000}"/>
    <cellStyle name="Normal 2 4 5 2 2 8 2" xfId="13139" xr:uid="{99BB6138-66C9-49A2-B40C-2E2296087CE3}"/>
    <cellStyle name="Normal 2 4 5 2 2 9" xfId="8921" xr:uid="{2A75DF4A-FD58-4203-B339-E7A8376D404B}"/>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A0FA2967-27E6-4128-915D-3F0276D01F72}"/>
    <cellStyle name="Normal 2 4 5 2 3 2 2 3" xfId="11482" xr:uid="{F12D283C-4A1B-40B7-9C27-BA7C58B62667}"/>
    <cellStyle name="Normal 2 4 5 2 3 2 3" xfId="5113" xr:uid="{00000000-0005-0000-0000-000063100000}"/>
    <cellStyle name="Normal 2 4 5 2 3 2 3 2" xfId="13555" xr:uid="{96BE487A-3394-44B3-9294-4FE66D74F3D2}"/>
    <cellStyle name="Normal 2 4 5 2 3 2 4" xfId="9337" xr:uid="{E742043B-42E8-44BE-8144-3836D8AD162F}"/>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8FD6F104-AEED-4077-A661-F0D11F3DE276}"/>
    <cellStyle name="Normal 2 4 5 2 3 3 2 3" xfId="11895" xr:uid="{F147D659-2D7D-47F4-BB96-C6F66FE54857}"/>
    <cellStyle name="Normal 2 4 5 2 3 3 3" xfId="5526" xr:uid="{00000000-0005-0000-0000-000067100000}"/>
    <cellStyle name="Normal 2 4 5 2 3 3 3 2" xfId="13968" xr:uid="{8CE548DF-DE92-4982-8344-0C409E0DEECA}"/>
    <cellStyle name="Normal 2 4 5 2 3 3 4" xfId="9750" xr:uid="{8811EE8E-8F83-4EAD-AC6F-F57F97D7E5BA}"/>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95AE34CC-14C8-4F77-85AD-6C606CBA2491}"/>
    <cellStyle name="Normal 2 4 5 2 3 4 2 3" xfId="12308" xr:uid="{968055D1-4B84-4A23-AFB0-4E100742F2B1}"/>
    <cellStyle name="Normal 2 4 5 2 3 4 3" xfId="5939" xr:uid="{00000000-0005-0000-0000-00006B100000}"/>
    <cellStyle name="Normal 2 4 5 2 3 4 3 2" xfId="14381" xr:uid="{4CB1F023-005F-43D5-B4D6-4ABDC9F82C5C}"/>
    <cellStyle name="Normal 2 4 5 2 3 4 4" xfId="10163" xr:uid="{108F90B6-A26C-4890-A5F2-997AE02D49ED}"/>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108525DA-D199-4F1B-9BD4-D97484FE6E3A}"/>
    <cellStyle name="Normal 2 4 5 2 3 5 2 3" xfId="12721" xr:uid="{9EE87B75-0A56-4825-A996-1C5C6F0683E1}"/>
    <cellStyle name="Normal 2 4 5 2 3 5 3" xfId="6352" xr:uid="{00000000-0005-0000-0000-00006F100000}"/>
    <cellStyle name="Normal 2 4 5 2 3 5 3 2" xfId="14794" xr:uid="{EC704536-44E6-46C9-B1D4-EF0761A00E86}"/>
    <cellStyle name="Normal 2 4 5 2 3 5 4" xfId="10576" xr:uid="{EC9BD111-AECD-4A96-9DF2-8B635BE7407B}"/>
    <cellStyle name="Normal 2 4 5 2 3 6" xfId="2481" xr:uid="{00000000-0005-0000-0000-000070100000}"/>
    <cellStyle name="Normal 2 4 5 2 3 6 2" xfId="6765" xr:uid="{00000000-0005-0000-0000-000071100000}"/>
    <cellStyle name="Normal 2 4 5 2 3 6 2 2" xfId="15207" xr:uid="{1485490F-75E2-4867-AA1B-70A4524F1A42}"/>
    <cellStyle name="Normal 2 4 5 2 3 6 3" xfId="10989" xr:uid="{7773385F-2C93-48B4-AF50-712BC453FB39}"/>
    <cellStyle name="Normal 2 4 5 2 3 7" xfId="4699" xr:uid="{00000000-0005-0000-0000-000072100000}"/>
    <cellStyle name="Normal 2 4 5 2 3 7 2" xfId="13141" xr:uid="{D7B34058-017F-42D9-A9DE-32C6BBA688D5}"/>
    <cellStyle name="Normal 2 4 5 2 3 8" xfId="8923" xr:uid="{3E537F1C-2555-462C-B485-B9688F2C7BA4}"/>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1990DDF9-9F5C-4FBF-A09B-6096AB0B4616}"/>
    <cellStyle name="Normal 2 4 5 2 4 2 3" xfId="11479" xr:uid="{5532C63E-C68A-4FF9-A1F6-F23F8BCF9D63}"/>
    <cellStyle name="Normal 2 4 5 2 4 3" xfId="5110" xr:uid="{00000000-0005-0000-0000-000076100000}"/>
    <cellStyle name="Normal 2 4 5 2 4 3 2" xfId="13552" xr:uid="{36B5E69A-B975-4143-9646-535085362554}"/>
    <cellStyle name="Normal 2 4 5 2 4 4" xfId="9334" xr:uid="{E9953AF0-0FEF-4763-AB26-90857EA9720E}"/>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62AA09A7-8678-4E84-828C-2EFA58ED501B}"/>
    <cellStyle name="Normal 2 4 5 2 5 2 3" xfId="11892" xr:uid="{4922DCF9-F3F7-4F43-A787-48B21207FF99}"/>
    <cellStyle name="Normal 2 4 5 2 5 3" xfId="5523" xr:uid="{00000000-0005-0000-0000-00007A100000}"/>
    <cellStyle name="Normal 2 4 5 2 5 3 2" xfId="13965" xr:uid="{C604C1DA-F892-4B61-BC86-57F3EE47451A}"/>
    <cellStyle name="Normal 2 4 5 2 5 4" xfId="9747" xr:uid="{7DEBCB30-F576-4E24-9D12-CBC02FF51B66}"/>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F39B9BDE-2C2B-4494-A567-BB8C9ACB35CC}"/>
    <cellStyle name="Normal 2 4 5 2 6 2 3" xfId="12305" xr:uid="{893F2191-2DFB-43F4-84E4-8C6979B1CB8E}"/>
    <cellStyle name="Normal 2 4 5 2 6 3" xfId="5936" xr:uid="{00000000-0005-0000-0000-00007E100000}"/>
    <cellStyle name="Normal 2 4 5 2 6 3 2" xfId="14378" xr:uid="{4E554C63-C7CB-464E-881E-6F2BDA2F04AC}"/>
    <cellStyle name="Normal 2 4 5 2 6 4" xfId="10160" xr:uid="{174EC432-BE6F-4835-A29F-31E8ABC62176}"/>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83E9DEE1-9FFD-428C-9687-2B504AA821E9}"/>
    <cellStyle name="Normal 2 4 5 2 7 2 3" xfId="12718" xr:uid="{56D0DEBB-D7FB-4E19-9761-3F71B8272F01}"/>
    <cellStyle name="Normal 2 4 5 2 7 3" xfId="6349" xr:uid="{00000000-0005-0000-0000-000082100000}"/>
    <cellStyle name="Normal 2 4 5 2 7 3 2" xfId="14791" xr:uid="{D62D3331-A34F-4FA4-8470-EA8FDBBE4FF7}"/>
    <cellStyle name="Normal 2 4 5 2 7 4" xfId="10573" xr:uid="{180D1673-E933-4660-9813-E95B2875655B}"/>
    <cellStyle name="Normal 2 4 5 2 8" xfId="2478" xr:uid="{00000000-0005-0000-0000-000083100000}"/>
    <cellStyle name="Normal 2 4 5 2 8 2" xfId="6762" xr:uid="{00000000-0005-0000-0000-000084100000}"/>
    <cellStyle name="Normal 2 4 5 2 8 2 2" xfId="15204" xr:uid="{33FB3722-5163-4B5A-8DDC-5B1855023DEA}"/>
    <cellStyle name="Normal 2 4 5 2 8 3" xfId="10986" xr:uid="{64EF3745-5FF5-4ECD-A32E-90EF16941C2D}"/>
    <cellStyle name="Normal 2 4 5 2 9" xfId="4696" xr:uid="{00000000-0005-0000-0000-000085100000}"/>
    <cellStyle name="Normal 2 4 5 2 9 2" xfId="13138" xr:uid="{3E586565-57D1-41B5-AB30-B4B69D7E70CC}"/>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7DCEF646-8CED-4B2A-91B3-F65AB097417A}"/>
    <cellStyle name="Normal 2 4 5 3 2 2 2 3" xfId="11484" xr:uid="{FDCA85AD-E5E6-44E0-93E3-46477B16A09B}"/>
    <cellStyle name="Normal 2 4 5 3 2 2 3" xfId="5115" xr:uid="{00000000-0005-0000-0000-00008B100000}"/>
    <cellStyle name="Normal 2 4 5 3 2 2 3 2" xfId="13557" xr:uid="{FFFBF20F-9817-4F7E-9BDB-4E792291BF58}"/>
    <cellStyle name="Normal 2 4 5 3 2 2 4" xfId="9339" xr:uid="{E7C36AAD-706F-45E3-A25A-4FA29AC3AC44}"/>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41B51727-2BEE-465F-B89F-3D79A644ED93}"/>
    <cellStyle name="Normal 2 4 5 3 2 3 2 3" xfId="11897" xr:uid="{76F569DF-5784-4599-8749-43D2BDFE9495}"/>
    <cellStyle name="Normal 2 4 5 3 2 3 3" xfId="5528" xr:uid="{00000000-0005-0000-0000-00008F100000}"/>
    <cellStyle name="Normal 2 4 5 3 2 3 3 2" xfId="13970" xr:uid="{6B9526EB-985E-49A7-B185-DACD2E08BD1F}"/>
    <cellStyle name="Normal 2 4 5 3 2 3 4" xfId="9752" xr:uid="{A56DA22E-E269-4E4C-9164-C091B65281A4}"/>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5C8266B9-C47A-480C-A280-741E64F85A22}"/>
    <cellStyle name="Normal 2 4 5 3 2 4 2 3" xfId="12310" xr:uid="{E4264845-C9BE-4A4D-B68F-8896989F942E}"/>
    <cellStyle name="Normal 2 4 5 3 2 4 3" xfId="5941" xr:uid="{00000000-0005-0000-0000-000093100000}"/>
    <cellStyle name="Normal 2 4 5 3 2 4 3 2" xfId="14383" xr:uid="{8F775CA5-C0F6-430F-8CD6-E5000CBA730D}"/>
    <cellStyle name="Normal 2 4 5 3 2 4 4" xfId="10165" xr:uid="{1BBF956E-522D-420F-863E-27FC991B4172}"/>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750E09C4-A1EB-4BDE-B971-6FAD12922C5E}"/>
    <cellStyle name="Normal 2 4 5 3 2 5 2 3" xfId="12723" xr:uid="{3C228016-9B8A-4B64-B277-B11872AD4D29}"/>
    <cellStyle name="Normal 2 4 5 3 2 5 3" xfId="6354" xr:uid="{00000000-0005-0000-0000-000097100000}"/>
    <cellStyle name="Normal 2 4 5 3 2 5 3 2" xfId="14796" xr:uid="{B8BFBFFB-D9F1-44A0-BB93-1A6027D3766B}"/>
    <cellStyle name="Normal 2 4 5 3 2 5 4" xfId="10578" xr:uid="{9CEB0162-32D4-49B5-BBD2-714177AF00D5}"/>
    <cellStyle name="Normal 2 4 5 3 2 6" xfId="2483" xr:uid="{00000000-0005-0000-0000-000098100000}"/>
    <cellStyle name="Normal 2 4 5 3 2 6 2" xfId="6767" xr:uid="{00000000-0005-0000-0000-000099100000}"/>
    <cellStyle name="Normal 2 4 5 3 2 6 2 2" xfId="15209" xr:uid="{AE572B41-CB16-401B-8A87-3B820A958B85}"/>
    <cellStyle name="Normal 2 4 5 3 2 6 3" xfId="10991" xr:uid="{D20DA158-A04F-4932-BFF8-2D845A9E7384}"/>
    <cellStyle name="Normal 2 4 5 3 2 7" xfId="4701" xr:uid="{00000000-0005-0000-0000-00009A100000}"/>
    <cellStyle name="Normal 2 4 5 3 2 7 2" xfId="13143" xr:uid="{B471E649-35B5-4EFA-87A8-B9F7A2F5F855}"/>
    <cellStyle name="Normal 2 4 5 3 2 8" xfId="8925" xr:uid="{FFC11DA2-086D-4207-BEB6-8BA411382D5C}"/>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4BC931BF-76EB-42E3-BB64-43E48DC914D3}"/>
    <cellStyle name="Normal 2 4 5 3 3 2 3" xfId="11483" xr:uid="{494A3A11-8A28-417B-94A8-3FCE29BC1AA6}"/>
    <cellStyle name="Normal 2 4 5 3 3 3" xfId="5114" xr:uid="{00000000-0005-0000-0000-00009E100000}"/>
    <cellStyle name="Normal 2 4 5 3 3 3 2" xfId="13556" xr:uid="{BF532AEC-5752-4E0D-AF68-AC49C960E4AF}"/>
    <cellStyle name="Normal 2 4 5 3 3 4" xfId="9338" xr:uid="{10E2521E-836C-492A-A524-0A05081B9C76}"/>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761EA0D7-4C01-4611-98B9-BA77AF962DEE}"/>
    <cellStyle name="Normal 2 4 5 3 4 2 3" xfId="11896" xr:uid="{65EEE113-3043-491D-81A7-7A78E50EEB10}"/>
    <cellStyle name="Normal 2 4 5 3 4 3" xfId="5527" xr:uid="{00000000-0005-0000-0000-0000A2100000}"/>
    <cellStyle name="Normal 2 4 5 3 4 3 2" xfId="13969" xr:uid="{947E409B-F0E4-4544-8B9F-58DF645D1F6A}"/>
    <cellStyle name="Normal 2 4 5 3 4 4" xfId="9751" xr:uid="{85C8CEBD-FAB4-4ED8-A090-368E2A6B3DA8}"/>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7AFE1DF8-F822-4C80-AB5F-2B965016998B}"/>
    <cellStyle name="Normal 2 4 5 3 5 2 3" xfId="12309" xr:uid="{E2A10EEB-FA84-473D-BA58-D44C7D1E9D89}"/>
    <cellStyle name="Normal 2 4 5 3 5 3" xfId="5940" xr:uid="{00000000-0005-0000-0000-0000A6100000}"/>
    <cellStyle name="Normal 2 4 5 3 5 3 2" xfId="14382" xr:uid="{AADBB59D-9E38-42E3-A65A-A620CFB7E80F}"/>
    <cellStyle name="Normal 2 4 5 3 5 4" xfId="10164" xr:uid="{E585481A-4DC8-44BC-86FE-B976AED17221}"/>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42DB8C3A-2914-44D3-8640-6412728BFF1A}"/>
    <cellStyle name="Normal 2 4 5 3 6 2 3" xfId="12722" xr:uid="{F5D211CF-EC8A-4924-942E-B587BA0655F2}"/>
    <cellStyle name="Normal 2 4 5 3 6 3" xfId="6353" xr:uid="{00000000-0005-0000-0000-0000AA100000}"/>
    <cellStyle name="Normal 2 4 5 3 6 3 2" xfId="14795" xr:uid="{5C3BE88F-3799-43DD-AB51-684A102F2AE1}"/>
    <cellStyle name="Normal 2 4 5 3 6 4" xfId="10577" xr:uid="{38EDF500-A076-4ECD-B777-A187434C8508}"/>
    <cellStyle name="Normal 2 4 5 3 7" xfId="2482" xr:uid="{00000000-0005-0000-0000-0000AB100000}"/>
    <cellStyle name="Normal 2 4 5 3 7 2" xfId="6766" xr:uid="{00000000-0005-0000-0000-0000AC100000}"/>
    <cellStyle name="Normal 2 4 5 3 7 2 2" xfId="15208" xr:uid="{AE6D50A9-EE24-439A-A444-AC0E9730D9F0}"/>
    <cellStyle name="Normal 2 4 5 3 7 3" xfId="10990" xr:uid="{9743725F-A02C-45B1-A2BE-7748DF443115}"/>
    <cellStyle name="Normal 2 4 5 3 8" xfId="4700" xr:uid="{00000000-0005-0000-0000-0000AD100000}"/>
    <cellStyle name="Normal 2 4 5 3 8 2" xfId="13142" xr:uid="{CBDE2382-3A23-4C37-8D58-371280C3D160}"/>
    <cellStyle name="Normal 2 4 5 3 9" xfId="8924" xr:uid="{5AC759CB-D4AD-4FBC-BF8F-EB08854941C1}"/>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8AE746D3-CD9A-4B58-A437-32044BE5FE9B}"/>
    <cellStyle name="Normal 2 4 5 4 2 2 3" xfId="11485" xr:uid="{05BF62F8-E55B-4B54-A2F5-0CF01EADF0A2}"/>
    <cellStyle name="Normal 2 4 5 4 2 3" xfId="5116" xr:uid="{00000000-0005-0000-0000-0000B2100000}"/>
    <cellStyle name="Normal 2 4 5 4 2 3 2" xfId="13558" xr:uid="{F12FDEAC-8723-40E2-9331-407B910C06B2}"/>
    <cellStyle name="Normal 2 4 5 4 2 4" xfId="9340" xr:uid="{DBE1F3EE-0A9B-48DE-AC31-4C17A6D3B30C}"/>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D98819DC-592E-4AE5-B785-1E349645DBE1}"/>
    <cellStyle name="Normal 2 4 5 4 3 2 3" xfId="11898" xr:uid="{527DAD39-0B2F-4941-A2B6-2E880CB179D1}"/>
    <cellStyle name="Normal 2 4 5 4 3 3" xfId="5529" xr:uid="{00000000-0005-0000-0000-0000B6100000}"/>
    <cellStyle name="Normal 2 4 5 4 3 3 2" xfId="13971" xr:uid="{B2D9D057-5B2B-4B2F-B174-63C6E8673849}"/>
    <cellStyle name="Normal 2 4 5 4 3 4" xfId="9753" xr:uid="{995AC90F-E14A-4D6C-B764-B2C4CFD6586C}"/>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D9BE501B-007D-407C-8018-DB26723BB9BA}"/>
    <cellStyle name="Normal 2 4 5 4 4 2 3" xfId="12311" xr:uid="{D49FB835-8254-457F-A901-9D2919419063}"/>
    <cellStyle name="Normal 2 4 5 4 4 3" xfId="5942" xr:uid="{00000000-0005-0000-0000-0000BA100000}"/>
    <cellStyle name="Normal 2 4 5 4 4 3 2" xfId="14384" xr:uid="{A16D89FC-F34C-44E9-BA36-56D21A9A015A}"/>
    <cellStyle name="Normal 2 4 5 4 4 4" xfId="10166" xr:uid="{173DAC07-F8ED-4A01-B5D8-2D7E99E42D2C}"/>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2A08D10D-9344-4F30-A151-E36D42A122B8}"/>
    <cellStyle name="Normal 2 4 5 4 5 2 3" xfId="12724" xr:uid="{6D5DD9AA-72BE-4937-A6CB-C866DD333917}"/>
    <cellStyle name="Normal 2 4 5 4 5 3" xfId="6355" xr:uid="{00000000-0005-0000-0000-0000BE100000}"/>
    <cellStyle name="Normal 2 4 5 4 5 3 2" xfId="14797" xr:uid="{723673AE-4AB1-4EF8-A9A9-8209F09F89C6}"/>
    <cellStyle name="Normal 2 4 5 4 5 4" xfId="10579" xr:uid="{D13EE80E-82EB-4531-9B79-ACF2334430D4}"/>
    <cellStyle name="Normal 2 4 5 4 6" xfId="2484" xr:uid="{00000000-0005-0000-0000-0000BF100000}"/>
    <cellStyle name="Normal 2 4 5 4 6 2" xfId="6768" xr:uid="{00000000-0005-0000-0000-0000C0100000}"/>
    <cellStyle name="Normal 2 4 5 4 6 2 2" xfId="15210" xr:uid="{1E5BE22F-9DAA-45AE-BDC7-C41E5FA9DBA8}"/>
    <cellStyle name="Normal 2 4 5 4 6 3" xfId="10992" xr:uid="{36465CDB-668C-4A23-B4ED-1CD055963EF8}"/>
    <cellStyle name="Normal 2 4 5 4 7" xfId="4702" xr:uid="{00000000-0005-0000-0000-0000C1100000}"/>
    <cellStyle name="Normal 2 4 5 4 7 2" xfId="13144" xr:uid="{E118C329-82F1-478C-A6A7-5AB98E971546}"/>
    <cellStyle name="Normal 2 4 5 4 8" xfId="8926" xr:uid="{65CFA8B1-BF1B-43D0-B160-64FDBA11A5CE}"/>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E050AD05-263E-4A3D-8FB1-AC8630F6E5D8}"/>
    <cellStyle name="Normal 2 4 5 5 2 3" xfId="11478" xr:uid="{E0C9AB34-A0A6-48C0-8AC4-C59CBFC8FC81}"/>
    <cellStyle name="Normal 2 4 5 5 3" xfId="5109" xr:uid="{00000000-0005-0000-0000-0000C5100000}"/>
    <cellStyle name="Normal 2 4 5 5 3 2" xfId="13551" xr:uid="{59943362-8CBD-4D2C-B9ED-99E44E33E4F9}"/>
    <cellStyle name="Normal 2 4 5 5 4" xfId="9333" xr:uid="{66648804-773E-45C3-BC4E-3FC62330476F}"/>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3DE6D40A-011B-419F-A396-CD14B9147DB7}"/>
    <cellStyle name="Normal 2 4 5 6 2 3" xfId="11891" xr:uid="{32EC80A4-C22A-4410-8D5C-64334E6FDB6C}"/>
    <cellStyle name="Normal 2 4 5 6 3" xfId="5522" xr:uid="{00000000-0005-0000-0000-0000C9100000}"/>
    <cellStyle name="Normal 2 4 5 6 3 2" xfId="13964" xr:uid="{FA51A359-3CAE-4E33-BA16-A58C577627FF}"/>
    <cellStyle name="Normal 2 4 5 6 4" xfId="9746" xr:uid="{89877769-DFAD-499A-A9D5-73F3DF4C28FE}"/>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4141120F-E2D2-42AA-B95A-E48C8AE19519}"/>
    <cellStyle name="Normal 2 4 5 7 2 3" xfId="12304" xr:uid="{1529BEFD-665A-4A0A-8B6A-1CB8776E5D1C}"/>
    <cellStyle name="Normal 2 4 5 7 3" xfId="5935" xr:uid="{00000000-0005-0000-0000-0000CD100000}"/>
    <cellStyle name="Normal 2 4 5 7 3 2" xfId="14377" xr:uid="{06B2D829-F6CE-4028-97A3-013DA7BF81B9}"/>
    <cellStyle name="Normal 2 4 5 7 4" xfId="10159" xr:uid="{9D01AEAF-4AE6-4AA9-B1B2-DB294870E565}"/>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4B74A85C-A76B-4FD1-A8CF-92D362D49509}"/>
    <cellStyle name="Normal 2 4 5 8 2 3" xfId="12717" xr:uid="{4AAD765B-0FC8-4E22-A3BD-C262A6798B58}"/>
    <cellStyle name="Normal 2 4 5 8 3" xfId="6348" xr:uid="{00000000-0005-0000-0000-0000D1100000}"/>
    <cellStyle name="Normal 2 4 5 8 3 2" xfId="14790" xr:uid="{55E508AF-D0CF-4F1E-A92F-EDD87DEBB014}"/>
    <cellStyle name="Normal 2 4 5 8 4" xfId="10572" xr:uid="{AA0BF5FD-F883-401E-B2B7-5D40BC9D4B8B}"/>
    <cellStyle name="Normal 2 4 5 9" xfId="2477" xr:uid="{00000000-0005-0000-0000-0000D2100000}"/>
    <cellStyle name="Normal 2 4 5 9 2" xfId="6761" xr:uid="{00000000-0005-0000-0000-0000D3100000}"/>
    <cellStyle name="Normal 2 4 5 9 2 2" xfId="15203" xr:uid="{FF6EE0AD-AF07-4617-A189-E85186A45DE7}"/>
    <cellStyle name="Normal 2 4 5 9 3" xfId="10985" xr:uid="{C3494DB6-961D-40D4-803C-B8CC691FBE3E}"/>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CEC2EDB9-9C8F-4739-ABB6-9A8A41B91606}"/>
    <cellStyle name="Normal 2 4 7 2 2 2 3" xfId="11487" xr:uid="{298B1290-2EA7-4DE7-B293-7D04FC21FDB1}"/>
    <cellStyle name="Normal 2 4 7 2 2 3" xfId="5118" xr:uid="{00000000-0005-0000-0000-0000DA100000}"/>
    <cellStyle name="Normal 2 4 7 2 2 3 2" xfId="13560" xr:uid="{24893D7F-D768-46FD-B543-FF6B1AA8D2BC}"/>
    <cellStyle name="Normal 2 4 7 2 2 4" xfId="9342" xr:uid="{9B0F7A1F-A432-4A05-94BE-3516C0FDDC44}"/>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37F04D56-D9DF-4225-A479-7FA99DD346B5}"/>
    <cellStyle name="Normal 2 4 7 2 3 2 3" xfId="11900" xr:uid="{CEBFADF5-2242-4EFA-AE39-E5A5F49BF1F9}"/>
    <cellStyle name="Normal 2 4 7 2 3 3" xfId="5531" xr:uid="{00000000-0005-0000-0000-0000DE100000}"/>
    <cellStyle name="Normal 2 4 7 2 3 3 2" xfId="13973" xr:uid="{BE161077-D135-480A-955F-36F2C02FBC20}"/>
    <cellStyle name="Normal 2 4 7 2 3 4" xfId="9755" xr:uid="{1B67C075-C74C-433D-9C14-1BC1D868B17D}"/>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33DFB16E-C93D-4832-B337-DE4B92082B27}"/>
    <cellStyle name="Normal 2 4 7 2 4 2 3" xfId="12313" xr:uid="{EDE55953-EC3E-4DA0-855E-C891EADC1947}"/>
    <cellStyle name="Normal 2 4 7 2 4 3" xfId="5944" xr:uid="{00000000-0005-0000-0000-0000E2100000}"/>
    <cellStyle name="Normal 2 4 7 2 4 3 2" xfId="14386" xr:uid="{4F1C0619-9EEC-4138-A41E-D87F1531A16D}"/>
    <cellStyle name="Normal 2 4 7 2 4 4" xfId="10168" xr:uid="{61E49214-D9B9-4F8C-BA25-1A7B4C8E02F0}"/>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483E52C9-A2B2-4423-93A1-73A434E0B0DF}"/>
    <cellStyle name="Normal 2 4 7 2 5 2 3" xfId="12726" xr:uid="{6ABFBE58-4F59-40FB-8438-B7266A3A300A}"/>
    <cellStyle name="Normal 2 4 7 2 5 3" xfId="6357" xr:uid="{00000000-0005-0000-0000-0000E6100000}"/>
    <cellStyle name="Normal 2 4 7 2 5 3 2" xfId="14799" xr:uid="{FA369338-C1E5-4846-B7A5-5AA99551249E}"/>
    <cellStyle name="Normal 2 4 7 2 5 4" xfId="10581" xr:uid="{055ABDE3-1DB4-4B36-88A4-20D3119C81BD}"/>
    <cellStyle name="Normal 2 4 7 2 6" xfId="2486" xr:uid="{00000000-0005-0000-0000-0000E7100000}"/>
    <cellStyle name="Normal 2 4 7 2 6 2" xfId="6770" xr:uid="{00000000-0005-0000-0000-0000E8100000}"/>
    <cellStyle name="Normal 2 4 7 2 6 2 2" xfId="15212" xr:uid="{0E9C84E6-D261-41CE-9B91-7B24B1100065}"/>
    <cellStyle name="Normal 2 4 7 2 6 3" xfId="10994" xr:uid="{2C2AB04F-0B24-40C2-B51E-2E0835E4791B}"/>
    <cellStyle name="Normal 2 4 7 2 7" xfId="4704" xr:uid="{00000000-0005-0000-0000-0000E9100000}"/>
    <cellStyle name="Normal 2 4 7 2 7 2" xfId="13146" xr:uid="{1F510B89-41B2-4F68-A0A9-CEC175B99CC0}"/>
    <cellStyle name="Normal 2 4 7 2 8" xfId="8928" xr:uid="{2FF1CCF4-BBBC-4478-9501-068C8090BECF}"/>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A3FD4969-48D0-4C1B-93A1-0BCD99765083}"/>
    <cellStyle name="Normal 2 4 7 3 2 3" xfId="11486" xr:uid="{99E79C5A-9F48-49BA-AD97-587BED9CE062}"/>
    <cellStyle name="Normal 2 4 7 3 3" xfId="5117" xr:uid="{00000000-0005-0000-0000-0000ED100000}"/>
    <cellStyle name="Normal 2 4 7 3 3 2" xfId="13559" xr:uid="{BA927389-AA93-455C-AD39-BA2F51F946ED}"/>
    <cellStyle name="Normal 2 4 7 3 4" xfId="9341" xr:uid="{A90E0B62-8A08-4310-BA16-4F3B097EC686}"/>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AD7348C0-3317-4681-80B0-8BC9F03095F0}"/>
    <cellStyle name="Normal 2 4 7 4 2 3" xfId="11899" xr:uid="{CF1AABA4-A4E1-4F01-AA40-882D1F107C9C}"/>
    <cellStyle name="Normal 2 4 7 4 3" xfId="5530" xr:uid="{00000000-0005-0000-0000-0000F1100000}"/>
    <cellStyle name="Normal 2 4 7 4 3 2" xfId="13972" xr:uid="{8985072C-9C2A-4A79-94E0-C95DC4CF5D45}"/>
    <cellStyle name="Normal 2 4 7 4 4" xfId="9754" xr:uid="{5875A11E-5ED2-475F-A05C-CEF71225CC19}"/>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F38BA810-E8F0-4CD2-91FE-C525A67C01BD}"/>
    <cellStyle name="Normal 2 4 7 5 2 3" xfId="12312" xr:uid="{4F1733B7-0EE7-4450-AF4A-FDBAC8C0BAB9}"/>
    <cellStyle name="Normal 2 4 7 5 3" xfId="5943" xr:uid="{00000000-0005-0000-0000-0000F5100000}"/>
    <cellStyle name="Normal 2 4 7 5 3 2" xfId="14385" xr:uid="{F6652B21-177F-4BED-AD49-8BCD4C6E8D5B}"/>
    <cellStyle name="Normal 2 4 7 5 4" xfId="10167" xr:uid="{0D470E0B-6194-4022-8A38-D7CB8CC29F56}"/>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3A4A0A8-B084-463C-B81E-2B15CB2DC862}"/>
    <cellStyle name="Normal 2 4 7 6 2 3" xfId="12725" xr:uid="{B2565A10-F8F0-4411-88ED-57525A8CE8F4}"/>
    <cellStyle name="Normal 2 4 7 6 3" xfId="6356" xr:uid="{00000000-0005-0000-0000-0000F9100000}"/>
    <cellStyle name="Normal 2 4 7 6 3 2" xfId="14798" xr:uid="{AEB13602-B2D4-43A8-A099-B2AF2A3DB3A5}"/>
    <cellStyle name="Normal 2 4 7 6 4" xfId="10580" xr:uid="{21CE0AA8-252E-463E-8D89-7AD9E27D00F8}"/>
    <cellStyle name="Normal 2 4 7 7" xfId="2485" xr:uid="{00000000-0005-0000-0000-0000FA100000}"/>
    <cellStyle name="Normal 2 4 7 7 2" xfId="6769" xr:uid="{00000000-0005-0000-0000-0000FB100000}"/>
    <cellStyle name="Normal 2 4 7 7 2 2" xfId="15211" xr:uid="{483C65E3-C6E3-4C9A-B508-1C0008A08206}"/>
    <cellStyle name="Normal 2 4 7 7 3" xfId="10993" xr:uid="{E83F6C88-A302-4896-ACFF-92EFC7C38DB6}"/>
    <cellStyle name="Normal 2 4 7 8" xfId="4703" xr:uid="{00000000-0005-0000-0000-0000FC100000}"/>
    <cellStyle name="Normal 2 4 7 8 2" xfId="13145" xr:uid="{6A5EC027-A1CA-4B94-9E1B-3F7EFAC931E8}"/>
    <cellStyle name="Normal 2 4 7 9" xfId="8927" xr:uid="{698CD69E-4D68-4429-8D3E-81576C539544}"/>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35EE0B3F-1AC6-4C65-8B5B-63CBF98B2724}"/>
    <cellStyle name="Normal 2 4 8 2 2 3" xfId="11488" xr:uid="{A6604BBF-3B9C-40DE-8454-83A52AA4BA9D}"/>
    <cellStyle name="Normal 2 4 8 2 3" xfId="5119" xr:uid="{00000000-0005-0000-0000-000001110000}"/>
    <cellStyle name="Normal 2 4 8 2 3 2" xfId="13561" xr:uid="{875A0994-571E-4486-B4BA-3B6EEA74B488}"/>
    <cellStyle name="Normal 2 4 8 2 4" xfId="9343" xr:uid="{45FBB144-1702-4E8B-A992-8E1FB8A4CC74}"/>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4884777E-291B-4502-9FA7-0A84A8FE83F8}"/>
    <cellStyle name="Normal 2 4 8 3 2 3" xfId="11901" xr:uid="{6F9F69C2-23DD-4A61-BBA6-A00E1316F645}"/>
    <cellStyle name="Normal 2 4 8 3 3" xfId="5532" xr:uid="{00000000-0005-0000-0000-000005110000}"/>
    <cellStyle name="Normal 2 4 8 3 3 2" xfId="13974" xr:uid="{5C67BF9F-38AA-4735-9D1C-F78669881E22}"/>
    <cellStyle name="Normal 2 4 8 3 4" xfId="9756" xr:uid="{8021B62A-F588-43EE-B8CB-3C1F79B67F0C}"/>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F7A9CE41-09A3-4785-A2B7-B09B8192BB9E}"/>
    <cellStyle name="Normal 2 4 8 4 2 3" xfId="12314" xr:uid="{1AB12BA2-D378-4A13-B8AB-D399DB4A9252}"/>
    <cellStyle name="Normal 2 4 8 4 3" xfId="5945" xr:uid="{00000000-0005-0000-0000-000009110000}"/>
    <cellStyle name="Normal 2 4 8 4 3 2" xfId="14387" xr:uid="{D4813B58-3236-47DD-8BEF-E7D7793BBB70}"/>
    <cellStyle name="Normal 2 4 8 4 4" xfId="10169" xr:uid="{5DC346E4-3BEE-4B41-A6B9-54385725E8EB}"/>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EE22CD32-FBDC-4AE0-A39F-3E2FF51923AB}"/>
    <cellStyle name="Normal 2 4 8 5 2 3" xfId="12727" xr:uid="{8CE2A311-5CEA-4A4D-8069-2EAE2BE9F989}"/>
    <cellStyle name="Normal 2 4 8 5 3" xfId="6358" xr:uid="{00000000-0005-0000-0000-00000D110000}"/>
    <cellStyle name="Normal 2 4 8 5 3 2" xfId="14800" xr:uid="{B5CDE920-E7AF-4AD3-BEAD-9119EBCFE702}"/>
    <cellStyle name="Normal 2 4 8 5 4" xfId="10582" xr:uid="{659CD7E6-9A06-4CC3-BEB9-3910EFC3293B}"/>
    <cellStyle name="Normal 2 4 8 6" xfId="2487" xr:uid="{00000000-0005-0000-0000-00000E110000}"/>
    <cellStyle name="Normal 2 4 8 6 2" xfId="6771" xr:uid="{00000000-0005-0000-0000-00000F110000}"/>
    <cellStyle name="Normal 2 4 8 6 2 2" xfId="15213" xr:uid="{C238C798-EA4A-4836-ADFB-C17E79B085CF}"/>
    <cellStyle name="Normal 2 4 8 6 3" xfId="10995" xr:uid="{E0C2FEEE-3337-4AB6-9B5E-29DA7B7BA8B0}"/>
    <cellStyle name="Normal 2 4 8 7" xfId="4705" xr:uid="{00000000-0005-0000-0000-000010110000}"/>
    <cellStyle name="Normal 2 4 8 7 2" xfId="13147" xr:uid="{7891BF52-4BAD-482D-B22A-BD7294DB3C75}"/>
    <cellStyle name="Normal 2 4 8 8" xfId="8929" xr:uid="{817FC636-EEBA-49A7-8506-35B95FA64698}"/>
    <cellStyle name="Normal 2 5" xfId="315" xr:uid="{00000000-0005-0000-0000-000011110000}"/>
    <cellStyle name="Normal 2 5 10" xfId="4706" xr:uid="{00000000-0005-0000-0000-000012110000}"/>
    <cellStyle name="Normal 2 5 10 2" xfId="13148" xr:uid="{9EF68641-9F15-43E3-9D1D-DDA4B22CB27F}"/>
    <cellStyle name="Normal 2 5 11" xfId="8930" xr:uid="{150365B2-6C02-4FE3-8FE8-65121D777673}"/>
    <cellStyle name="Normal 2 5 2" xfId="316" xr:uid="{00000000-0005-0000-0000-000013110000}"/>
    <cellStyle name="Normal 2 5 3" xfId="317" xr:uid="{00000000-0005-0000-0000-000014110000}"/>
    <cellStyle name="Normal 2 5 4" xfId="318" xr:uid="{00000000-0005-0000-0000-000015110000}"/>
    <cellStyle name="Normal 2 5 4 10" xfId="8931" xr:uid="{5FAF1DC9-178B-4DBF-8D61-22458BF96103}"/>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09080EE1-205F-40D9-8338-AA592BA23863}"/>
    <cellStyle name="Normal 2 5 4 2 2 2 2 3" xfId="11492" xr:uid="{76F0E2B5-5089-4F42-AF20-C65F6CEE417B}"/>
    <cellStyle name="Normal 2 5 4 2 2 2 3" xfId="5123" xr:uid="{00000000-0005-0000-0000-00001B110000}"/>
    <cellStyle name="Normal 2 5 4 2 2 2 3 2" xfId="13565" xr:uid="{330DA169-DBE2-4656-8747-BD54508A9FDE}"/>
    <cellStyle name="Normal 2 5 4 2 2 2 4" xfId="9347" xr:uid="{47279F0A-6D5B-467A-9C35-D5F72A453FED}"/>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283BB008-4C06-43E9-9F1B-A8FAAEECDD24}"/>
    <cellStyle name="Normal 2 5 4 2 2 3 2 3" xfId="11905" xr:uid="{86E9203C-B9D9-46E2-9AF5-6A49715F76F2}"/>
    <cellStyle name="Normal 2 5 4 2 2 3 3" xfId="5536" xr:uid="{00000000-0005-0000-0000-00001F110000}"/>
    <cellStyle name="Normal 2 5 4 2 2 3 3 2" xfId="13978" xr:uid="{89351AB0-7D78-4DF7-82FB-D25CABD6ABEF}"/>
    <cellStyle name="Normal 2 5 4 2 2 3 4" xfId="9760" xr:uid="{58717AC4-3E41-43F4-8BA4-5AD2427762B6}"/>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BEFF2F00-23AD-445A-ABD6-508799C92C58}"/>
    <cellStyle name="Normal 2 5 4 2 2 4 2 3" xfId="12318" xr:uid="{DA7F3E5C-76FD-4AB9-AF8F-3A9914029E25}"/>
    <cellStyle name="Normal 2 5 4 2 2 4 3" xfId="5949" xr:uid="{00000000-0005-0000-0000-000023110000}"/>
    <cellStyle name="Normal 2 5 4 2 2 4 3 2" xfId="14391" xr:uid="{B7D6D662-3A7E-4FC8-9A4B-2FCB9EE2C43A}"/>
    <cellStyle name="Normal 2 5 4 2 2 4 4" xfId="10173" xr:uid="{CE67EF4C-DD09-4C98-86AC-5E957619664D}"/>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0577A814-4899-4414-A25A-5AA4D6436C7A}"/>
    <cellStyle name="Normal 2 5 4 2 2 5 2 3" xfId="12731" xr:uid="{1F9613BC-03EF-450B-BCD6-C7C45DF6BC45}"/>
    <cellStyle name="Normal 2 5 4 2 2 5 3" xfId="6362" xr:uid="{00000000-0005-0000-0000-000027110000}"/>
    <cellStyle name="Normal 2 5 4 2 2 5 3 2" xfId="14804" xr:uid="{ED8C92D5-CE0E-4313-A2E2-A1BEA11617AD}"/>
    <cellStyle name="Normal 2 5 4 2 2 5 4" xfId="10586" xr:uid="{301CFD88-636D-4CEF-AD55-DA4E76779CDA}"/>
    <cellStyle name="Normal 2 5 4 2 2 6" xfId="2491" xr:uid="{00000000-0005-0000-0000-000028110000}"/>
    <cellStyle name="Normal 2 5 4 2 2 6 2" xfId="6775" xr:uid="{00000000-0005-0000-0000-000029110000}"/>
    <cellStyle name="Normal 2 5 4 2 2 6 2 2" xfId="15217" xr:uid="{A1137B41-C468-4A4F-BFA0-57F0ACCA7DA0}"/>
    <cellStyle name="Normal 2 5 4 2 2 6 3" xfId="10999" xr:uid="{8333C19F-22E5-4B9B-864E-DF5A5ED0C1EC}"/>
    <cellStyle name="Normal 2 5 4 2 2 7" xfId="4709" xr:uid="{00000000-0005-0000-0000-00002A110000}"/>
    <cellStyle name="Normal 2 5 4 2 2 7 2" xfId="13151" xr:uid="{81F3BDE9-0950-4ED8-BC1B-718D5D8C9C9E}"/>
    <cellStyle name="Normal 2 5 4 2 2 8" xfId="8933" xr:uid="{529B2231-EB8B-4667-8DC0-2711F9B5F9E7}"/>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18DD1218-313F-47BD-B89C-001CC7A1C8EA}"/>
    <cellStyle name="Normal 2 5 4 2 3 2 3" xfId="11491" xr:uid="{28BE893B-9B1C-432C-908D-654149CD8204}"/>
    <cellStyle name="Normal 2 5 4 2 3 3" xfId="5122" xr:uid="{00000000-0005-0000-0000-00002E110000}"/>
    <cellStyle name="Normal 2 5 4 2 3 3 2" xfId="13564" xr:uid="{207BC21A-77C6-497C-AFCC-51455B176152}"/>
    <cellStyle name="Normal 2 5 4 2 3 4" xfId="9346" xr:uid="{B0949F78-9EF6-4306-B2EF-46B6B8EDBCAD}"/>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001A148F-7F7A-4026-A8C6-3C7445DB380B}"/>
    <cellStyle name="Normal 2 5 4 2 4 2 3" xfId="11904" xr:uid="{5C975931-DFDA-4D82-9F36-09DF6D6D2FE8}"/>
    <cellStyle name="Normal 2 5 4 2 4 3" xfId="5535" xr:uid="{00000000-0005-0000-0000-000032110000}"/>
    <cellStyle name="Normal 2 5 4 2 4 3 2" xfId="13977" xr:uid="{5EFCF35C-E5DC-428A-92FE-12296FFA41C1}"/>
    <cellStyle name="Normal 2 5 4 2 4 4" xfId="9759" xr:uid="{8EF3798F-29CC-4190-99ED-B6943390E1B5}"/>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0D2DB1F2-51C4-42C8-B144-7AFD20625F6A}"/>
    <cellStyle name="Normal 2 5 4 2 5 2 3" xfId="12317" xr:uid="{D72A1F9E-7BE5-4316-97AA-4E1E43F694BF}"/>
    <cellStyle name="Normal 2 5 4 2 5 3" xfId="5948" xr:uid="{00000000-0005-0000-0000-000036110000}"/>
    <cellStyle name="Normal 2 5 4 2 5 3 2" xfId="14390" xr:uid="{9AEB9F93-0AC7-4B48-82CB-C219AEDDAB88}"/>
    <cellStyle name="Normal 2 5 4 2 5 4" xfId="10172" xr:uid="{BEF4DA46-ADCD-4BA5-97FF-DC7FDCFED852}"/>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20EA2A20-10B7-45B5-B2DF-AD886E46CEF4}"/>
    <cellStyle name="Normal 2 5 4 2 6 2 3" xfId="12730" xr:uid="{57328A3F-CB81-402E-B600-2BA249FD9FB8}"/>
    <cellStyle name="Normal 2 5 4 2 6 3" xfId="6361" xr:uid="{00000000-0005-0000-0000-00003A110000}"/>
    <cellStyle name="Normal 2 5 4 2 6 3 2" xfId="14803" xr:uid="{524AABFD-C9E5-48FD-874F-DE2A3411315B}"/>
    <cellStyle name="Normal 2 5 4 2 6 4" xfId="10585" xr:uid="{1BE3ED6D-6B80-456A-8F06-4CB63E1DB2C2}"/>
    <cellStyle name="Normal 2 5 4 2 7" xfId="2490" xr:uid="{00000000-0005-0000-0000-00003B110000}"/>
    <cellStyle name="Normal 2 5 4 2 7 2" xfId="6774" xr:uid="{00000000-0005-0000-0000-00003C110000}"/>
    <cellStyle name="Normal 2 5 4 2 7 2 2" xfId="15216" xr:uid="{ED5F1D26-3A86-4BF0-A4CE-C41F9DEFF7DA}"/>
    <cellStyle name="Normal 2 5 4 2 7 3" xfId="10998" xr:uid="{33CB65F8-E05F-4E41-BEA9-5C5DC7992E7B}"/>
    <cellStyle name="Normal 2 5 4 2 8" xfId="4708" xr:uid="{00000000-0005-0000-0000-00003D110000}"/>
    <cellStyle name="Normal 2 5 4 2 8 2" xfId="13150" xr:uid="{40FFECCD-17BA-49A1-9F8C-550B8494EB42}"/>
    <cellStyle name="Normal 2 5 4 2 9" xfId="8932" xr:uid="{42932827-5D02-4185-B2EF-52726FB194E3}"/>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A04D087B-DB79-4C8C-BA11-B49C0816BC35}"/>
    <cellStyle name="Normal 2 5 4 3 2 2 3" xfId="11493" xr:uid="{5485510D-7BF2-4A3F-835D-2F279764C527}"/>
    <cellStyle name="Normal 2 5 4 3 2 3" xfId="5124" xr:uid="{00000000-0005-0000-0000-000042110000}"/>
    <cellStyle name="Normal 2 5 4 3 2 3 2" xfId="13566" xr:uid="{064AB2C5-8CF5-4133-BE54-576BD530C4EA}"/>
    <cellStyle name="Normal 2 5 4 3 2 4" xfId="9348" xr:uid="{BCF35A05-3C76-447E-9663-9C0DBC92D768}"/>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79D21628-B3E3-4E3E-ADEC-5F021C36476A}"/>
    <cellStyle name="Normal 2 5 4 3 3 2 3" xfId="11906" xr:uid="{9D439659-E5D2-4250-8FFB-1B4062789561}"/>
    <cellStyle name="Normal 2 5 4 3 3 3" xfId="5537" xr:uid="{00000000-0005-0000-0000-000046110000}"/>
    <cellStyle name="Normal 2 5 4 3 3 3 2" xfId="13979" xr:uid="{36BEFE1F-F57D-42AB-B0C0-2766E0E8751E}"/>
    <cellStyle name="Normal 2 5 4 3 3 4" xfId="9761" xr:uid="{12FF16B8-5646-416A-801A-C8CA8AC25FA7}"/>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884E5E6B-4691-492A-AF78-04501A7331AF}"/>
    <cellStyle name="Normal 2 5 4 3 4 2 3" xfId="12319" xr:uid="{3AEE976D-8B7A-4337-A4C9-93333FD0C8B4}"/>
    <cellStyle name="Normal 2 5 4 3 4 3" xfId="5950" xr:uid="{00000000-0005-0000-0000-00004A110000}"/>
    <cellStyle name="Normal 2 5 4 3 4 3 2" xfId="14392" xr:uid="{2D6016EB-A230-4490-9F36-CEA70DEBEEC3}"/>
    <cellStyle name="Normal 2 5 4 3 4 4" xfId="10174" xr:uid="{FC2C40B0-C6F7-4C1B-8DEB-300EE2DF74E3}"/>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CAC770AC-59C5-48CE-96D9-D5DABCDA3261}"/>
    <cellStyle name="Normal 2 5 4 3 5 2 3" xfId="12732" xr:uid="{02A9C311-674A-4C3F-B4CB-A4D410357F65}"/>
    <cellStyle name="Normal 2 5 4 3 5 3" xfId="6363" xr:uid="{00000000-0005-0000-0000-00004E110000}"/>
    <cellStyle name="Normal 2 5 4 3 5 3 2" xfId="14805" xr:uid="{3459D3F1-A1C1-40EE-BAF8-BE5956D6205F}"/>
    <cellStyle name="Normal 2 5 4 3 5 4" xfId="10587" xr:uid="{879D2CED-65E2-4070-B61A-AE8DD3CD985B}"/>
    <cellStyle name="Normal 2 5 4 3 6" xfId="2492" xr:uid="{00000000-0005-0000-0000-00004F110000}"/>
    <cellStyle name="Normal 2 5 4 3 6 2" xfId="6776" xr:uid="{00000000-0005-0000-0000-000050110000}"/>
    <cellStyle name="Normal 2 5 4 3 6 2 2" xfId="15218" xr:uid="{97CCE198-EC1A-406A-A147-F70A64AA7FB8}"/>
    <cellStyle name="Normal 2 5 4 3 6 3" xfId="11000" xr:uid="{79C4A937-D665-454B-9584-5EABE226E716}"/>
    <cellStyle name="Normal 2 5 4 3 7" xfId="4710" xr:uid="{00000000-0005-0000-0000-000051110000}"/>
    <cellStyle name="Normal 2 5 4 3 7 2" xfId="13152" xr:uid="{55BD3E40-C777-4E8E-8AE9-AFF3B0505185}"/>
    <cellStyle name="Normal 2 5 4 3 8" xfId="8934" xr:uid="{400C5331-4295-4936-B829-FAB775766344}"/>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A1B99FCC-EC4E-493B-974C-34AD5F3FAB2E}"/>
    <cellStyle name="Normal 2 5 4 4 2 3" xfId="11490" xr:uid="{64983510-E28E-48D2-9193-97C414F02358}"/>
    <cellStyle name="Normal 2 5 4 4 3" xfId="5121" xr:uid="{00000000-0005-0000-0000-000055110000}"/>
    <cellStyle name="Normal 2 5 4 4 3 2" xfId="13563" xr:uid="{1105106C-1400-41BD-8AE2-EE379FC6D374}"/>
    <cellStyle name="Normal 2 5 4 4 4" xfId="9345" xr:uid="{87E0558E-F248-4591-9EBD-4D277EFAE1F9}"/>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8CEA8320-8B93-45BD-99AB-6081A2566192}"/>
    <cellStyle name="Normal 2 5 4 5 2 3" xfId="11903" xr:uid="{8F524DA0-B10B-4CEB-AA86-F8076EA60DE6}"/>
    <cellStyle name="Normal 2 5 4 5 3" xfId="5534" xr:uid="{00000000-0005-0000-0000-000059110000}"/>
    <cellStyle name="Normal 2 5 4 5 3 2" xfId="13976" xr:uid="{200FF4BC-09BB-4B4F-B22E-378D6F8C4920}"/>
    <cellStyle name="Normal 2 5 4 5 4" xfId="9758" xr:uid="{0B2B6847-F608-4D1A-B27D-B2BD061C3FA8}"/>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22B5C0BD-CDC5-4E1D-A060-90D161461583}"/>
    <cellStyle name="Normal 2 5 4 6 2 3" xfId="12316" xr:uid="{7D320B2F-80A3-44AC-84BD-0415D2374021}"/>
    <cellStyle name="Normal 2 5 4 6 3" xfId="5947" xr:uid="{00000000-0005-0000-0000-00005D110000}"/>
    <cellStyle name="Normal 2 5 4 6 3 2" xfId="14389" xr:uid="{7F34524B-9FAC-4CE5-9323-7FB86AE16087}"/>
    <cellStyle name="Normal 2 5 4 6 4" xfId="10171" xr:uid="{0235EB75-4F77-4928-8A64-125379AAED20}"/>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13B318DE-45F0-43D8-B9EF-1FC1C634CD84}"/>
    <cellStyle name="Normal 2 5 4 7 2 3" xfId="12729" xr:uid="{2FE18A3B-E4F3-4831-8304-BDFD7C0ABA9D}"/>
    <cellStyle name="Normal 2 5 4 7 3" xfId="6360" xr:uid="{00000000-0005-0000-0000-000061110000}"/>
    <cellStyle name="Normal 2 5 4 7 3 2" xfId="14802" xr:uid="{FB411204-7324-411E-B75A-084C00181741}"/>
    <cellStyle name="Normal 2 5 4 7 4" xfId="10584" xr:uid="{A2EC9DAF-4D10-4BBF-B893-5BAC9D788D1D}"/>
    <cellStyle name="Normal 2 5 4 8" xfId="2489" xr:uid="{00000000-0005-0000-0000-000062110000}"/>
    <cellStyle name="Normal 2 5 4 8 2" xfId="6773" xr:uid="{00000000-0005-0000-0000-000063110000}"/>
    <cellStyle name="Normal 2 5 4 8 2 2" xfId="15215" xr:uid="{A972F2E5-75A3-4798-9088-7387BB7067A2}"/>
    <cellStyle name="Normal 2 5 4 8 3" xfId="10997" xr:uid="{89D1CEF8-D75C-4930-A358-261D60728A02}"/>
    <cellStyle name="Normal 2 5 4 9" xfId="4707" xr:uid="{00000000-0005-0000-0000-000064110000}"/>
    <cellStyle name="Normal 2 5 4 9 2" xfId="13149" xr:uid="{38C300E4-06FF-4E2D-B87C-C7C464EEBDF0}"/>
    <cellStyle name="Normal 2 5 5" xfId="803" xr:uid="{00000000-0005-0000-0000-000065110000}"/>
    <cellStyle name="Normal 2 5 5 2" xfId="3042" xr:uid="{00000000-0005-0000-0000-000066110000}"/>
    <cellStyle name="Normal 2 5 5 2 2" xfId="7265" xr:uid="{00000000-0005-0000-0000-000067110000}"/>
    <cellStyle name="Normal 2 5 5 2 2 2" xfId="15707" xr:uid="{FD6144C5-CB59-4B1E-B1FA-1FACA0084EE6}"/>
    <cellStyle name="Normal 2 5 5 2 3" xfId="11489" xr:uid="{C888280E-CAF8-4BF9-A11A-C2C7F80D01D7}"/>
    <cellStyle name="Normal 2 5 5 3" xfId="5120" xr:uid="{00000000-0005-0000-0000-000068110000}"/>
    <cellStyle name="Normal 2 5 5 3 2" xfId="13562" xr:uid="{D714BCA3-AF8D-46FA-B321-110885AC6062}"/>
    <cellStyle name="Normal 2 5 5 4" xfId="9344" xr:uid="{B3ADEEF4-F20C-4D87-995C-2D050EA5F848}"/>
    <cellStyle name="Normal 2 5 6" xfId="1225" xr:uid="{00000000-0005-0000-0000-000069110000}"/>
    <cellStyle name="Normal 2 5 6 2" xfId="3455" xr:uid="{00000000-0005-0000-0000-00006A110000}"/>
    <cellStyle name="Normal 2 5 6 2 2" xfId="7678" xr:uid="{00000000-0005-0000-0000-00006B110000}"/>
    <cellStyle name="Normal 2 5 6 2 2 2" xfId="16120" xr:uid="{B070FDC7-3984-47A8-8255-9C318546C9D0}"/>
    <cellStyle name="Normal 2 5 6 2 3" xfId="11902" xr:uid="{5F039EE7-D6A8-4677-AB78-56401EA906FA}"/>
    <cellStyle name="Normal 2 5 6 3" xfId="5533" xr:uid="{00000000-0005-0000-0000-00006C110000}"/>
    <cellStyle name="Normal 2 5 6 3 2" xfId="13975" xr:uid="{8B95BFCD-9470-4E3A-BB8D-CF1CEE99B0F0}"/>
    <cellStyle name="Normal 2 5 6 4" xfId="9757" xr:uid="{0A5B2236-E119-4B89-836F-99B2567A08BB}"/>
    <cellStyle name="Normal 2 5 7" xfId="1638" xr:uid="{00000000-0005-0000-0000-00006D110000}"/>
    <cellStyle name="Normal 2 5 7 2" xfId="3868" xr:uid="{00000000-0005-0000-0000-00006E110000}"/>
    <cellStyle name="Normal 2 5 7 2 2" xfId="8091" xr:uid="{00000000-0005-0000-0000-00006F110000}"/>
    <cellStyle name="Normal 2 5 7 2 2 2" xfId="16533" xr:uid="{1CF3ABAE-B3AB-4DDB-9B5E-BDE8691033E6}"/>
    <cellStyle name="Normal 2 5 7 2 3" xfId="12315" xr:uid="{D4CE47BB-F06A-4BC4-827D-E6B36B0BA570}"/>
    <cellStyle name="Normal 2 5 7 3" xfId="5946" xr:uid="{00000000-0005-0000-0000-000070110000}"/>
    <cellStyle name="Normal 2 5 7 3 2" xfId="14388" xr:uid="{9BE97F6A-4052-4AE4-8F14-C006C3928DEC}"/>
    <cellStyle name="Normal 2 5 7 4" xfId="10170" xr:uid="{E1E8AFC8-F87E-4139-8831-1F6771060BFB}"/>
    <cellStyle name="Normal 2 5 8" xfId="2052" xr:uid="{00000000-0005-0000-0000-000071110000}"/>
    <cellStyle name="Normal 2 5 8 2" xfId="4281" xr:uid="{00000000-0005-0000-0000-000072110000}"/>
    <cellStyle name="Normal 2 5 8 2 2" xfId="8504" xr:uid="{00000000-0005-0000-0000-000073110000}"/>
    <cellStyle name="Normal 2 5 8 2 2 2" xfId="16946" xr:uid="{BCBC178D-472D-4A71-8570-B212E4183ACF}"/>
    <cellStyle name="Normal 2 5 8 2 3" xfId="12728" xr:uid="{6B341FE2-E4C9-4F23-8995-3D141BECD7FB}"/>
    <cellStyle name="Normal 2 5 8 3" xfId="6359" xr:uid="{00000000-0005-0000-0000-000074110000}"/>
    <cellStyle name="Normal 2 5 8 3 2" xfId="14801" xr:uid="{CC99D5C0-D776-4C23-AB26-09D21531846E}"/>
    <cellStyle name="Normal 2 5 8 4" xfId="10583" xr:uid="{76DAC2C1-0C38-442D-B29D-39E3110E745D}"/>
    <cellStyle name="Normal 2 5 9" xfId="2488" xr:uid="{00000000-0005-0000-0000-000075110000}"/>
    <cellStyle name="Normal 2 5 9 2" xfId="6772" xr:uid="{00000000-0005-0000-0000-000076110000}"/>
    <cellStyle name="Normal 2 5 9 2 2" xfId="15214" xr:uid="{8F359C18-CB18-4AC1-B083-3411C4A85E4E}"/>
    <cellStyle name="Normal 2 5 9 3" xfId="10996" xr:uid="{291B0A65-A3C2-4F53-8909-DD1615017914}"/>
    <cellStyle name="Normal 2 6" xfId="322" xr:uid="{00000000-0005-0000-0000-000077110000}"/>
    <cellStyle name="Normal 2 7" xfId="769" xr:uid="{00000000-0005-0000-0000-000078110000}"/>
    <cellStyle name="Normal 2 8" xfId="4495" xr:uid="{00000000-0005-0000-0000-000079110000}"/>
    <cellStyle name="Normal 2 8 2" xfId="12940" xr:uid="{253A5B40-746D-4DC4-9709-22FE8D3D5D39}"/>
    <cellStyle name="Normal 3" xfId="323" xr:uid="{00000000-0005-0000-0000-00007A110000}"/>
    <cellStyle name="Normal 3 2" xfId="324" xr:uid="{00000000-0005-0000-0000-00007B110000}"/>
    <cellStyle name="Normal 3 2 10" xfId="8935" xr:uid="{7BAB0789-86C6-4440-ADF8-2894C910E7E6}"/>
    <cellStyle name="Normal 3 2 2" xfId="325" xr:uid="{00000000-0005-0000-0000-00007C110000}"/>
    <cellStyle name="Normal 3 2 2 2" xfId="810" xr:uid="{00000000-0005-0000-0000-00007D110000}"/>
    <cellStyle name="Normal 3 2 3" xfId="326" xr:uid="{00000000-0005-0000-0000-00007E110000}"/>
    <cellStyle name="Normal 3 2 3 10" xfId="8936" xr:uid="{960E5454-210D-416B-97F4-E3D66475AADE}"/>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6ED4A68A-DA88-4C29-AAC9-067CF62DBBD3}"/>
    <cellStyle name="Normal 3 2 3 2 2 2 2 3" xfId="11497" xr:uid="{E2DA2D91-0E51-4663-86E3-51C1D4A33E8F}"/>
    <cellStyle name="Normal 3 2 3 2 2 2 3" xfId="5128" xr:uid="{00000000-0005-0000-0000-000084110000}"/>
    <cellStyle name="Normal 3 2 3 2 2 2 3 2" xfId="13570" xr:uid="{D6E8AE67-39BF-43C9-A440-B0F5DC1D154C}"/>
    <cellStyle name="Normal 3 2 3 2 2 2 4" xfId="9352" xr:uid="{3166506D-97EF-4102-A7E9-8FC380791A27}"/>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4FC1799A-954C-4CB6-9397-D8933EFB6F67}"/>
    <cellStyle name="Normal 3 2 3 2 2 3 2 3" xfId="11910" xr:uid="{995FAE6C-60FB-472D-8B63-836FB51E5314}"/>
    <cellStyle name="Normal 3 2 3 2 2 3 3" xfId="5541" xr:uid="{00000000-0005-0000-0000-000088110000}"/>
    <cellStyle name="Normal 3 2 3 2 2 3 3 2" xfId="13983" xr:uid="{04FFC6ED-6991-4394-880B-00728B14D5CC}"/>
    <cellStyle name="Normal 3 2 3 2 2 3 4" xfId="9765" xr:uid="{4607CE98-B75C-4A5B-A848-4EA1B89E2C3F}"/>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0357ABF2-1EF8-4573-A9AE-B52254A29C48}"/>
    <cellStyle name="Normal 3 2 3 2 2 4 2 3" xfId="12323" xr:uid="{BAE1B43E-0781-4FEA-A0AD-1370301CE41F}"/>
    <cellStyle name="Normal 3 2 3 2 2 4 3" xfId="5954" xr:uid="{00000000-0005-0000-0000-00008C110000}"/>
    <cellStyle name="Normal 3 2 3 2 2 4 3 2" xfId="14396" xr:uid="{D7ADADB5-3285-4DC1-8468-F2BF3D3EC78E}"/>
    <cellStyle name="Normal 3 2 3 2 2 4 4" xfId="10178" xr:uid="{2F886059-84E6-46F5-842A-7D6FF5AC0448}"/>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283B713E-5EE4-4791-90A6-D19242E6A55B}"/>
    <cellStyle name="Normal 3 2 3 2 2 5 2 3" xfId="12736" xr:uid="{A6527CA2-D420-4C73-921A-9CB62417BAC0}"/>
    <cellStyle name="Normal 3 2 3 2 2 5 3" xfId="6367" xr:uid="{00000000-0005-0000-0000-000090110000}"/>
    <cellStyle name="Normal 3 2 3 2 2 5 3 2" xfId="14809" xr:uid="{1D4C455D-4E17-4178-BEBA-5462D206ECEA}"/>
    <cellStyle name="Normal 3 2 3 2 2 5 4" xfId="10591" xr:uid="{B4B55E17-6A65-4A7C-8974-69CE9F8D8CDF}"/>
    <cellStyle name="Normal 3 2 3 2 2 6" xfId="2496" xr:uid="{00000000-0005-0000-0000-000091110000}"/>
    <cellStyle name="Normal 3 2 3 2 2 6 2" xfId="6780" xr:uid="{00000000-0005-0000-0000-000092110000}"/>
    <cellStyle name="Normal 3 2 3 2 2 6 2 2" xfId="15222" xr:uid="{E0B70BB5-FC85-4D54-A67F-BFE85CB5821F}"/>
    <cellStyle name="Normal 3 2 3 2 2 6 3" xfId="11004" xr:uid="{B42F2EDA-CA52-475D-A0CC-EE219A2E029D}"/>
    <cellStyle name="Normal 3 2 3 2 2 7" xfId="4714" xr:uid="{00000000-0005-0000-0000-000093110000}"/>
    <cellStyle name="Normal 3 2 3 2 2 7 2" xfId="13156" xr:uid="{F1AF248B-AE57-4F2B-B17F-82DEB00517B4}"/>
    <cellStyle name="Normal 3 2 3 2 2 8" xfId="8938" xr:uid="{9B793858-5413-40EA-AA7F-049FFE565BC4}"/>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40D0DA05-CF79-47C8-AFA8-1994852F8439}"/>
    <cellStyle name="Normal 3 2 3 2 3 2 3" xfId="11496" xr:uid="{3BBF595F-8317-4CBC-8DDB-93120207B207}"/>
    <cellStyle name="Normal 3 2 3 2 3 3" xfId="5127" xr:uid="{00000000-0005-0000-0000-000097110000}"/>
    <cellStyle name="Normal 3 2 3 2 3 3 2" xfId="13569" xr:uid="{49301447-084D-4A9A-852B-9AF4A1DC14D4}"/>
    <cellStyle name="Normal 3 2 3 2 3 4" xfId="9351" xr:uid="{DAFE6D38-5910-44DF-B0FA-9E31DFADE161}"/>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AA302CC3-D198-4A4A-B177-2A77135A5127}"/>
    <cellStyle name="Normal 3 2 3 2 4 2 3" xfId="11909" xr:uid="{121F2493-EFDB-4D7F-8DF6-95E48C60A80C}"/>
    <cellStyle name="Normal 3 2 3 2 4 3" xfId="5540" xr:uid="{00000000-0005-0000-0000-00009B110000}"/>
    <cellStyle name="Normal 3 2 3 2 4 3 2" xfId="13982" xr:uid="{48713332-10D5-4047-80AD-D8904F9031A4}"/>
    <cellStyle name="Normal 3 2 3 2 4 4" xfId="9764" xr:uid="{BD954DEA-997D-4D1F-889A-DABB63DB057D}"/>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87E61343-4CCD-493B-81EA-7792457EB5CF}"/>
    <cellStyle name="Normal 3 2 3 2 5 2 3" xfId="12322" xr:uid="{B4EE0CCD-F1E1-44BD-B31E-50ACBDD5039B}"/>
    <cellStyle name="Normal 3 2 3 2 5 3" xfId="5953" xr:uid="{00000000-0005-0000-0000-00009F110000}"/>
    <cellStyle name="Normal 3 2 3 2 5 3 2" xfId="14395" xr:uid="{227822B6-0966-47ED-ADA4-6A6D8E4FA37E}"/>
    <cellStyle name="Normal 3 2 3 2 5 4" xfId="10177" xr:uid="{DDEC44E6-4DCD-4761-8506-9ADDA1AEAC0E}"/>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12B4FBFE-D371-4299-B8A1-BA0C6E48C34A}"/>
    <cellStyle name="Normal 3 2 3 2 6 2 3" xfId="12735" xr:uid="{B25DE275-5C47-48A3-82B5-ADE6C3E2E4E5}"/>
    <cellStyle name="Normal 3 2 3 2 6 3" xfId="6366" xr:uid="{00000000-0005-0000-0000-0000A3110000}"/>
    <cellStyle name="Normal 3 2 3 2 6 3 2" xfId="14808" xr:uid="{93123533-0D2D-4D94-95A5-E2A788501509}"/>
    <cellStyle name="Normal 3 2 3 2 6 4" xfId="10590" xr:uid="{F089215F-07FB-4CD0-9803-32933531107B}"/>
    <cellStyle name="Normal 3 2 3 2 7" xfId="2495" xr:uid="{00000000-0005-0000-0000-0000A4110000}"/>
    <cellStyle name="Normal 3 2 3 2 7 2" xfId="6779" xr:uid="{00000000-0005-0000-0000-0000A5110000}"/>
    <cellStyle name="Normal 3 2 3 2 7 2 2" xfId="15221" xr:uid="{3DAA8032-1C5E-4015-9488-763EF6236146}"/>
    <cellStyle name="Normal 3 2 3 2 7 3" xfId="11003" xr:uid="{466D2F72-BBD8-4A3D-BBF0-7A93BCEC4776}"/>
    <cellStyle name="Normal 3 2 3 2 8" xfId="4713" xr:uid="{00000000-0005-0000-0000-0000A6110000}"/>
    <cellStyle name="Normal 3 2 3 2 8 2" xfId="13155" xr:uid="{9EA37272-1CC2-4FE1-8CCE-FD79DC007BB1}"/>
    <cellStyle name="Normal 3 2 3 2 9" xfId="8937" xr:uid="{E04BAC4B-C5F3-4C14-A11B-0105F5B48F86}"/>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42213709-D9EB-4AAF-BD16-4D687FCFD88E}"/>
    <cellStyle name="Normal 3 2 3 3 2 2 3" xfId="11498" xr:uid="{9E55AD8D-2125-4F9A-A676-BC8EF55639F9}"/>
    <cellStyle name="Normal 3 2 3 3 2 3" xfId="5129" xr:uid="{00000000-0005-0000-0000-0000AB110000}"/>
    <cellStyle name="Normal 3 2 3 3 2 3 2" xfId="13571" xr:uid="{41F11DA0-0D66-4FC0-849D-5C35CBF5510F}"/>
    <cellStyle name="Normal 3 2 3 3 2 4" xfId="9353" xr:uid="{A631690A-8106-4398-818C-A2F2883EEEB2}"/>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35881498-009F-4FC6-A4C4-3CA0022B6251}"/>
    <cellStyle name="Normal 3 2 3 3 3 2 3" xfId="11911" xr:uid="{7CE35BCA-31A7-4736-9670-F5963726B91C}"/>
    <cellStyle name="Normal 3 2 3 3 3 3" xfId="5542" xr:uid="{00000000-0005-0000-0000-0000AF110000}"/>
    <cellStyle name="Normal 3 2 3 3 3 3 2" xfId="13984" xr:uid="{08D2D2CB-7E43-4192-AA6C-4B61F70633DD}"/>
    <cellStyle name="Normal 3 2 3 3 3 4" xfId="9766" xr:uid="{E5DA1772-670E-44B9-B7F0-BEB33465B873}"/>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0AD16D7D-8D3F-4E2F-A51D-4B71CCAECC10}"/>
    <cellStyle name="Normal 3 2 3 3 4 2 3" xfId="12324" xr:uid="{52562F53-D944-4D4E-BE82-00F98D795D68}"/>
    <cellStyle name="Normal 3 2 3 3 4 3" xfId="5955" xr:uid="{00000000-0005-0000-0000-0000B3110000}"/>
    <cellStyle name="Normal 3 2 3 3 4 3 2" xfId="14397" xr:uid="{0F38E7C7-7A7F-40DD-A7D6-1D1B668868BA}"/>
    <cellStyle name="Normal 3 2 3 3 4 4" xfId="10179" xr:uid="{6D3F71FD-7A7F-43ED-B530-32954A43879A}"/>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EAB18B4E-3FE3-4DC8-BE33-EEDE43DE5AD6}"/>
    <cellStyle name="Normal 3 2 3 3 5 2 3" xfId="12737" xr:uid="{A768091C-720E-48CA-8C76-435433AF59FD}"/>
    <cellStyle name="Normal 3 2 3 3 5 3" xfId="6368" xr:uid="{00000000-0005-0000-0000-0000B7110000}"/>
    <cellStyle name="Normal 3 2 3 3 5 3 2" xfId="14810" xr:uid="{B7887F12-8C0B-4BF5-9217-C190A45DE729}"/>
    <cellStyle name="Normal 3 2 3 3 5 4" xfId="10592" xr:uid="{107C5860-9697-4520-9E06-97DAE489459A}"/>
    <cellStyle name="Normal 3 2 3 3 6" xfId="2497" xr:uid="{00000000-0005-0000-0000-0000B8110000}"/>
    <cellStyle name="Normal 3 2 3 3 6 2" xfId="6781" xr:uid="{00000000-0005-0000-0000-0000B9110000}"/>
    <cellStyle name="Normal 3 2 3 3 6 2 2" xfId="15223" xr:uid="{665B0C15-3585-421C-B5CE-74AC80D59A01}"/>
    <cellStyle name="Normal 3 2 3 3 6 3" xfId="11005" xr:uid="{6BE84C73-203C-4F30-AB1D-19694A76AFEB}"/>
    <cellStyle name="Normal 3 2 3 3 7" xfId="4715" xr:uid="{00000000-0005-0000-0000-0000BA110000}"/>
    <cellStyle name="Normal 3 2 3 3 7 2" xfId="13157" xr:uid="{0A4AFEB3-BC6B-4F1D-90E3-05DF20001896}"/>
    <cellStyle name="Normal 3 2 3 3 8" xfId="8939" xr:uid="{3A454C30-CC2B-4AD3-9213-171875909E89}"/>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82766741-BA0C-450B-B168-FF93CE48D5D0}"/>
    <cellStyle name="Normal 3 2 3 4 2 3" xfId="11495" xr:uid="{E745592A-5772-4CF1-8964-6010C6021568}"/>
    <cellStyle name="Normal 3 2 3 4 3" xfId="5126" xr:uid="{00000000-0005-0000-0000-0000BE110000}"/>
    <cellStyle name="Normal 3 2 3 4 3 2" xfId="13568" xr:uid="{054635CE-8374-4EB3-B25A-D0D3F1D972B2}"/>
    <cellStyle name="Normal 3 2 3 4 4" xfId="9350" xr:uid="{F8E354B0-DE82-4603-8C10-D19AB7D92144}"/>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A34AECB8-8ECB-4960-857A-3519DAF850DB}"/>
    <cellStyle name="Normal 3 2 3 5 2 3" xfId="11908" xr:uid="{9ED178AD-E6A0-4666-8B93-CF8D65CF42AA}"/>
    <cellStyle name="Normal 3 2 3 5 3" xfId="5539" xr:uid="{00000000-0005-0000-0000-0000C2110000}"/>
    <cellStyle name="Normal 3 2 3 5 3 2" xfId="13981" xr:uid="{13544CD0-912D-4332-B609-16A2007E71F3}"/>
    <cellStyle name="Normal 3 2 3 5 4" xfId="9763" xr:uid="{1F582DE5-9984-4039-878B-4660F30899F8}"/>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0C516BAC-84C4-4391-9F26-7B8A69D0B993}"/>
    <cellStyle name="Normal 3 2 3 6 2 3" xfId="12321" xr:uid="{DFF618F3-9F3A-42F7-A051-4F1A9F909D17}"/>
    <cellStyle name="Normal 3 2 3 6 3" xfId="5952" xr:uid="{00000000-0005-0000-0000-0000C6110000}"/>
    <cellStyle name="Normal 3 2 3 6 3 2" xfId="14394" xr:uid="{BC0AE54B-D38B-4EB1-934C-B77F249B1084}"/>
    <cellStyle name="Normal 3 2 3 6 4" xfId="10176" xr:uid="{1F29B3E5-6FEF-4A9A-9E73-19B52F408132}"/>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7F850FAE-769C-4ED0-97A2-8BA3CC263EA3}"/>
    <cellStyle name="Normal 3 2 3 7 2 3" xfId="12734" xr:uid="{09D44D90-F1F7-4656-9499-E02C1C06E0FF}"/>
    <cellStyle name="Normal 3 2 3 7 3" xfId="6365" xr:uid="{00000000-0005-0000-0000-0000CA110000}"/>
    <cellStyle name="Normal 3 2 3 7 3 2" xfId="14807" xr:uid="{07A5E468-9398-47EE-9A89-C39AE88D12C0}"/>
    <cellStyle name="Normal 3 2 3 7 4" xfId="10589" xr:uid="{B20052D4-6632-4423-B7B5-6C988BCBDBEB}"/>
    <cellStyle name="Normal 3 2 3 8" xfId="2494" xr:uid="{00000000-0005-0000-0000-0000CB110000}"/>
    <cellStyle name="Normal 3 2 3 8 2" xfId="6778" xr:uid="{00000000-0005-0000-0000-0000CC110000}"/>
    <cellStyle name="Normal 3 2 3 8 2 2" xfId="15220" xr:uid="{77B04B6C-B3A4-4D74-B9AE-D8930DBFEA75}"/>
    <cellStyle name="Normal 3 2 3 8 3" xfId="11002" xr:uid="{AA922680-26ED-4593-90A9-D901CC061F19}"/>
    <cellStyle name="Normal 3 2 3 9" xfId="4712" xr:uid="{00000000-0005-0000-0000-0000CD110000}"/>
    <cellStyle name="Normal 3 2 3 9 2" xfId="13154" xr:uid="{CC2378E5-5D52-4215-8B1D-41E1CCB75C0E}"/>
    <cellStyle name="Normal 3 2 4" xfId="809" xr:uid="{00000000-0005-0000-0000-0000CE110000}"/>
    <cellStyle name="Normal 3 2 4 2" xfId="3047" xr:uid="{00000000-0005-0000-0000-0000CF110000}"/>
    <cellStyle name="Normal 3 2 4 2 2" xfId="7270" xr:uid="{00000000-0005-0000-0000-0000D0110000}"/>
    <cellStyle name="Normal 3 2 4 2 2 2" xfId="15712" xr:uid="{FA860FDC-1F43-437B-9EEB-443239594B6D}"/>
    <cellStyle name="Normal 3 2 4 2 3" xfId="11494" xr:uid="{6BCDE61F-1F4B-4472-861C-6039B51BF700}"/>
    <cellStyle name="Normal 3 2 4 3" xfId="5125" xr:uid="{00000000-0005-0000-0000-0000D1110000}"/>
    <cellStyle name="Normal 3 2 4 3 2" xfId="13567" xr:uid="{C23A2723-0958-4066-8F23-205E622821F6}"/>
    <cellStyle name="Normal 3 2 4 4" xfId="9349" xr:uid="{278299CE-2546-4194-AB52-FFA3C34AA258}"/>
    <cellStyle name="Normal 3 2 5" xfId="1230" xr:uid="{00000000-0005-0000-0000-0000D2110000}"/>
    <cellStyle name="Normal 3 2 5 2" xfId="3460" xr:uid="{00000000-0005-0000-0000-0000D3110000}"/>
    <cellStyle name="Normal 3 2 5 2 2" xfId="7683" xr:uid="{00000000-0005-0000-0000-0000D4110000}"/>
    <cellStyle name="Normal 3 2 5 2 2 2" xfId="16125" xr:uid="{DAD6A8B8-38BB-4300-B41B-6FE13758DF3E}"/>
    <cellStyle name="Normal 3 2 5 2 3" xfId="11907" xr:uid="{69930BE0-A62A-43BD-83B8-3BEBF2CDA78C}"/>
    <cellStyle name="Normal 3 2 5 3" xfId="5538" xr:uid="{00000000-0005-0000-0000-0000D5110000}"/>
    <cellStyle name="Normal 3 2 5 3 2" xfId="13980" xr:uid="{BA174816-7154-4E30-A870-877EDA9C7E11}"/>
    <cellStyle name="Normal 3 2 5 4" xfId="9762" xr:uid="{E323788C-A7AA-44D7-BC22-B6315B0B9C61}"/>
    <cellStyle name="Normal 3 2 6" xfId="1643" xr:uid="{00000000-0005-0000-0000-0000D6110000}"/>
    <cellStyle name="Normal 3 2 6 2" xfId="3873" xr:uid="{00000000-0005-0000-0000-0000D7110000}"/>
    <cellStyle name="Normal 3 2 6 2 2" xfId="8096" xr:uid="{00000000-0005-0000-0000-0000D8110000}"/>
    <cellStyle name="Normal 3 2 6 2 2 2" xfId="16538" xr:uid="{FD1A12A8-05EA-42B2-B803-3A614680B5E2}"/>
    <cellStyle name="Normal 3 2 6 2 3" xfId="12320" xr:uid="{5E2BC13C-FCAB-4C47-9FED-EB839645B5BB}"/>
    <cellStyle name="Normal 3 2 6 3" xfId="5951" xr:uid="{00000000-0005-0000-0000-0000D9110000}"/>
    <cellStyle name="Normal 3 2 6 3 2" xfId="14393" xr:uid="{1635F097-C591-4055-BBCB-8F79E7DC1066}"/>
    <cellStyle name="Normal 3 2 6 4" xfId="10175" xr:uid="{39B66C83-570C-407A-BACA-36AADBFE95FB}"/>
    <cellStyle name="Normal 3 2 7" xfId="2057" xr:uid="{00000000-0005-0000-0000-0000DA110000}"/>
    <cellStyle name="Normal 3 2 7 2" xfId="4286" xr:uid="{00000000-0005-0000-0000-0000DB110000}"/>
    <cellStyle name="Normal 3 2 7 2 2" xfId="8509" xr:uid="{00000000-0005-0000-0000-0000DC110000}"/>
    <cellStyle name="Normal 3 2 7 2 2 2" xfId="16951" xr:uid="{0482E3CA-4C4A-40E9-89F6-6F99B70C4FFB}"/>
    <cellStyle name="Normal 3 2 7 2 3" xfId="12733" xr:uid="{0985E434-F2A0-4D43-B524-9CF98152CEDF}"/>
    <cellStyle name="Normal 3 2 7 3" xfId="6364" xr:uid="{00000000-0005-0000-0000-0000DD110000}"/>
    <cellStyle name="Normal 3 2 7 3 2" xfId="14806" xr:uid="{339AF5E4-5C3D-4A87-8B37-69F572017204}"/>
    <cellStyle name="Normal 3 2 7 4" xfId="10588" xr:uid="{180B3E9C-2000-4119-9A6F-8D6A1E74225C}"/>
    <cellStyle name="Normal 3 2 8" xfId="2493" xr:uid="{00000000-0005-0000-0000-0000DE110000}"/>
    <cellStyle name="Normal 3 2 8 2" xfId="6777" xr:uid="{00000000-0005-0000-0000-0000DF110000}"/>
    <cellStyle name="Normal 3 2 8 2 2" xfId="15219" xr:uid="{44468B4F-DA79-4D16-92E8-C7916FD47CE2}"/>
    <cellStyle name="Normal 3 2 8 3" xfId="11001" xr:uid="{406735CC-C670-452F-94EE-7C77204EAAD9}"/>
    <cellStyle name="Normal 3 2 9" xfId="4711" xr:uid="{00000000-0005-0000-0000-0000E0110000}"/>
    <cellStyle name="Normal 3 2 9 2" xfId="13153" xr:uid="{BE7AA3A8-7D9C-4E37-BFC5-54CB9F8B68A7}"/>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8B476655-9E54-4530-B915-5EA803278032}"/>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CA0A0D13-7723-4E0D-B053-7538FCA83E01}"/>
    <cellStyle name="Normal 4 2 2 10 2 3" xfId="12738" xr:uid="{7850C4D5-FFB0-4149-88AA-1AC31976C419}"/>
    <cellStyle name="Normal 4 2 2 10 3" xfId="6369" xr:uid="{00000000-0005-0000-0000-0000ED110000}"/>
    <cellStyle name="Normal 4 2 2 10 3 2" xfId="14811" xr:uid="{2ED1DB7F-D253-4596-9750-EDC7D83B7C85}"/>
    <cellStyle name="Normal 4 2 2 10 4" xfId="10593" xr:uid="{BBCFDB31-3466-4A68-ACD4-199551878C47}"/>
    <cellStyle name="Normal 4 2 2 11" xfId="2498" xr:uid="{00000000-0005-0000-0000-0000EE110000}"/>
    <cellStyle name="Normal 4 2 2 11 2" xfId="6782" xr:uid="{00000000-0005-0000-0000-0000EF110000}"/>
    <cellStyle name="Normal 4 2 2 11 2 2" xfId="15224" xr:uid="{EAF9AB25-E03E-426F-A9EA-3995602942F4}"/>
    <cellStyle name="Normal 4 2 2 11 3" xfId="11006" xr:uid="{65CC3439-F060-4812-92B4-66C725FC9488}"/>
    <cellStyle name="Normal 4 2 2 12" xfId="4717" xr:uid="{00000000-0005-0000-0000-0000F0110000}"/>
    <cellStyle name="Normal 4 2 2 12 2" xfId="13159" xr:uid="{CEBF2EB7-3D5B-4997-9E6A-AE76F895A4E1}"/>
    <cellStyle name="Normal 4 2 2 13" xfId="8941" xr:uid="{07C8B10C-6FB9-4FFC-A39C-9D541710A513}"/>
    <cellStyle name="Normal 4 2 2 2" xfId="338" xr:uid="{00000000-0005-0000-0000-0000F1110000}"/>
    <cellStyle name="Normal 4 2 2 3" xfId="339" xr:uid="{00000000-0005-0000-0000-0000F2110000}"/>
    <cellStyle name="Normal 4 2 2 3 10" xfId="4718" xr:uid="{00000000-0005-0000-0000-0000F3110000}"/>
    <cellStyle name="Normal 4 2 2 3 10 2" xfId="13160" xr:uid="{C8EC0D74-86F1-4361-9C79-417989786D5D}"/>
    <cellStyle name="Normal 4 2 2 3 11" xfId="8942" xr:uid="{605C7804-5975-4522-8D23-E4A9BCA626C0}"/>
    <cellStyle name="Normal 4 2 2 3 2" xfId="340" xr:uid="{00000000-0005-0000-0000-0000F4110000}"/>
    <cellStyle name="Normal 4 2 2 3 2 10" xfId="8943" xr:uid="{06553B58-74B1-40F3-B17E-6D9315199298}"/>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69173CB5-423D-40D8-92B2-65718B8F9FFF}"/>
    <cellStyle name="Normal 4 2 2 3 2 2 2 2 2 3" xfId="11503" xr:uid="{9B15F007-B58E-40C1-8B97-DCC533806E43}"/>
    <cellStyle name="Normal 4 2 2 3 2 2 2 2 3" xfId="5134" xr:uid="{00000000-0005-0000-0000-0000FA110000}"/>
    <cellStyle name="Normal 4 2 2 3 2 2 2 2 3 2" xfId="13576" xr:uid="{02A5D1DA-5B72-4A31-B07D-C85FA539C111}"/>
    <cellStyle name="Normal 4 2 2 3 2 2 2 2 4" xfId="9358" xr:uid="{37C601C5-0FAF-4D88-82CC-D35BD2644B51}"/>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E99C386B-E92C-458F-8643-F9FEFC4A5915}"/>
    <cellStyle name="Normal 4 2 2 3 2 2 2 3 2 3" xfId="11916" xr:uid="{34A041B8-D98A-4294-B6BB-85198C196DD8}"/>
    <cellStyle name="Normal 4 2 2 3 2 2 2 3 3" xfId="5547" xr:uid="{00000000-0005-0000-0000-0000FE110000}"/>
    <cellStyle name="Normal 4 2 2 3 2 2 2 3 3 2" xfId="13989" xr:uid="{196EC8A6-F580-4AAF-9A91-EE636B1BA46D}"/>
    <cellStyle name="Normal 4 2 2 3 2 2 2 3 4" xfId="9771" xr:uid="{D73E9871-4668-432E-B51B-DF0926040AE6}"/>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1B519684-C400-4DD2-9D96-6178DFAD077A}"/>
    <cellStyle name="Normal 4 2 2 3 2 2 2 4 2 3" xfId="12329" xr:uid="{D6F6E9DE-6291-4E2F-A469-F4A6FEF6011A}"/>
    <cellStyle name="Normal 4 2 2 3 2 2 2 4 3" xfId="5960" xr:uid="{00000000-0005-0000-0000-000002120000}"/>
    <cellStyle name="Normal 4 2 2 3 2 2 2 4 3 2" xfId="14402" xr:uid="{2D8AB27E-9092-4899-AC2B-C7587FBD73C9}"/>
    <cellStyle name="Normal 4 2 2 3 2 2 2 4 4" xfId="10184" xr:uid="{C070E812-6BE2-4C4E-A0F9-0A9DB922259C}"/>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3E4B2157-3B8C-4ED3-9A6D-CC597D086D94}"/>
    <cellStyle name="Normal 4 2 2 3 2 2 2 5 2 3" xfId="12742" xr:uid="{E4775599-90C5-4B36-AA75-6E5477C8CDEA}"/>
    <cellStyle name="Normal 4 2 2 3 2 2 2 5 3" xfId="6373" xr:uid="{00000000-0005-0000-0000-000006120000}"/>
    <cellStyle name="Normal 4 2 2 3 2 2 2 5 3 2" xfId="14815" xr:uid="{BD73ECEC-C1E5-4B8F-AD51-7ECC364B7030}"/>
    <cellStyle name="Normal 4 2 2 3 2 2 2 5 4" xfId="10597" xr:uid="{48FA0672-FC07-46C0-992F-4F03AA69ECDD}"/>
    <cellStyle name="Normal 4 2 2 3 2 2 2 6" xfId="2502" xr:uid="{00000000-0005-0000-0000-000007120000}"/>
    <cellStyle name="Normal 4 2 2 3 2 2 2 6 2" xfId="6786" xr:uid="{00000000-0005-0000-0000-000008120000}"/>
    <cellStyle name="Normal 4 2 2 3 2 2 2 6 2 2" xfId="15228" xr:uid="{DE5831DB-18A6-42E1-B471-E629B52099DD}"/>
    <cellStyle name="Normal 4 2 2 3 2 2 2 6 3" xfId="11010" xr:uid="{60C5ADF6-21B8-43AE-BC70-7C983D97D014}"/>
    <cellStyle name="Normal 4 2 2 3 2 2 2 7" xfId="4721" xr:uid="{00000000-0005-0000-0000-000009120000}"/>
    <cellStyle name="Normal 4 2 2 3 2 2 2 7 2" xfId="13163" xr:uid="{88EDF848-FBD0-46D7-9CCF-205B63C5861C}"/>
    <cellStyle name="Normal 4 2 2 3 2 2 2 8" xfId="8945" xr:uid="{45A4BD6E-111A-43E2-9585-DD9C081D74D2}"/>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8407D683-AFBB-4480-BC6C-C9454E4A1F3F}"/>
    <cellStyle name="Normal 4 2 2 3 2 2 3 2 3" xfId="11502" xr:uid="{C486DD2F-24C9-4BEB-988E-186B356BB751}"/>
    <cellStyle name="Normal 4 2 2 3 2 2 3 3" xfId="5133" xr:uid="{00000000-0005-0000-0000-00000D120000}"/>
    <cellStyle name="Normal 4 2 2 3 2 2 3 3 2" xfId="13575" xr:uid="{DE408BE7-D0E0-40DD-9AE8-997230496962}"/>
    <cellStyle name="Normal 4 2 2 3 2 2 3 4" xfId="9357" xr:uid="{5C178232-2EB4-4740-A39F-621F322F757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32A2B8C6-C3B8-47DF-BE78-05B4C6643288}"/>
    <cellStyle name="Normal 4 2 2 3 2 2 4 2 3" xfId="11915" xr:uid="{7CAC9DC0-7116-4F8F-ADAE-E3421565CD56}"/>
    <cellStyle name="Normal 4 2 2 3 2 2 4 3" xfId="5546" xr:uid="{00000000-0005-0000-0000-000011120000}"/>
    <cellStyle name="Normal 4 2 2 3 2 2 4 3 2" xfId="13988" xr:uid="{44A110A6-0337-4EF7-80B6-B2EA8E874468}"/>
    <cellStyle name="Normal 4 2 2 3 2 2 4 4" xfId="9770" xr:uid="{707224EE-0C78-4775-87B0-870ED63E2CB5}"/>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4CF8383E-3D79-44C0-8E2F-75F236DB0157}"/>
    <cellStyle name="Normal 4 2 2 3 2 2 5 2 3" xfId="12328" xr:uid="{2F80EC3A-497E-4F31-8E35-F34BE5560BFE}"/>
    <cellStyle name="Normal 4 2 2 3 2 2 5 3" xfId="5959" xr:uid="{00000000-0005-0000-0000-000015120000}"/>
    <cellStyle name="Normal 4 2 2 3 2 2 5 3 2" xfId="14401" xr:uid="{B815F620-5F44-4FC4-849C-0027EE7187EB}"/>
    <cellStyle name="Normal 4 2 2 3 2 2 5 4" xfId="10183" xr:uid="{B3CACA61-8DA0-48AF-99A4-C46DAB28FD92}"/>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4C6AAD66-205B-4570-A283-505082BD1390}"/>
    <cellStyle name="Normal 4 2 2 3 2 2 6 2 3" xfId="12741" xr:uid="{E1E5E5B2-E714-48DB-840B-6DC6090771ED}"/>
    <cellStyle name="Normal 4 2 2 3 2 2 6 3" xfId="6372" xr:uid="{00000000-0005-0000-0000-000019120000}"/>
    <cellStyle name="Normal 4 2 2 3 2 2 6 3 2" xfId="14814" xr:uid="{959DB3E8-3792-456C-863B-4DCE36F2EF4B}"/>
    <cellStyle name="Normal 4 2 2 3 2 2 6 4" xfId="10596" xr:uid="{990CC03C-4C32-41FC-BC24-BEA64AE367D6}"/>
    <cellStyle name="Normal 4 2 2 3 2 2 7" xfId="2501" xr:uid="{00000000-0005-0000-0000-00001A120000}"/>
    <cellStyle name="Normal 4 2 2 3 2 2 7 2" xfId="6785" xr:uid="{00000000-0005-0000-0000-00001B120000}"/>
    <cellStyle name="Normal 4 2 2 3 2 2 7 2 2" xfId="15227" xr:uid="{88C50E95-9C55-4FB2-BB55-5CC0AD76EB8E}"/>
    <cellStyle name="Normal 4 2 2 3 2 2 7 3" xfId="11009" xr:uid="{66CAD6CC-B770-4C4B-A687-E7A63A4C9409}"/>
    <cellStyle name="Normal 4 2 2 3 2 2 8" xfId="4720" xr:uid="{00000000-0005-0000-0000-00001C120000}"/>
    <cellStyle name="Normal 4 2 2 3 2 2 8 2" xfId="13162" xr:uid="{AFE0724F-06A2-430E-A3A3-268685AAEFE4}"/>
    <cellStyle name="Normal 4 2 2 3 2 2 9" xfId="8944" xr:uid="{A8AA00AB-B63F-4052-A6AB-795588865E83}"/>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CBD00BA0-629B-4E48-9310-6695BAA993F0}"/>
    <cellStyle name="Normal 4 2 2 3 2 3 2 2 3" xfId="11504" xr:uid="{734B4670-F5A1-4644-8974-996BE69464AA}"/>
    <cellStyle name="Normal 4 2 2 3 2 3 2 3" xfId="5135" xr:uid="{00000000-0005-0000-0000-000021120000}"/>
    <cellStyle name="Normal 4 2 2 3 2 3 2 3 2" xfId="13577" xr:uid="{76715C8D-C87D-46A8-8C0D-71564023BAE6}"/>
    <cellStyle name="Normal 4 2 2 3 2 3 2 4" xfId="9359" xr:uid="{EA83BEE6-B648-4359-9748-B3EE97C7F6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103F5FF9-6F47-4FF5-B8CD-B3631FC6549B}"/>
    <cellStyle name="Normal 4 2 2 3 2 3 3 2 3" xfId="11917" xr:uid="{6122BA44-0EAB-4B73-B943-FBEEE48D6E13}"/>
    <cellStyle name="Normal 4 2 2 3 2 3 3 3" xfId="5548" xr:uid="{00000000-0005-0000-0000-000025120000}"/>
    <cellStyle name="Normal 4 2 2 3 2 3 3 3 2" xfId="13990" xr:uid="{1D7FB407-2823-401D-BD7B-D6E3391B54D3}"/>
    <cellStyle name="Normal 4 2 2 3 2 3 3 4" xfId="9772" xr:uid="{4881A1F4-CC03-4962-B724-B3903A28C2F3}"/>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50F14EA0-6DE7-4F56-A84E-E9F52E1640D9}"/>
    <cellStyle name="Normal 4 2 2 3 2 3 4 2 3" xfId="12330" xr:uid="{F7694586-9EC4-461B-994D-8E5CF330B9B2}"/>
    <cellStyle name="Normal 4 2 2 3 2 3 4 3" xfId="5961" xr:uid="{00000000-0005-0000-0000-000029120000}"/>
    <cellStyle name="Normal 4 2 2 3 2 3 4 3 2" xfId="14403" xr:uid="{7464FBE7-F34D-454C-9FF5-8FF839A84DD4}"/>
    <cellStyle name="Normal 4 2 2 3 2 3 4 4" xfId="10185" xr:uid="{5269AAE7-74CB-4038-8AC3-E4986C103CC4}"/>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69949511-5473-4095-B4F3-B025A7B5D52C}"/>
    <cellStyle name="Normal 4 2 2 3 2 3 5 2 3" xfId="12743" xr:uid="{ECBCA52F-2B44-47EF-AC89-E907518CE993}"/>
    <cellStyle name="Normal 4 2 2 3 2 3 5 3" xfId="6374" xr:uid="{00000000-0005-0000-0000-00002D120000}"/>
    <cellStyle name="Normal 4 2 2 3 2 3 5 3 2" xfId="14816" xr:uid="{D63DB950-7BAE-44DF-AF37-B48B51587A10}"/>
    <cellStyle name="Normal 4 2 2 3 2 3 5 4" xfId="10598" xr:uid="{6C03E396-486B-4118-8209-FE57B6C9B975}"/>
    <cellStyle name="Normal 4 2 2 3 2 3 6" xfId="2503" xr:uid="{00000000-0005-0000-0000-00002E120000}"/>
    <cellStyle name="Normal 4 2 2 3 2 3 6 2" xfId="6787" xr:uid="{00000000-0005-0000-0000-00002F120000}"/>
    <cellStyle name="Normal 4 2 2 3 2 3 6 2 2" xfId="15229" xr:uid="{61CA3AC4-6EFE-4ECC-8F8F-90D1FB1834F7}"/>
    <cellStyle name="Normal 4 2 2 3 2 3 6 3" xfId="11011" xr:uid="{ECBD23C3-F9C7-4404-997D-A382DCE34A2C}"/>
    <cellStyle name="Normal 4 2 2 3 2 3 7" xfId="4722" xr:uid="{00000000-0005-0000-0000-000030120000}"/>
    <cellStyle name="Normal 4 2 2 3 2 3 7 2" xfId="13164" xr:uid="{24968173-1968-4FBA-92AB-DB6F4AC6515D}"/>
    <cellStyle name="Normal 4 2 2 3 2 3 8" xfId="8946" xr:uid="{B06F2009-6281-4318-B1E4-8566AEE25D2C}"/>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B6B95CE7-4299-49A5-88BA-E9ED939128C0}"/>
    <cellStyle name="Normal 4 2 2 3 2 4 2 3" xfId="11501" xr:uid="{BBEB2CD3-B0AC-4E15-B12D-D64FF34E9DCC}"/>
    <cellStyle name="Normal 4 2 2 3 2 4 3" xfId="5132" xr:uid="{00000000-0005-0000-0000-000034120000}"/>
    <cellStyle name="Normal 4 2 2 3 2 4 3 2" xfId="13574" xr:uid="{78A2C566-68E5-4D2F-AC9F-20B85563DD56}"/>
    <cellStyle name="Normal 4 2 2 3 2 4 4" xfId="9356" xr:uid="{A1171D88-35DD-4096-8CFD-5F50766C7E36}"/>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3513B27C-9489-40D6-B2C5-B4899ED104C5}"/>
    <cellStyle name="Normal 4 2 2 3 2 5 2 3" xfId="11914" xr:uid="{D8E8C06E-D09E-4A5E-83C5-EDC4498FB7D0}"/>
    <cellStyle name="Normal 4 2 2 3 2 5 3" xfId="5545" xr:uid="{00000000-0005-0000-0000-000038120000}"/>
    <cellStyle name="Normal 4 2 2 3 2 5 3 2" xfId="13987" xr:uid="{DA6E5970-B55E-4BEA-9299-F37230F5E885}"/>
    <cellStyle name="Normal 4 2 2 3 2 5 4" xfId="9769" xr:uid="{C084BD9E-322D-47C9-9663-134D38444A7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5373660B-94CD-4DB0-B80B-C2780DCB99DC}"/>
    <cellStyle name="Normal 4 2 2 3 2 6 2 3" xfId="12327" xr:uid="{1BF43451-3D94-458D-9B82-E43C9E9833F1}"/>
    <cellStyle name="Normal 4 2 2 3 2 6 3" xfId="5958" xr:uid="{00000000-0005-0000-0000-00003C120000}"/>
    <cellStyle name="Normal 4 2 2 3 2 6 3 2" xfId="14400" xr:uid="{8163FF85-57BD-48EB-8BBC-AA2F1E8DE1CF}"/>
    <cellStyle name="Normal 4 2 2 3 2 6 4" xfId="10182" xr:uid="{F4FAC8AB-0C3D-4CEA-B6E5-3EB191D019BA}"/>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19116CAA-32CC-4BFE-9C6F-4DBA3DE6B8A2}"/>
    <cellStyle name="Normal 4 2 2 3 2 7 2 3" xfId="12740" xr:uid="{167806A9-430F-4647-9B31-B80B88343282}"/>
    <cellStyle name="Normal 4 2 2 3 2 7 3" xfId="6371" xr:uid="{00000000-0005-0000-0000-000040120000}"/>
    <cellStyle name="Normal 4 2 2 3 2 7 3 2" xfId="14813" xr:uid="{B901BEF9-3E97-4879-AFB4-FAE53B0F5327}"/>
    <cellStyle name="Normal 4 2 2 3 2 7 4" xfId="10595" xr:uid="{E98037FF-44F3-4AC9-B9C5-6DE501ABA9F4}"/>
    <cellStyle name="Normal 4 2 2 3 2 8" xfId="2500" xr:uid="{00000000-0005-0000-0000-000041120000}"/>
    <cellStyle name="Normal 4 2 2 3 2 8 2" xfId="6784" xr:uid="{00000000-0005-0000-0000-000042120000}"/>
    <cellStyle name="Normal 4 2 2 3 2 8 2 2" xfId="15226" xr:uid="{75102ADF-C41E-43D3-A0D6-88A87B60F57A}"/>
    <cellStyle name="Normal 4 2 2 3 2 8 3" xfId="11008" xr:uid="{966CF6B8-D3CB-4041-833A-0BFFD4A14B8B}"/>
    <cellStyle name="Normal 4 2 2 3 2 9" xfId="4719" xr:uid="{00000000-0005-0000-0000-000043120000}"/>
    <cellStyle name="Normal 4 2 2 3 2 9 2" xfId="13161" xr:uid="{5B0A1F0A-C380-4A2B-8C83-64E0F15B96FC}"/>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39B5FB3A-60C4-4909-9FB1-BDD22883BBFF}"/>
    <cellStyle name="Normal 4 2 2 3 3 2 2 2 3" xfId="11506" xr:uid="{E2992B72-279D-4DF9-BB3E-8D81E8C4AA20}"/>
    <cellStyle name="Normal 4 2 2 3 3 2 2 3" xfId="5137" xr:uid="{00000000-0005-0000-0000-000049120000}"/>
    <cellStyle name="Normal 4 2 2 3 3 2 2 3 2" xfId="13579" xr:uid="{43629ECF-8E90-4267-976F-CE2615C733A7}"/>
    <cellStyle name="Normal 4 2 2 3 3 2 2 4" xfId="9361" xr:uid="{77B45012-E365-4F93-B7C9-4E31B4CB01C4}"/>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352F17B2-16AA-4542-B351-391C72DBC026}"/>
    <cellStyle name="Normal 4 2 2 3 3 2 3 2 3" xfId="11919" xr:uid="{E0C5DC35-7F39-4370-AF24-E50FFD7FD808}"/>
    <cellStyle name="Normal 4 2 2 3 3 2 3 3" xfId="5550" xr:uid="{00000000-0005-0000-0000-00004D120000}"/>
    <cellStyle name="Normal 4 2 2 3 3 2 3 3 2" xfId="13992" xr:uid="{E6E7DEE0-489B-4558-9460-E934A37C5728}"/>
    <cellStyle name="Normal 4 2 2 3 3 2 3 4" xfId="9774" xr:uid="{BEC29ACF-C351-4FC4-99BA-804DC0A43E75}"/>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1DE43BA2-AB00-4BBB-B740-BBBAEA768DF4}"/>
    <cellStyle name="Normal 4 2 2 3 3 2 4 2 3" xfId="12332" xr:uid="{6E752E43-3AEE-416C-9864-C9C770490F9D}"/>
    <cellStyle name="Normal 4 2 2 3 3 2 4 3" xfId="5963" xr:uid="{00000000-0005-0000-0000-000051120000}"/>
    <cellStyle name="Normal 4 2 2 3 3 2 4 3 2" xfId="14405" xr:uid="{7941EE15-A370-4F42-95ED-84515C8C2847}"/>
    <cellStyle name="Normal 4 2 2 3 3 2 4 4" xfId="10187" xr:uid="{0E7912BA-12B3-43E2-8585-5FFAAD63B9CD}"/>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3D70E126-0BDE-4788-908A-B90F43C91C4C}"/>
    <cellStyle name="Normal 4 2 2 3 3 2 5 2 3" xfId="12745" xr:uid="{5538D051-54B0-4A63-8B3F-755AA479504F}"/>
    <cellStyle name="Normal 4 2 2 3 3 2 5 3" xfId="6376" xr:uid="{00000000-0005-0000-0000-000055120000}"/>
    <cellStyle name="Normal 4 2 2 3 3 2 5 3 2" xfId="14818" xr:uid="{450E8742-AA33-4DBE-A477-7B85E5609DE0}"/>
    <cellStyle name="Normal 4 2 2 3 3 2 5 4" xfId="10600" xr:uid="{FC2B195F-ABEA-42E1-9B72-38B0A9694EA5}"/>
    <cellStyle name="Normal 4 2 2 3 3 2 6" xfId="2505" xr:uid="{00000000-0005-0000-0000-000056120000}"/>
    <cellStyle name="Normal 4 2 2 3 3 2 6 2" xfId="6789" xr:uid="{00000000-0005-0000-0000-000057120000}"/>
    <cellStyle name="Normal 4 2 2 3 3 2 6 2 2" xfId="15231" xr:uid="{5FD73884-4987-4B42-8C62-722047488656}"/>
    <cellStyle name="Normal 4 2 2 3 3 2 6 3" xfId="11013" xr:uid="{77CDF534-6D60-44C6-B143-6C0459D11FC8}"/>
    <cellStyle name="Normal 4 2 2 3 3 2 7" xfId="4724" xr:uid="{00000000-0005-0000-0000-000058120000}"/>
    <cellStyle name="Normal 4 2 2 3 3 2 7 2" xfId="13166" xr:uid="{5C17F186-1354-44F5-905E-114DDBE64900}"/>
    <cellStyle name="Normal 4 2 2 3 3 2 8" xfId="8948" xr:uid="{7962B797-4A2D-4842-A50E-763EFCF8F109}"/>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917BEF08-2D29-4352-9E1C-5E6687FEBB4F}"/>
    <cellStyle name="Normal 4 2 2 3 3 3 2 3" xfId="11505" xr:uid="{078E4E1A-7FE0-406B-92F1-941293AD6A85}"/>
    <cellStyle name="Normal 4 2 2 3 3 3 3" xfId="5136" xr:uid="{00000000-0005-0000-0000-00005C120000}"/>
    <cellStyle name="Normal 4 2 2 3 3 3 3 2" xfId="13578" xr:uid="{3B85DAE7-79B6-44CF-887F-10475EFC48CB}"/>
    <cellStyle name="Normal 4 2 2 3 3 3 4" xfId="9360" xr:uid="{55FC2D8F-BAB1-4B89-8BF6-803741B8377F}"/>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813A856E-95F6-4699-B499-83906306059B}"/>
    <cellStyle name="Normal 4 2 2 3 3 4 2 3" xfId="11918" xr:uid="{4501CAFE-53CB-4B26-B407-B58F1E79EC45}"/>
    <cellStyle name="Normal 4 2 2 3 3 4 3" xfId="5549" xr:uid="{00000000-0005-0000-0000-000060120000}"/>
    <cellStyle name="Normal 4 2 2 3 3 4 3 2" xfId="13991" xr:uid="{5A85390D-FD55-47EC-BD68-EB13FF60EDA1}"/>
    <cellStyle name="Normal 4 2 2 3 3 4 4" xfId="9773" xr:uid="{D67E772E-B209-4515-8594-D80A695367AB}"/>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9C7C6973-2F96-4822-85DA-16DC9C1CF835}"/>
    <cellStyle name="Normal 4 2 2 3 3 5 2 3" xfId="12331" xr:uid="{5C5CF345-8C89-4FA8-A48E-5FDF5670B8A0}"/>
    <cellStyle name="Normal 4 2 2 3 3 5 3" xfId="5962" xr:uid="{00000000-0005-0000-0000-000064120000}"/>
    <cellStyle name="Normal 4 2 2 3 3 5 3 2" xfId="14404" xr:uid="{7C42899B-76D5-4CBB-BE66-D241DB7FD187}"/>
    <cellStyle name="Normal 4 2 2 3 3 5 4" xfId="10186" xr:uid="{4CCAC355-93C6-4CCF-8544-9819DABD9471}"/>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DF461B37-E49C-4EC5-9C8E-9E22F6957EA7}"/>
    <cellStyle name="Normal 4 2 2 3 3 6 2 3" xfId="12744" xr:uid="{614BACAB-8B15-4BA8-9D16-89043B400913}"/>
    <cellStyle name="Normal 4 2 2 3 3 6 3" xfId="6375" xr:uid="{00000000-0005-0000-0000-000068120000}"/>
    <cellStyle name="Normal 4 2 2 3 3 6 3 2" xfId="14817" xr:uid="{5EEC4B21-180A-4264-A369-4795254EFA2C}"/>
    <cellStyle name="Normal 4 2 2 3 3 6 4" xfId="10599" xr:uid="{42E08115-F475-4B94-A7C8-FA7F5CEBF0FB}"/>
    <cellStyle name="Normal 4 2 2 3 3 7" xfId="2504" xr:uid="{00000000-0005-0000-0000-000069120000}"/>
    <cellStyle name="Normal 4 2 2 3 3 7 2" xfId="6788" xr:uid="{00000000-0005-0000-0000-00006A120000}"/>
    <cellStyle name="Normal 4 2 2 3 3 7 2 2" xfId="15230" xr:uid="{D3F12DBE-2B8B-46E0-A098-4935D80CD2C9}"/>
    <cellStyle name="Normal 4 2 2 3 3 7 3" xfId="11012" xr:uid="{0B8C2270-AB49-42CF-B751-AE13F43FBCD9}"/>
    <cellStyle name="Normal 4 2 2 3 3 8" xfId="4723" xr:uid="{00000000-0005-0000-0000-00006B120000}"/>
    <cellStyle name="Normal 4 2 2 3 3 8 2" xfId="13165" xr:uid="{29D8E8E7-BA18-4309-BA7D-ABE720F6BF6B}"/>
    <cellStyle name="Normal 4 2 2 3 3 9" xfId="8947" xr:uid="{C028D7F5-9472-40D7-9F1C-CAC6A9D4D3A3}"/>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DAC52028-799C-42A7-B06F-9283ECA72411}"/>
    <cellStyle name="Normal 4 2 2 3 4 2 2 3" xfId="11507" xr:uid="{8C2D0896-DF4C-47AE-BE5D-A8479D60E5C2}"/>
    <cellStyle name="Normal 4 2 2 3 4 2 3" xfId="5138" xr:uid="{00000000-0005-0000-0000-000070120000}"/>
    <cellStyle name="Normal 4 2 2 3 4 2 3 2" xfId="13580" xr:uid="{3AB67897-B470-417A-A432-5A8EF5A5B7E4}"/>
    <cellStyle name="Normal 4 2 2 3 4 2 4" xfId="9362" xr:uid="{951D4BDE-2290-4384-93F4-5F47FA9882F4}"/>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8972C7F9-88A6-4771-B1D6-C2A142D641C5}"/>
    <cellStyle name="Normal 4 2 2 3 4 3 2 3" xfId="11920" xr:uid="{63952E47-7FC0-4FA4-B3FA-5E05E01F9432}"/>
    <cellStyle name="Normal 4 2 2 3 4 3 3" xfId="5551" xr:uid="{00000000-0005-0000-0000-000074120000}"/>
    <cellStyle name="Normal 4 2 2 3 4 3 3 2" xfId="13993" xr:uid="{1A8B5C12-F292-4CF2-B921-1FB3DBC8B794}"/>
    <cellStyle name="Normal 4 2 2 3 4 3 4" xfId="9775" xr:uid="{C1CF75B7-2338-42CF-BF2D-ADB7A11FD96A}"/>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49A049D8-84FC-4FAB-8D61-39D544E635DD}"/>
    <cellStyle name="Normal 4 2 2 3 4 4 2 3" xfId="12333" xr:uid="{0F08A816-CB77-4915-BB39-823561659F9B}"/>
    <cellStyle name="Normal 4 2 2 3 4 4 3" xfId="5964" xr:uid="{00000000-0005-0000-0000-000078120000}"/>
    <cellStyle name="Normal 4 2 2 3 4 4 3 2" xfId="14406" xr:uid="{803AA8ED-F7DF-4952-8BD9-81B3C9954F3B}"/>
    <cellStyle name="Normal 4 2 2 3 4 4 4" xfId="10188" xr:uid="{899C7B8B-6779-4EA6-B897-CA58DF01CC8C}"/>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6491B5CD-C24A-4F76-9AD1-B5BF0C2E58F6}"/>
    <cellStyle name="Normal 4 2 2 3 4 5 2 3" xfId="12746" xr:uid="{3C64728E-5649-4ABE-A0D8-F8F1C6BB9818}"/>
    <cellStyle name="Normal 4 2 2 3 4 5 3" xfId="6377" xr:uid="{00000000-0005-0000-0000-00007C120000}"/>
    <cellStyle name="Normal 4 2 2 3 4 5 3 2" xfId="14819" xr:uid="{9C9008E6-EDB4-413E-9D94-2B42BC9138B5}"/>
    <cellStyle name="Normal 4 2 2 3 4 5 4" xfId="10601" xr:uid="{603541D0-7874-40C1-AC9F-1655646EBEBE}"/>
    <cellStyle name="Normal 4 2 2 3 4 6" xfId="2506" xr:uid="{00000000-0005-0000-0000-00007D120000}"/>
    <cellStyle name="Normal 4 2 2 3 4 6 2" xfId="6790" xr:uid="{00000000-0005-0000-0000-00007E120000}"/>
    <cellStyle name="Normal 4 2 2 3 4 6 2 2" xfId="15232" xr:uid="{21C66305-2CC1-43F4-A037-90DFE915D07F}"/>
    <cellStyle name="Normal 4 2 2 3 4 6 3" xfId="11014" xr:uid="{337E304F-4531-446A-940C-53401B65A614}"/>
    <cellStyle name="Normal 4 2 2 3 4 7" xfId="4725" xr:uid="{00000000-0005-0000-0000-00007F120000}"/>
    <cellStyle name="Normal 4 2 2 3 4 7 2" xfId="13167" xr:uid="{F1382F5E-EA28-4BB5-AD87-390A866C8546}"/>
    <cellStyle name="Normal 4 2 2 3 4 8" xfId="8949" xr:uid="{A4EAE65F-5409-41AA-AA32-F118E03A6738}"/>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A740F033-8E96-47BF-BF18-2055628FA77C}"/>
    <cellStyle name="Normal 4 2 2 3 5 2 3" xfId="11500" xr:uid="{6A90A6D7-EAF9-4F2D-9E3F-802C439EA2F1}"/>
    <cellStyle name="Normal 4 2 2 3 5 3" xfId="5131" xr:uid="{00000000-0005-0000-0000-000083120000}"/>
    <cellStyle name="Normal 4 2 2 3 5 3 2" xfId="13573" xr:uid="{027874B0-2A9A-4D37-A2D2-9BDCFEEFFBB1}"/>
    <cellStyle name="Normal 4 2 2 3 5 4" xfId="9355" xr:uid="{E2A2885B-F085-4C2E-ABB3-227AF8CF070A}"/>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16DB7D21-E504-4B7E-B36F-8728AF99C88A}"/>
    <cellStyle name="Normal 4 2 2 3 6 2 3" xfId="11913" xr:uid="{59832DAD-12E1-4714-BAAD-C1FBD7EDBA8E}"/>
    <cellStyle name="Normal 4 2 2 3 6 3" xfId="5544" xr:uid="{00000000-0005-0000-0000-000087120000}"/>
    <cellStyle name="Normal 4 2 2 3 6 3 2" xfId="13986" xr:uid="{F48C39B3-392F-4967-BD8C-639693FC1797}"/>
    <cellStyle name="Normal 4 2 2 3 6 4" xfId="9768" xr:uid="{22B16BA6-9BA2-432B-9C6B-E6E46146B0D2}"/>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63BA7728-9956-40E3-A388-5F777C7BB0A9}"/>
    <cellStyle name="Normal 4 2 2 3 7 2 3" xfId="12326" xr:uid="{7C159EDA-6E2C-465F-B2C9-9DAF72D9DE7F}"/>
    <cellStyle name="Normal 4 2 2 3 7 3" xfId="5957" xr:uid="{00000000-0005-0000-0000-00008B120000}"/>
    <cellStyle name="Normal 4 2 2 3 7 3 2" xfId="14399" xr:uid="{B78D60A7-438A-4E3A-B40E-4D6A217F7DEF}"/>
    <cellStyle name="Normal 4 2 2 3 7 4" xfId="10181" xr:uid="{A84ECF48-8CAE-41DB-BFB9-54AE300C261D}"/>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7D050EB2-4563-4A1C-911C-489F69C2E21E}"/>
    <cellStyle name="Normal 4 2 2 3 8 2 3" xfId="12739" xr:uid="{4B6AD484-6E8C-4988-B25F-D2B4B4063323}"/>
    <cellStyle name="Normal 4 2 2 3 8 3" xfId="6370" xr:uid="{00000000-0005-0000-0000-00008F120000}"/>
    <cellStyle name="Normal 4 2 2 3 8 3 2" xfId="14812" xr:uid="{7F48F7DA-D144-43A1-9A06-E5164DC39053}"/>
    <cellStyle name="Normal 4 2 2 3 8 4" xfId="10594" xr:uid="{30ED6BA7-1D82-4935-9469-799FBC7DEEAA}"/>
    <cellStyle name="Normal 4 2 2 3 9" xfId="2499" xr:uid="{00000000-0005-0000-0000-000090120000}"/>
    <cellStyle name="Normal 4 2 2 3 9 2" xfId="6783" xr:uid="{00000000-0005-0000-0000-000091120000}"/>
    <cellStyle name="Normal 4 2 2 3 9 2 2" xfId="15225" xr:uid="{8D04A6D3-4C65-414E-8CD7-53BF38F87D69}"/>
    <cellStyle name="Normal 4 2 2 3 9 3" xfId="11007" xr:uid="{EBE5A89F-FF4E-47C9-92AF-9904A45B803E}"/>
    <cellStyle name="Normal 4 2 2 4" xfId="347" xr:uid="{00000000-0005-0000-0000-000092120000}"/>
    <cellStyle name="Normal 4 2 2 4 10" xfId="8950" xr:uid="{45F5DD15-5B93-462D-9790-78F305916BD3}"/>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CE259FFB-ECCA-4115-871D-51CE45876573}"/>
    <cellStyle name="Normal 4 2 2 4 2 2 2 2 3" xfId="11510" xr:uid="{38C581FB-3CA6-47EB-BC2D-050713498286}"/>
    <cellStyle name="Normal 4 2 2 4 2 2 2 3" xfId="5141" xr:uid="{00000000-0005-0000-0000-000098120000}"/>
    <cellStyle name="Normal 4 2 2 4 2 2 2 3 2" xfId="13583" xr:uid="{4431F94B-D75E-40AE-B25F-58E41EC27EB0}"/>
    <cellStyle name="Normal 4 2 2 4 2 2 2 4" xfId="9365" xr:uid="{93BA028A-51DC-4BF6-B358-B13D336523ED}"/>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3C9A3263-EB7A-4A62-AF77-D9AE806214E8}"/>
    <cellStyle name="Normal 4 2 2 4 2 2 3 2 3" xfId="11923" xr:uid="{D26DB4C9-7EDB-4BC3-8BFC-E94B6B7E1D5E}"/>
    <cellStyle name="Normal 4 2 2 4 2 2 3 3" xfId="5554" xr:uid="{00000000-0005-0000-0000-00009C120000}"/>
    <cellStyle name="Normal 4 2 2 4 2 2 3 3 2" xfId="13996" xr:uid="{48687163-F4ED-4E0A-9CD9-6472F0F209FE}"/>
    <cellStyle name="Normal 4 2 2 4 2 2 3 4" xfId="9778" xr:uid="{94CDA23B-43B6-428E-ACBC-AFED5D5665AC}"/>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0CF5AAFE-4C2E-4B23-AC93-E5B1E19A6AA9}"/>
    <cellStyle name="Normal 4 2 2 4 2 2 4 2 3" xfId="12336" xr:uid="{AC6E3B4A-C9F2-404D-A9FB-313B55300105}"/>
    <cellStyle name="Normal 4 2 2 4 2 2 4 3" xfId="5967" xr:uid="{00000000-0005-0000-0000-0000A0120000}"/>
    <cellStyle name="Normal 4 2 2 4 2 2 4 3 2" xfId="14409" xr:uid="{D1C1434C-DE31-4AA2-899E-A3DD9E299F9C}"/>
    <cellStyle name="Normal 4 2 2 4 2 2 4 4" xfId="10191" xr:uid="{536674D5-29C1-45F9-81DA-1F2622A62DF6}"/>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E82E2D23-F58B-40D1-8E1D-5716ECD464EA}"/>
    <cellStyle name="Normal 4 2 2 4 2 2 5 2 3" xfId="12749" xr:uid="{67014987-6691-40B9-B373-8DB38511E255}"/>
    <cellStyle name="Normal 4 2 2 4 2 2 5 3" xfId="6380" xr:uid="{00000000-0005-0000-0000-0000A4120000}"/>
    <cellStyle name="Normal 4 2 2 4 2 2 5 3 2" xfId="14822" xr:uid="{73EB4DA8-E8BD-4BE7-8A1C-EB02F1944494}"/>
    <cellStyle name="Normal 4 2 2 4 2 2 5 4" xfId="10604" xr:uid="{9A1AC6CF-52ED-4F3A-B61E-8B1C7BB2E720}"/>
    <cellStyle name="Normal 4 2 2 4 2 2 6" xfId="2509" xr:uid="{00000000-0005-0000-0000-0000A5120000}"/>
    <cellStyle name="Normal 4 2 2 4 2 2 6 2" xfId="6793" xr:uid="{00000000-0005-0000-0000-0000A6120000}"/>
    <cellStyle name="Normal 4 2 2 4 2 2 6 2 2" xfId="15235" xr:uid="{B96A5B2A-927E-40FA-B248-824D64C62218}"/>
    <cellStyle name="Normal 4 2 2 4 2 2 6 3" xfId="11017" xr:uid="{C47E6779-3359-49F5-966B-A278BA950AB0}"/>
    <cellStyle name="Normal 4 2 2 4 2 2 7" xfId="4728" xr:uid="{00000000-0005-0000-0000-0000A7120000}"/>
    <cellStyle name="Normal 4 2 2 4 2 2 7 2" xfId="13170" xr:uid="{2F90DDBC-A007-42A2-9C4F-BFD8EAA920A3}"/>
    <cellStyle name="Normal 4 2 2 4 2 2 8" xfId="8952" xr:uid="{254057A8-B0DD-4F2D-8114-797FB88DF331}"/>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9C63375C-85C2-4764-BE58-9A703D0C8268}"/>
    <cellStyle name="Normal 4 2 2 4 2 3 2 3" xfId="11509" xr:uid="{1A772AB7-58F5-4A3B-8967-D0A64FC1880C}"/>
    <cellStyle name="Normal 4 2 2 4 2 3 3" xfId="5140" xr:uid="{00000000-0005-0000-0000-0000AB120000}"/>
    <cellStyle name="Normal 4 2 2 4 2 3 3 2" xfId="13582" xr:uid="{E1B75531-33F4-453C-8C96-82A0A51965B9}"/>
    <cellStyle name="Normal 4 2 2 4 2 3 4" xfId="9364" xr:uid="{16B22E64-A0B1-47FA-A470-B6FA68A84376}"/>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0BD3A266-9C1A-4D08-A1F1-3F123E6EC93C}"/>
    <cellStyle name="Normal 4 2 2 4 2 4 2 3" xfId="11922" xr:uid="{DEE1542D-4189-46DD-AD94-D4BEF91FFF5C}"/>
    <cellStyle name="Normal 4 2 2 4 2 4 3" xfId="5553" xr:uid="{00000000-0005-0000-0000-0000AF120000}"/>
    <cellStyle name="Normal 4 2 2 4 2 4 3 2" xfId="13995" xr:uid="{09C0FCDC-0868-4A84-9933-7B78FF8003C1}"/>
    <cellStyle name="Normal 4 2 2 4 2 4 4" xfId="9777" xr:uid="{F867DFF1-9B95-4A6B-BBDC-7AF8A1CB5AF3}"/>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C5365002-F184-4149-B285-8DAA22F3CE3B}"/>
    <cellStyle name="Normal 4 2 2 4 2 5 2 3" xfId="12335" xr:uid="{0A09F47E-1A2E-488B-AF8F-76A6392C28F4}"/>
    <cellStyle name="Normal 4 2 2 4 2 5 3" xfId="5966" xr:uid="{00000000-0005-0000-0000-0000B3120000}"/>
    <cellStyle name="Normal 4 2 2 4 2 5 3 2" xfId="14408" xr:uid="{38331BF1-5C69-4897-B5D9-BA912824AD3B}"/>
    <cellStyle name="Normal 4 2 2 4 2 5 4" xfId="10190" xr:uid="{75A490DE-BFAF-4F13-8832-87C67388D3ED}"/>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0657DB35-14D8-42F9-925B-51C02B0F2923}"/>
    <cellStyle name="Normal 4 2 2 4 2 6 2 3" xfId="12748" xr:uid="{8EF100DC-28CD-450B-A087-7487506BD6CC}"/>
    <cellStyle name="Normal 4 2 2 4 2 6 3" xfId="6379" xr:uid="{00000000-0005-0000-0000-0000B7120000}"/>
    <cellStyle name="Normal 4 2 2 4 2 6 3 2" xfId="14821" xr:uid="{C44971A9-437C-4237-B75A-8EC1810927FA}"/>
    <cellStyle name="Normal 4 2 2 4 2 6 4" xfId="10603" xr:uid="{0363AF73-F25F-49CF-987C-DDD5168284F1}"/>
    <cellStyle name="Normal 4 2 2 4 2 7" xfId="2508" xr:uid="{00000000-0005-0000-0000-0000B8120000}"/>
    <cellStyle name="Normal 4 2 2 4 2 7 2" xfId="6792" xr:uid="{00000000-0005-0000-0000-0000B9120000}"/>
    <cellStyle name="Normal 4 2 2 4 2 7 2 2" xfId="15234" xr:uid="{A163962A-BC00-48CE-9B18-B1EEFF8F8F08}"/>
    <cellStyle name="Normal 4 2 2 4 2 7 3" xfId="11016" xr:uid="{BD3FD419-E93E-4574-9585-B479CDC2C194}"/>
    <cellStyle name="Normal 4 2 2 4 2 8" xfId="4727" xr:uid="{00000000-0005-0000-0000-0000BA120000}"/>
    <cellStyle name="Normal 4 2 2 4 2 8 2" xfId="13169" xr:uid="{F6F61173-803F-4E28-BB27-F13840D5E6EA}"/>
    <cellStyle name="Normal 4 2 2 4 2 9" xfId="8951" xr:uid="{86484377-E06C-404F-9AEF-F336ED8EB6D8}"/>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B85AD614-F195-492B-9B15-D608DF8AD06D}"/>
    <cellStyle name="Normal 4 2 2 4 3 2 2 3" xfId="11511" xr:uid="{D2FD22A4-54E6-4E80-BA87-6C720890550D}"/>
    <cellStyle name="Normal 4 2 2 4 3 2 3" xfId="5142" xr:uid="{00000000-0005-0000-0000-0000BF120000}"/>
    <cellStyle name="Normal 4 2 2 4 3 2 3 2" xfId="13584" xr:uid="{3F856C06-12E2-423F-B13C-3E68BB903507}"/>
    <cellStyle name="Normal 4 2 2 4 3 2 4" xfId="9366" xr:uid="{10DB349B-91D5-435B-BE63-A246A9BE93D8}"/>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AB3FADDB-248B-48FA-856B-85ABB3D506DC}"/>
    <cellStyle name="Normal 4 2 2 4 3 3 2 3" xfId="11924" xr:uid="{93E8A6C3-CB31-450C-810E-71154F0B7944}"/>
    <cellStyle name="Normal 4 2 2 4 3 3 3" xfId="5555" xr:uid="{00000000-0005-0000-0000-0000C3120000}"/>
    <cellStyle name="Normal 4 2 2 4 3 3 3 2" xfId="13997" xr:uid="{BFDE3263-802A-46B5-B816-68C2DA06B273}"/>
    <cellStyle name="Normal 4 2 2 4 3 3 4" xfId="9779" xr:uid="{4095D79C-7FD6-412B-A520-8CA4313FD847}"/>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8777E07E-F033-4492-8212-BBB0CFF3A29F}"/>
    <cellStyle name="Normal 4 2 2 4 3 4 2 3" xfId="12337" xr:uid="{B14FBD9B-0D9D-40A9-A0EE-70B4F764CD61}"/>
    <cellStyle name="Normal 4 2 2 4 3 4 3" xfId="5968" xr:uid="{00000000-0005-0000-0000-0000C7120000}"/>
    <cellStyle name="Normal 4 2 2 4 3 4 3 2" xfId="14410" xr:uid="{81B27A94-2B92-4648-AE42-7A4672580F5E}"/>
    <cellStyle name="Normal 4 2 2 4 3 4 4" xfId="10192" xr:uid="{4B73441B-4862-4FD1-ACA9-5863FF1926BA}"/>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C340883A-4A4F-4563-B640-7B77C0532508}"/>
    <cellStyle name="Normal 4 2 2 4 3 5 2 3" xfId="12750" xr:uid="{CD234D24-224D-40A3-AF13-5E9FC70F704B}"/>
    <cellStyle name="Normal 4 2 2 4 3 5 3" xfId="6381" xr:uid="{00000000-0005-0000-0000-0000CB120000}"/>
    <cellStyle name="Normal 4 2 2 4 3 5 3 2" xfId="14823" xr:uid="{F95D42AD-A3E2-406F-A774-D236A3709117}"/>
    <cellStyle name="Normal 4 2 2 4 3 5 4" xfId="10605" xr:uid="{60CE9660-2779-4405-A284-EA94F7DDAEDB}"/>
    <cellStyle name="Normal 4 2 2 4 3 6" xfId="2510" xr:uid="{00000000-0005-0000-0000-0000CC120000}"/>
    <cellStyle name="Normal 4 2 2 4 3 6 2" xfId="6794" xr:uid="{00000000-0005-0000-0000-0000CD120000}"/>
    <cellStyle name="Normal 4 2 2 4 3 6 2 2" xfId="15236" xr:uid="{9DDBE28B-6DEA-4129-82AF-15B0E8D36E7C}"/>
    <cellStyle name="Normal 4 2 2 4 3 6 3" xfId="11018" xr:uid="{42D7035D-AB32-41D8-8AAD-A6AFE4429691}"/>
    <cellStyle name="Normal 4 2 2 4 3 7" xfId="4729" xr:uid="{00000000-0005-0000-0000-0000CE120000}"/>
    <cellStyle name="Normal 4 2 2 4 3 7 2" xfId="13171" xr:uid="{C439E753-E4DF-4CD8-86C3-BE3B6B0AF988}"/>
    <cellStyle name="Normal 4 2 2 4 3 8" xfId="8953" xr:uid="{FC575572-2937-4AA3-BFAB-75C30646253C}"/>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0C311941-8823-4F8F-BC67-BB1438C33B0A}"/>
    <cellStyle name="Normal 4 2 2 4 4 2 3" xfId="11508" xr:uid="{BC6A24D8-184B-4877-BB8A-F900F806327E}"/>
    <cellStyle name="Normal 4 2 2 4 4 3" xfId="5139" xr:uid="{00000000-0005-0000-0000-0000D2120000}"/>
    <cellStyle name="Normal 4 2 2 4 4 3 2" xfId="13581" xr:uid="{36A4380C-2B54-4192-836A-54B65A77E84A}"/>
    <cellStyle name="Normal 4 2 2 4 4 4" xfId="9363" xr:uid="{F20A3954-B656-4383-9D7A-F61EC9B0673A}"/>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FF63BEBB-B727-4E27-AE54-97CB0B63A718}"/>
    <cellStyle name="Normal 4 2 2 4 5 2 3" xfId="11921" xr:uid="{13D282D3-E57C-4B04-8A75-CDB6A4F86925}"/>
    <cellStyle name="Normal 4 2 2 4 5 3" xfId="5552" xr:uid="{00000000-0005-0000-0000-0000D6120000}"/>
    <cellStyle name="Normal 4 2 2 4 5 3 2" xfId="13994" xr:uid="{2DD0D4AC-3A86-4E54-A374-1E51A674D299}"/>
    <cellStyle name="Normal 4 2 2 4 5 4" xfId="9776" xr:uid="{6B7B3C52-DD3C-4911-B7C1-4385C3DABDD5}"/>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F3606716-DF4E-4F00-9C50-B997C24C6577}"/>
    <cellStyle name="Normal 4 2 2 4 6 2 3" xfId="12334" xr:uid="{4CA49872-94DF-4682-8184-2E566DDC2EAC}"/>
    <cellStyle name="Normal 4 2 2 4 6 3" xfId="5965" xr:uid="{00000000-0005-0000-0000-0000DA120000}"/>
    <cellStyle name="Normal 4 2 2 4 6 3 2" xfId="14407" xr:uid="{ADC93E1B-40FE-4F7B-A0EE-9D63004F868B}"/>
    <cellStyle name="Normal 4 2 2 4 6 4" xfId="10189" xr:uid="{BDEE46D8-A9C6-42FF-AA37-946CB9E7E228}"/>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0A97C12A-66C7-4045-A56F-20E582D76BE1}"/>
    <cellStyle name="Normal 4 2 2 4 7 2 3" xfId="12747" xr:uid="{843A05F8-F72E-4984-81DB-B420181E66E7}"/>
    <cellStyle name="Normal 4 2 2 4 7 3" xfId="6378" xr:uid="{00000000-0005-0000-0000-0000DE120000}"/>
    <cellStyle name="Normal 4 2 2 4 7 3 2" xfId="14820" xr:uid="{77ACBC34-EB1C-4254-BC97-6B6B2C517FA6}"/>
    <cellStyle name="Normal 4 2 2 4 7 4" xfId="10602" xr:uid="{1106388B-1BA0-4D48-BB59-EC8C4039555F}"/>
    <cellStyle name="Normal 4 2 2 4 8" xfId="2507" xr:uid="{00000000-0005-0000-0000-0000DF120000}"/>
    <cellStyle name="Normal 4 2 2 4 8 2" xfId="6791" xr:uid="{00000000-0005-0000-0000-0000E0120000}"/>
    <cellStyle name="Normal 4 2 2 4 8 2 2" xfId="15233" xr:uid="{37E9EED7-B55E-422C-A1BE-247EE9B4AB4F}"/>
    <cellStyle name="Normal 4 2 2 4 8 3" xfId="11015" xr:uid="{2F054D83-675E-40E3-A094-35C2A1EE9DCF}"/>
    <cellStyle name="Normal 4 2 2 4 9" xfId="4726" xr:uid="{00000000-0005-0000-0000-0000E1120000}"/>
    <cellStyle name="Normal 4 2 2 4 9 2" xfId="13168" xr:uid="{17862046-6984-454B-AC4F-B469E0F9C639}"/>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855DD31B-545C-4650-BA42-C56C4305F4AA}"/>
    <cellStyle name="Normal 4 2 2 5 2 2 2 3" xfId="11513" xr:uid="{1EFADA91-CAAD-40E8-BEA2-C1CA548666A0}"/>
    <cellStyle name="Normal 4 2 2 5 2 2 3" xfId="5144" xr:uid="{00000000-0005-0000-0000-0000E7120000}"/>
    <cellStyle name="Normal 4 2 2 5 2 2 3 2" xfId="13586" xr:uid="{BB943B9A-5441-4500-8734-44F48DB43403}"/>
    <cellStyle name="Normal 4 2 2 5 2 2 4" xfId="9368" xr:uid="{517E3DDA-A29F-405A-9692-4AEDBF45C3B8}"/>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4E039AF7-918E-411C-8C8C-1D6CFDD7A375}"/>
    <cellStyle name="Normal 4 2 2 5 2 3 2 3" xfId="11926" xr:uid="{DC182734-8E1E-46A1-B86A-4744CDE496FE}"/>
    <cellStyle name="Normal 4 2 2 5 2 3 3" xfId="5557" xr:uid="{00000000-0005-0000-0000-0000EB120000}"/>
    <cellStyle name="Normal 4 2 2 5 2 3 3 2" xfId="13999" xr:uid="{8C783C8B-81C4-4F3E-AB28-C172275CD7E1}"/>
    <cellStyle name="Normal 4 2 2 5 2 3 4" xfId="9781" xr:uid="{520D11EA-BB66-480B-9F51-B9EE50052E8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DA65D805-445B-4898-A221-BF5C44189747}"/>
    <cellStyle name="Normal 4 2 2 5 2 4 2 3" xfId="12339" xr:uid="{731B9F87-378A-4E9C-8D48-ECC497E7C609}"/>
    <cellStyle name="Normal 4 2 2 5 2 4 3" xfId="5970" xr:uid="{00000000-0005-0000-0000-0000EF120000}"/>
    <cellStyle name="Normal 4 2 2 5 2 4 3 2" xfId="14412" xr:uid="{08D22416-1A74-49B2-9DE5-78589D7DE935}"/>
    <cellStyle name="Normal 4 2 2 5 2 4 4" xfId="10194" xr:uid="{EAACF8DB-0792-4F4C-8C24-FF3A5CA17652}"/>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B05C80C4-97B0-4205-B5B5-8CBE0817FB1E}"/>
    <cellStyle name="Normal 4 2 2 5 2 5 2 3" xfId="12752" xr:uid="{04273DF6-A12C-454B-A22A-E5C9DE48808C}"/>
    <cellStyle name="Normal 4 2 2 5 2 5 3" xfId="6383" xr:uid="{00000000-0005-0000-0000-0000F3120000}"/>
    <cellStyle name="Normal 4 2 2 5 2 5 3 2" xfId="14825" xr:uid="{DD34DA48-8738-4976-8404-2825DC058543}"/>
    <cellStyle name="Normal 4 2 2 5 2 5 4" xfId="10607" xr:uid="{57ACF018-DB17-425A-BDA0-FE4A9A141201}"/>
    <cellStyle name="Normal 4 2 2 5 2 6" xfId="2512" xr:uid="{00000000-0005-0000-0000-0000F4120000}"/>
    <cellStyle name="Normal 4 2 2 5 2 6 2" xfId="6796" xr:uid="{00000000-0005-0000-0000-0000F5120000}"/>
    <cellStyle name="Normal 4 2 2 5 2 6 2 2" xfId="15238" xr:uid="{BD2E76DF-0D10-4011-AACC-E9AA7BD7253C}"/>
    <cellStyle name="Normal 4 2 2 5 2 6 3" xfId="11020" xr:uid="{1B70DCAE-4B7E-4973-851B-1B899CA6C447}"/>
    <cellStyle name="Normal 4 2 2 5 2 7" xfId="4731" xr:uid="{00000000-0005-0000-0000-0000F6120000}"/>
    <cellStyle name="Normal 4 2 2 5 2 7 2" xfId="13173" xr:uid="{A96FF885-4F30-4958-B210-28C82DCF9779}"/>
    <cellStyle name="Normal 4 2 2 5 2 8" xfId="8955" xr:uid="{D3A2B2AD-1A75-4F98-95AE-E29CD16C3BB3}"/>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5BBB853C-BDCC-4138-ACB9-7DE39EA5267C}"/>
    <cellStyle name="Normal 4 2 2 5 3 2 3" xfId="11512" xr:uid="{D962A6D0-645D-460D-B760-FFA022D8291F}"/>
    <cellStyle name="Normal 4 2 2 5 3 3" xfId="5143" xr:uid="{00000000-0005-0000-0000-0000FA120000}"/>
    <cellStyle name="Normal 4 2 2 5 3 3 2" xfId="13585" xr:uid="{818941F6-85B5-45CB-B526-C91EA3E7D4B1}"/>
    <cellStyle name="Normal 4 2 2 5 3 4" xfId="9367" xr:uid="{803640BF-811B-4219-94BE-A71D12A54ACE}"/>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A2D6319E-6384-400E-A303-97A9F7DD9E96}"/>
    <cellStyle name="Normal 4 2 2 5 4 2 3" xfId="11925" xr:uid="{DEDD8345-87FC-4AC9-81F0-DAA57150BCAE}"/>
    <cellStyle name="Normal 4 2 2 5 4 3" xfId="5556" xr:uid="{00000000-0005-0000-0000-0000FE120000}"/>
    <cellStyle name="Normal 4 2 2 5 4 3 2" xfId="13998" xr:uid="{16E9BA45-5583-47E6-90A6-2EE3FEAF4EE9}"/>
    <cellStyle name="Normal 4 2 2 5 4 4" xfId="9780" xr:uid="{89893C47-04B1-403D-9CD6-7DB2356C7C7B}"/>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29E309D7-F80A-4409-8BD9-2148F58170D2}"/>
    <cellStyle name="Normal 4 2 2 5 5 2 3" xfId="12338" xr:uid="{F18E8DCD-A20A-42E2-A9CA-DB06666561C1}"/>
    <cellStyle name="Normal 4 2 2 5 5 3" xfId="5969" xr:uid="{00000000-0005-0000-0000-000002130000}"/>
    <cellStyle name="Normal 4 2 2 5 5 3 2" xfId="14411" xr:uid="{6E88CC5D-9602-43F8-8504-E4A98B05B97C}"/>
    <cellStyle name="Normal 4 2 2 5 5 4" xfId="10193" xr:uid="{F2C1DB3D-A75B-4A60-BA3C-61862BCCF6FA}"/>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1099AB85-0F18-4419-9429-B4BB1AD0BD8C}"/>
    <cellStyle name="Normal 4 2 2 5 6 2 3" xfId="12751" xr:uid="{7446D0F7-10C8-43DB-A6B6-D2881678E9DC}"/>
    <cellStyle name="Normal 4 2 2 5 6 3" xfId="6382" xr:uid="{00000000-0005-0000-0000-000006130000}"/>
    <cellStyle name="Normal 4 2 2 5 6 3 2" xfId="14824" xr:uid="{C157A412-6112-44B7-928E-E8290D805FC1}"/>
    <cellStyle name="Normal 4 2 2 5 6 4" xfId="10606" xr:uid="{C395D817-DC8E-4EDD-9D61-ED1C30054349}"/>
    <cellStyle name="Normal 4 2 2 5 7" xfId="2511" xr:uid="{00000000-0005-0000-0000-000007130000}"/>
    <cellStyle name="Normal 4 2 2 5 7 2" xfId="6795" xr:uid="{00000000-0005-0000-0000-000008130000}"/>
    <cellStyle name="Normal 4 2 2 5 7 2 2" xfId="15237" xr:uid="{FD945D87-C337-43A9-BFEC-7BED45B9C64F}"/>
    <cellStyle name="Normal 4 2 2 5 7 3" xfId="11019" xr:uid="{8E1F11DE-E09F-46FD-B303-0727A6246036}"/>
    <cellStyle name="Normal 4 2 2 5 8" xfId="4730" xr:uid="{00000000-0005-0000-0000-000009130000}"/>
    <cellStyle name="Normal 4 2 2 5 8 2" xfId="13172" xr:uid="{8C821AEE-744C-46FA-B229-C1437D77082B}"/>
    <cellStyle name="Normal 4 2 2 5 9" xfId="8954" xr:uid="{6CF50989-5FB3-49CD-BDD9-A2C8F206117C}"/>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8840CBD3-4699-4E9E-B782-C80C1F88AA9E}"/>
    <cellStyle name="Normal 4 2 2 6 2 2 3" xfId="11514" xr:uid="{BBBC7AFB-C780-45A6-814E-FB001EA072B7}"/>
    <cellStyle name="Normal 4 2 2 6 2 3" xfId="5145" xr:uid="{00000000-0005-0000-0000-00000E130000}"/>
    <cellStyle name="Normal 4 2 2 6 2 3 2" xfId="13587" xr:uid="{8C9667D9-9BC6-4E17-946C-58597A9FE521}"/>
    <cellStyle name="Normal 4 2 2 6 2 4" xfId="9369" xr:uid="{4162BCF3-266B-4A77-B885-BE9633092CDA}"/>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6B11D6F6-7818-4320-946D-291EA18D75D5}"/>
    <cellStyle name="Normal 4 2 2 6 3 2 3" xfId="11927" xr:uid="{100E0FC5-74C9-4FCF-B8A4-D6365A95CD30}"/>
    <cellStyle name="Normal 4 2 2 6 3 3" xfId="5558" xr:uid="{00000000-0005-0000-0000-000012130000}"/>
    <cellStyle name="Normal 4 2 2 6 3 3 2" xfId="14000" xr:uid="{B2BCB732-634D-43AB-8D01-F596D364AB07}"/>
    <cellStyle name="Normal 4 2 2 6 3 4" xfId="9782" xr:uid="{0B8BC7BC-55EA-44E0-9585-BB8CC50A6143}"/>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0D57518-819C-41C0-9053-0079E69D7A08}"/>
    <cellStyle name="Normal 4 2 2 6 4 2 3" xfId="12340" xr:uid="{4E0EC399-1DFB-4E99-BBC0-C911A807C9FA}"/>
    <cellStyle name="Normal 4 2 2 6 4 3" xfId="5971" xr:uid="{00000000-0005-0000-0000-000016130000}"/>
    <cellStyle name="Normal 4 2 2 6 4 3 2" xfId="14413" xr:uid="{F8E5EE6B-CD24-4F47-B81A-91225388C8BB}"/>
    <cellStyle name="Normal 4 2 2 6 4 4" xfId="10195" xr:uid="{0F26353A-31CB-439B-A2CE-2DBC9A90EFA1}"/>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CD05579B-DC9A-4DCB-8596-04A97D6847C4}"/>
    <cellStyle name="Normal 4 2 2 6 5 2 3" xfId="12753" xr:uid="{5927040C-4062-4E5B-97F5-CC6F23955164}"/>
    <cellStyle name="Normal 4 2 2 6 5 3" xfId="6384" xr:uid="{00000000-0005-0000-0000-00001A130000}"/>
    <cellStyle name="Normal 4 2 2 6 5 3 2" xfId="14826" xr:uid="{223F391D-9F82-4AE3-BE4A-7C34770A041C}"/>
    <cellStyle name="Normal 4 2 2 6 5 4" xfId="10608" xr:uid="{DB2E7B31-C9FE-4401-986D-29CC262974CA}"/>
    <cellStyle name="Normal 4 2 2 6 6" xfId="2513" xr:uid="{00000000-0005-0000-0000-00001B130000}"/>
    <cellStyle name="Normal 4 2 2 6 6 2" xfId="6797" xr:uid="{00000000-0005-0000-0000-00001C130000}"/>
    <cellStyle name="Normal 4 2 2 6 6 2 2" xfId="15239" xr:uid="{83B8239B-3662-4309-894F-6845577FFF41}"/>
    <cellStyle name="Normal 4 2 2 6 6 3" xfId="11021" xr:uid="{17181387-A08E-42C7-B33F-31D8BBC8C09F}"/>
    <cellStyle name="Normal 4 2 2 6 7" xfId="4732" xr:uid="{00000000-0005-0000-0000-00001D130000}"/>
    <cellStyle name="Normal 4 2 2 6 7 2" xfId="13174" xr:uid="{DE9CF75C-223C-4D02-89A5-73C229121B2D}"/>
    <cellStyle name="Normal 4 2 2 6 8" xfId="8956" xr:uid="{72E3C3C5-85A2-478C-AD17-D1EDB44D9490}"/>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FCC06FD5-C4C7-44D7-A799-7D4B502974DB}"/>
    <cellStyle name="Normal 4 2 2 7 2 3" xfId="11499" xr:uid="{CC3C902C-F113-499B-B43E-A94E8D65D392}"/>
    <cellStyle name="Normal 4 2 2 7 3" xfId="5130" xr:uid="{00000000-0005-0000-0000-000021130000}"/>
    <cellStyle name="Normal 4 2 2 7 3 2" xfId="13572" xr:uid="{233D8A71-A420-470D-9ACC-59A7A14E6748}"/>
    <cellStyle name="Normal 4 2 2 7 4" xfId="9354" xr:uid="{6F229853-6F0A-4484-88C2-18B7B6133845}"/>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44D97961-9F03-45CC-87E3-D600FC3F36C8}"/>
    <cellStyle name="Normal 4 2 2 8 2 3" xfId="11912" xr:uid="{775B9463-AB54-4C3D-BEC7-2D7474853FA8}"/>
    <cellStyle name="Normal 4 2 2 8 3" xfId="5543" xr:uid="{00000000-0005-0000-0000-000025130000}"/>
    <cellStyle name="Normal 4 2 2 8 3 2" xfId="13985" xr:uid="{C88030EB-31E2-4670-9D01-3BA6A2AE3E60}"/>
    <cellStyle name="Normal 4 2 2 8 4" xfId="9767" xr:uid="{2A32DF3C-0C4B-464E-B645-953FC19839A2}"/>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2D44B00D-2C32-48DA-A90D-B1639C638C15}"/>
    <cellStyle name="Normal 4 2 2 9 2 3" xfId="12325" xr:uid="{E6102D81-BF55-4B74-AFD3-501394E79A14}"/>
    <cellStyle name="Normal 4 2 2 9 3" xfId="5956" xr:uid="{00000000-0005-0000-0000-000029130000}"/>
    <cellStyle name="Normal 4 2 2 9 3 2" xfId="14398" xr:uid="{B1E76CE3-6348-41D5-83B9-EA393402818F}"/>
    <cellStyle name="Normal 4 2 2 9 4" xfId="10180" xr:uid="{09E280A1-4840-499D-96AF-5ADC65742AC4}"/>
    <cellStyle name="Normal 4 2 3" xfId="354" xr:uid="{00000000-0005-0000-0000-00002A130000}"/>
    <cellStyle name="Normal 4 2 4" xfId="355" xr:uid="{00000000-0005-0000-0000-00002B130000}"/>
    <cellStyle name="Normal 4 2 4 10" xfId="4733" xr:uid="{00000000-0005-0000-0000-00002C130000}"/>
    <cellStyle name="Normal 4 2 4 10 2" xfId="13175" xr:uid="{36C1BC87-AEB7-4C87-8CCD-36D922F1912D}"/>
    <cellStyle name="Normal 4 2 4 11" xfId="8957" xr:uid="{B0175CC6-982A-4C64-AED7-3810A33070EE}"/>
    <cellStyle name="Normal 4 2 4 2" xfId="356" xr:uid="{00000000-0005-0000-0000-00002D130000}"/>
    <cellStyle name="Normal 4 2 4 2 10" xfId="8958" xr:uid="{F4BCE2AB-0DD9-4C78-B33C-025C5BBA20B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C81BAE94-A8D2-4765-91C5-7F4AD98956F0}"/>
    <cellStyle name="Normal 4 2 4 2 2 2 2 2 3" xfId="11518" xr:uid="{C9632AC1-81A3-462A-B874-E7D465314F9A}"/>
    <cellStyle name="Normal 4 2 4 2 2 2 2 3" xfId="5149" xr:uid="{00000000-0005-0000-0000-000033130000}"/>
    <cellStyle name="Normal 4 2 4 2 2 2 2 3 2" xfId="13591" xr:uid="{9FFC6700-7746-4D06-AC96-D10A8B270E93}"/>
    <cellStyle name="Normal 4 2 4 2 2 2 2 4" xfId="9373" xr:uid="{59EA8634-1521-4CD4-9368-43DBD66ED6AE}"/>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4071013F-255A-47D4-9CFF-6B0914769745}"/>
    <cellStyle name="Normal 4 2 4 2 2 2 3 2 3" xfId="11931" xr:uid="{DA0AF03D-2205-493B-A049-722C0FC4CDAA}"/>
    <cellStyle name="Normal 4 2 4 2 2 2 3 3" xfId="5562" xr:uid="{00000000-0005-0000-0000-000037130000}"/>
    <cellStyle name="Normal 4 2 4 2 2 2 3 3 2" xfId="14004" xr:uid="{BC46D28D-0329-4B47-BBD8-82CBD1466EC5}"/>
    <cellStyle name="Normal 4 2 4 2 2 2 3 4" xfId="9786" xr:uid="{16000E0C-CA59-4C38-A058-58E398FD43C2}"/>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655A4B1E-6F2E-4B3F-AAB4-80ADC9E107A7}"/>
    <cellStyle name="Normal 4 2 4 2 2 2 4 2 3" xfId="12344" xr:uid="{02FBD738-A607-4EDC-87D0-7880C2B52DF1}"/>
    <cellStyle name="Normal 4 2 4 2 2 2 4 3" xfId="5975" xr:uid="{00000000-0005-0000-0000-00003B130000}"/>
    <cellStyle name="Normal 4 2 4 2 2 2 4 3 2" xfId="14417" xr:uid="{6F6648DF-012E-48C5-834A-6559315B7C25}"/>
    <cellStyle name="Normal 4 2 4 2 2 2 4 4" xfId="10199" xr:uid="{F646EC38-ADCF-43A4-AC4F-9B149310A592}"/>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1129B987-0A8B-4434-8F2D-BD8C496C172A}"/>
    <cellStyle name="Normal 4 2 4 2 2 2 5 2 3" xfId="12757" xr:uid="{D1F414E8-CAFB-4991-8325-574396EEF184}"/>
    <cellStyle name="Normal 4 2 4 2 2 2 5 3" xfId="6388" xr:uid="{00000000-0005-0000-0000-00003F130000}"/>
    <cellStyle name="Normal 4 2 4 2 2 2 5 3 2" xfId="14830" xr:uid="{3C7CB564-566E-4739-85F8-66AD9CD409BA}"/>
    <cellStyle name="Normal 4 2 4 2 2 2 5 4" xfId="10612" xr:uid="{2EEB4683-62BF-4F74-95D3-D7851B4D1190}"/>
    <cellStyle name="Normal 4 2 4 2 2 2 6" xfId="2517" xr:uid="{00000000-0005-0000-0000-000040130000}"/>
    <cellStyle name="Normal 4 2 4 2 2 2 6 2" xfId="6801" xr:uid="{00000000-0005-0000-0000-000041130000}"/>
    <cellStyle name="Normal 4 2 4 2 2 2 6 2 2" xfId="15243" xr:uid="{2EDD2490-F210-49C6-B681-71CAA46B0CE7}"/>
    <cellStyle name="Normal 4 2 4 2 2 2 6 3" xfId="11025" xr:uid="{F85F4D20-86BB-4AF8-814F-32A6465D1F2F}"/>
    <cellStyle name="Normal 4 2 4 2 2 2 7" xfId="4736" xr:uid="{00000000-0005-0000-0000-000042130000}"/>
    <cellStyle name="Normal 4 2 4 2 2 2 7 2" xfId="13178" xr:uid="{202FC058-0159-46D5-A5E4-9205F671D48F}"/>
    <cellStyle name="Normal 4 2 4 2 2 2 8" xfId="8960" xr:uid="{7F7EBBEE-252E-4A89-B6D8-78112C6A7BCC}"/>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D1B3FAC4-C72B-470F-9447-71786BF9611F}"/>
    <cellStyle name="Normal 4 2 4 2 2 3 2 3" xfId="11517" xr:uid="{EBB722E5-B0C4-4052-BB09-9D6B5602130D}"/>
    <cellStyle name="Normal 4 2 4 2 2 3 3" xfId="5148" xr:uid="{00000000-0005-0000-0000-000046130000}"/>
    <cellStyle name="Normal 4 2 4 2 2 3 3 2" xfId="13590" xr:uid="{64B6BC42-AD9B-4AAE-B78E-17613B36C5C8}"/>
    <cellStyle name="Normal 4 2 4 2 2 3 4" xfId="9372" xr:uid="{349436E1-2FB7-4F32-9CEB-74F098BCB03C}"/>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7E1A73FF-53E1-4694-A76F-65AEE3287456}"/>
    <cellStyle name="Normal 4 2 4 2 2 4 2 3" xfId="11930" xr:uid="{F0D2E66A-F8AF-4852-B994-CCB033D8DA8F}"/>
    <cellStyle name="Normal 4 2 4 2 2 4 3" xfId="5561" xr:uid="{00000000-0005-0000-0000-00004A130000}"/>
    <cellStyle name="Normal 4 2 4 2 2 4 3 2" xfId="14003" xr:uid="{744BCB88-F508-4506-80D4-83CAF08B5BD9}"/>
    <cellStyle name="Normal 4 2 4 2 2 4 4" xfId="9785" xr:uid="{621804FB-1CDE-4D09-A50F-2D9BCD961357}"/>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88722A9A-16E0-4138-9472-955C49EF9F37}"/>
    <cellStyle name="Normal 4 2 4 2 2 5 2 3" xfId="12343" xr:uid="{2EAA8C32-481A-4663-906C-8C553962D160}"/>
    <cellStyle name="Normal 4 2 4 2 2 5 3" xfId="5974" xr:uid="{00000000-0005-0000-0000-00004E130000}"/>
    <cellStyle name="Normal 4 2 4 2 2 5 3 2" xfId="14416" xr:uid="{777FAF16-CF58-44C8-8CF1-852FE305BD56}"/>
    <cellStyle name="Normal 4 2 4 2 2 5 4" xfId="10198" xr:uid="{9CE02B63-86DE-4670-BA91-5EA803A043D8}"/>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24E638F4-54AF-4A67-8161-EA505A42B34C}"/>
    <cellStyle name="Normal 4 2 4 2 2 6 2 3" xfId="12756" xr:uid="{B8AF7EAE-6E19-475A-B749-BD596FC7749F}"/>
    <cellStyle name="Normal 4 2 4 2 2 6 3" xfId="6387" xr:uid="{00000000-0005-0000-0000-000052130000}"/>
    <cellStyle name="Normal 4 2 4 2 2 6 3 2" xfId="14829" xr:uid="{25C5780D-6C56-4A4C-9084-020B4C5343F7}"/>
    <cellStyle name="Normal 4 2 4 2 2 6 4" xfId="10611" xr:uid="{343A9189-024F-4BDC-88E9-154774C3375A}"/>
    <cellStyle name="Normal 4 2 4 2 2 7" xfId="2516" xr:uid="{00000000-0005-0000-0000-000053130000}"/>
    <cellStyle name="Normal 4 2 4 2 2 7 2" xfId="6800" xr:uid="{00000000-0005-0000-0000-000054130000}"/>
    <cellStyle name="Normal 4 2 4 2 2 7 2 2" xfId="15242" xr:uid="{02E6A750-3CE1-4154-B130-E94B5E4A837D}"/>
    <cellStyle name="Normal 4 2 4 2 2 7 3" xfId="11024" xr:uid="{A4390BF8-A53C-4A1A-A41E-FD78B58D5E1D}"/>
    <cellStyle name="Normal 4 2 4 2 2 8" xfId="4735" xr:uid="{00000000-0005-0000-0000-000055130000}"/>
    <cellStyle name="Normal 4 2 4 2 2 8 2" xfId="13177" xr:uid="{1578C5B7-028B-4287-8E31-ACD20A26760D}"/>
    <cellStyle name="Normal 4 2 4 2 2 9" xfId="8959" xr:uid="{3BFF3D5E-8615-4F2A-AB70-C634D58A9DD9}"/>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1C989641-0733-4A8E-856C-7B2F6DF45FB5}"/>
    <cellStyle name="Normal 4 2 4 2 3 2 2 3" xfId="11519" xr:uid="{D206E431-994B-4390-99E4-695C7A7D503B}"/>
    <cellStyle name="Normal 4 2 4 2 3 2 3" xfId="5150" xr:uid="{00000000-0005-0000-0000-00005A130000}"/>
    <cellStyle name="Normal 4 2 4 2 3 2 3 2" xfId="13592" xr:uid="{DEBE5181-4AB4-40FC-ADAB-4A8FB2ECC343}"/>
    <cellStyle name="Normal 4 2 4 2 3 2 4" xfId="9374" xr:uid="{A8709BDA-402F-4B6C-A7B8-992C29A4037D}"/>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B7F44A10-178B-4E6A-ADF6-5D18E884E114}"/>
    <cellStyle name="Normal 4 2 4 2 3 3 2 3" xfId="11932" xr:uid="{3F3E1FF3-AB3F-42FC-B051-BAAC31BF9CB8}"/>
    <cellStyle name="Normal 4 2 4 2 3 3 3" xfId="5563" xr:uid="{00000000-0005-0000-0000-00005E130000}"/>
    <cellStyle name="Normal 4 2 4 2 3 3 3 2" xfId="14005" xr:uid="{1B925FF0-6C0D-46FE-BB06-BB85BCFFB96C}"/>
    <cellStyle name="Normal 4 2 4 2 3 3 4" xfId="9787" xr:uid="{94C536EB-848E-45FC-9E30-E8B8E83E8206}"/>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32DB1BD7-BEAA-4493-9775-6F23BE12554F}"/>
    <cellStyle name="Normal 4 2 4 2 3 4 2 3" xfId="12345" xr:uid="{924A85C6-5DC0-4612-A037-B1B5F408B365}"/>
    <cellStyle name="Normal 4 2 4 2 3 4 3" xfId="5976" xr:uid="{00000000-0005-0000-0000-000062130000}"/>
    <cellStyle name="Normal 4 2 4 2 3 4 3 2" xfId="14418" xr:uid="{87419380-E7F8-494C-9AB1-1076249EE905}"/>
    <cellStyle name="Normal 4 2 4 2 3 4 4" xfId="10200" xr:uid="{D67BB87E-2AE2-4AED-A247-D76E41E8B766}"/>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E7A218C6-E32A-48D8-94C0-E9FEF0D6A808}"/>
    <cellStyle name="Normal 4 2 4 2 3 5 2 3" xfId="12758" xr:uid="{593C31BC-AE5B-4BF1-BA35-3ACB3B4DC2E9}"/>
    <cellStyle name="Normal 4 2 4 2 3 5 3" xfId="6389" xr:uid="{00000000-0005-0000-0000-000066130000}"/>
    <cellStyle name="Normal 4 2 4 2 3 5 3 2" xfId="14831" xr:uid="{9C43755D-CF7C-45A4-9331-76E019E9FD66}"/>
    <cellStyle name="Normal 4 2 4 2 3 5 4" xfId="10613" xr:uid="{676189A5-96E6-4B91-8158-523B6800962D}"/>
    <cellStyle name="Normal 4 2 4 2 3 6" xfId="2518" xr:uid="{00000000-0005-0000-0000-000067130000}"/>
    <cellStyle name="Normal 4 2 4 2 3 6 2" xfId="6802" xr:uid="{00000000-0005-0000-0000-000068130000}"/>
    <cellStyle name="Normal 4 2 4 2 3 6 2 2" xfId="15244" xr:uid="{04F2CDB3-CCED-4D50-9BB1-8AC3D2D0F754}"/>
    <cellStyle name="Normal 4 2 4 2 3 6 3" xfId="11026" xr:uid="{8F5BD44B-1503-4484-A048-645BC52FFB84}"/>
    <cellStyle name="Normal 4 2 4 2 3 7" xfId="4737" xr:uid="{00000000-0005-0000-0000-000069130000}"/>
    <cellStyle name="Normal 4 2 4 2 3 7 2" xfId="13179" xr:uid="{0D32B807-E494-4914-9A57-165D1E2E85F0}"/>
    <cellStyle name="Normal 4 2 4 2 3 8" xfId="8961" xr:uid="{7BBBEAEB-F41A-4C4D-B76A-2426BAC029F1}"/>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B053D843-6745-4410-ABF9-91BD586BC6EC}"/>
    <cellStyle name="Normal 4 2 4 2 4 2 3" xfId="11516" xr:uid="{A0A65F39-4F93-43BA-B69D-C7FF5AE1496A}"/>
    <cellStyle name="Normal 4 2 4 2 4 3" xfId="5147" xr:uid="{00000000-0005-0000-0000-00006D130000}"/>
    <cellStyle name="Normal 4 2 4 2 4 3 2" xfId="13589" xr:uid="{89C8E7B0-46E0-4CDE-B621-BF08D66C5AAA}"/>
    <cellStyle name="Normal 4 2 4 2 4 4" xfId="9371" xr:uid="{59DAC6F6-2640-41D9-AB4A-83E414F67251}"/>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3BC79E1F-EAAE-415A-9A20-6DF56098D1FF}"/>
    <cellStyle name="Normal 4 2 4 2 5 2 3" xfId="11929" xr:uid="{F39C9933-5771-4F9E-9DAF-E19C36D7840D}"/>
    <cellStyle name="Normal 4 2 4 2 5 3" xfId="5560" xr:uid="{00000000-0005-0000-0000-000071130000}"/>
    <cellStyle name="Normal 4 2 4 2 5 3 2" xfId="14002" xr:uid="{9E240740-F264-4310-9339-B874328E4ACB}"/>
    <cellStyle name="Normal 4 2 4 2 5 4" xfId="9784" xr:uid="{17B2FF78-7DC2-44BE-984A-19B22F71C326}"/>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C1DE30DE-F927-427A-8352-D18C2EA2A737}"/>
    <cellStyle name="Normal 4 2 4 2 6 2 3" xfId="12342" xr:uid="{A56A3B56-440E-47DB-B9D4-FB7C5E2CA8E7}"/>
    <cellStyle name="Normal 4 2 4 2 6 3" xfId="5973" xr:uid="{00000000-0005-0000-0000-000075130000}"/>
    <cellStyle name="Normal 4 2 4 2 6 3 2" xfId="14415" xr:uid="{CA957ABD-CCE8-48AD-9D8A-8D5DB4310984}"/>
    <cellStyle name="Normal 4 2 4 2 6 4" xfId="10197" xr:uid="{3A9C9ACC-A7AB-437C-85A4-8AA03D4BC19E}"/>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AF48341B-83FA-4810-B470-86845DEF12AA}"/>
    <cellStyle name="Normal 4 2 4 2 7 2 3" xfId="12755" xr:uid="{42DED906-5E7B-4252-B56C-526454F9D36B}"/>
    <cellStyle name="Normal 4 2 4 2 7 3" xfId="6386" xr:uid="{00000000-0005-0000-0000-000079130000}"/>
    <cellStyle name="Normal 4 2 4 2 7 3 2" xfId="14828" xr:uid="{5965852B-6C1C-412D-93A9-8F965797E2A2}"/>
    <cellStyle name="Normal 4 2 4 2 7 4" xfId="10610" xr:uid="{56AD26B0-A1BF-489D-985D-E221871AA06D}"/>
    <cellStyle name="Normal 4 2 4 2 8" xfId="2515" xr:uid="{00000000-0005-0000-0000-00007A130000}"/>
    <cellStyle name="Normal 4 2 4 2 8 2" xfId="6799" xr:uid="{00000000-0005-0000-0000-00007B130000}"/>
    <cellStyle name="Normal 4 2 4 2 8 2 2" xfId="15241" xr:uid="{248D031B-E021-413D-B46B-A5ED02304914}"/>
    <cellStyle name="Normal 4 2 4 2 8 3" xfId="11023" xr:uid="{67CCFC94-CCEC-49ED-ABAB-6B5C1343F18E}"/>
    <cellStyle name="Normal 4 2 4 2 9" xfId="4734" xr:uid="{00000000-0005-0000-0000-00007C130000}"/>
    <cellStyle name="Normal 4 2 4 2 9 2" xfId="13176" xr:uid="{259AC9F6-6667-4EA4-94F7-244BBB8CD02D}"/>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92BE2CC5-77A9-4344-9CEE-21CE5CD01135}"/>
    <cellStyle name="Normal 4 2 4 3 2 2 2 3" xfId="11521" xr:uid="{6F3FD944-43C9-48E4-B13A-227C51354B50}"/>
    <cellStyle name="Normal 4 2 4 3 2 2 3" xfId="5152" xr:uid="{00000000-0005-0000-0000-000082130000}"/>
    <cellStyle name="Normal 4 2 4 3 2 2 3 2" xfId="13594" xr:uid="{BACBDBF6-166B-4ECD-BE68-F51DE0D849F8}"/>
    <cellStyle name="Normal 4 2 4 3 2 2 4" xfId="9376" xr:uid="{6D2AFA64-C21A-490A-9109-359D8737E534}"/>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7582A59F-4DE4-4A8D-8DDE-60F8265228D5}"/>
    <cellStyle name="Normal 4 2 4 3 2 3 2 3" xfId="11934" xr:uid="{F5223D43-01DE-4EE4-827D-FE67D148E405}"/>
    <cellStyle name="Normal 4 2 4 3 2 3 3" xfId="5565" xr:uid="{00000000-0005-0000-0000-000086130000}"/>
    <cellStyle name="Normal 4 2 4 3 2 3 3 2" xfId="14007" xr:uid="{C17FB88B-FE87-4A36-97E5-A98351DCE8A8}"/>
    <cellStyle name="Normal 4 2 4 3 2 3 4" xfId="9789" xr:uid="{9A6CE786-AA1E-44B6-95C6-D20D50A15EF3}"/>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118F2123-1DDE-4229-AC5B-4368DA5E575C}"/>
    <cellStyle name="Normal 4 2 4 3 2 4 2 3" xfId="12347" xr:uid="{C53BCB15-ED4F-4B84-BF4F-F297CB313073}"/>
    <cellStyle name="Normal 4 2 4 3 2 4 3" xfId="5978" xr:uid="{00000000-0005-0000-0000-00008A130000}"/>
    <cellStyle name="Normal 4 2 4 3 2 4 3 2" xfId="14420" xr:uid="{861DA74B-8F87-4B36-A4BA-6686C2C427F8}"/>
    <cellStyle name="Normal 4 2 4 3 2 4 4" xfId="10202" xr:uid="{2E6AD2B9-9B61-469E-BE63-F17B99A20B61}"/>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FC9AA57D-7F91-4A43-95C5-1EDBAFE66D28}"/>
    <cellStyle name="Normal 4 2 4 3 2 5 2 3" xfId="12760" xr:uid="{D6A18A43-C066-42DA-B5A0-9AB7355242D9}"/>
    <cellStyle name="Normal 4 2 4 3 2 5 3" xfId="6391" xr:uid="{00000000-0005-0000-0000-00008E130000}"/>
    <cellStyle name="Normal 4 2 4 3 2 5 3 2" xfId="14833" xr:uid="{65C3567E-2233-4E9B-BB3B-AA6F1B474A27}"/>
    <cellStyle name="Normal 4 2 4 3 2 5 4" xfId="10615" xr:uid="{BE8A2052-8EA6-4F2C-83E5-673AB50AC416}"/>
    <cellStyle name="Normal 4 2 4 3 2 6" xfId="2520" xr:uid="{00000000-0005-0000-0000-00008F130000}"/>
    <cellStyle name="Normal 4 2 4 3 2 6 2" xfId="6804" xr:uid="{00000000-0005-0000-0000-000090130000}"/>
    <cellStyle name="Normal 4 2 4 3 2 6 2 2" xfId="15246" xr:uid="{9D1ECEE8-3596-4369-8624-9734CC87AD4D}"/>
    <cellStyle name="Normal 4 2 4 3 2 6 3" xfId="11028" xr:uid="{0903C14A-4A8F-4BF4-98CC-4312332F5F5F}"/>
    <cellStyle name="Normal 4 2 4 3 2 7" xfId="4739" xr:uid="{00000000-0005-0000-0000-000091130000}"/>
    <cellStyle name="Normal 4 2 4 3 2 7 2" xfId="13181" xr:uid="{09779142-D15A-4C8E-AE59-1ABE7D975123}"/>
    <cellStyle name="Normal 4 2 4 3 2 8" xfId="8963" xr:uid="{420FC3A1-8AD8-4A2F-AEF7-DA7A7DA5D5FF}"/>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440802E7-437D-4E75-8525-150B00B10497}"/>
    <cellStyle name="Normal 4 2 4 3 3 2 3" xfId="11520" xr:uid="{A28EFAD9-3F45-4CF4-834B-F44E7A981F5D}"/>
    <cellStyle name="Normal 4 2 4 3 3 3" xfId="5151" xr:uid="{00000000-0005-0000-0000-000095130000}"/>
    <cellStyle name="Normal 4 2 4 3 3 3 2" xfId="13593" xr:uid="{ECFD44B6-BBFA-41E3-A747-BB5AA74081C3}"/>
    <cellStyle name="Normal 4 2 4 3 3 4" xfId="9375" xr:uid="{0C16823C-F759-42AB-95D9-F036D0C61421}"/>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BD844E04-75E1-4D1D-8E82-B26612573E11}"/>
    <cellStyle name="Normal 4 2 4 3 4 2 3" xfId="11933" xr:uid="{68A71186-BEA5-492C-8B39-EF63DF404522}"/>
    <cellStyle name="Normal 4 2 4 3 4 3" xfId="5564" xr:uid="{00000000-0005-0000-0000-000099130000}"/>
    <cellStyle name="Normal 4 2 4 3 4 3 2" xfId="14006" xr:uid="{6E71BC11-4D58-4457-94C8-FC2BCB29BF35}"/>
    <cellStyle name="Normal 4 2 4 3 4 4" xfId="9788" xr:uid="{AA59053A-F20F-4DD0-94E4-352C9F4C9F35}"/>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CDEFF6B1-E0A3-47AB-A42A-32DD052F8A66}"/>
    <cellStyle name="Normal 4 2 4 3 5 2 3" xfId="12346" xr:uid="{BFAE8C73-CDD0-4CF1-B812-1D2F5E84D739}"/>
    <cellStyle name="Normal 4 2 4 3 5 3" xfId="5977" xr:uid="{00000000-0005-0000-0000-00009D130000}"/>
    <cellStyle name="Normal 4 2 4 3 5 3 2" xfId="14419" xr:uid="{05BF173C-34A6-4961-A53E-0F7071C6158C}"/>
    <cellStyle name="Normal 4 2 4 3 5 4" xfId="10201" xr:uid="{90AC8279-3DE1-45FA-B325-C781FE8DDEFD}"/>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949D5BFC-32E0-465A-AA96-B666F73919E5}"/>
    <cellStyle name="Normal 4 2 4 3 6 2 3" xfId="12759" xr:uid="{9CEFC858-0665-4B4F-8E59-EBFFAE8BBA30}"/>
    <cellStyle name="Normal 4 2 4 3 6 3" xfId="6390" xr:uid="{00000000-0005-0000-0000-0000A1130000}"/>
    <cellStyle name="Normal 4 2 4 3 6 3 2" xfId="14832" xr:uid="{632B317A-110B-4443-B037-CD5CCBAB5EA9}"/>
    <cellStyle name="Normal 4 2 4 3 6 4" xfId="10614" xr:uid="{5ABEDA77-4567-45DF-8235-B9FFD268D19D}"/>
    <cellStyle name="Normal 4 2 4 3 7" xfId="2519" xr:uid="{00000000-0005-0000-0000-0000A2130000}"/>
    <cellStyle name="Normal 4 2 4 3 7 2" xfId="6803" xr:uid="{00000000-0005-0000-0000-0000A3130000}"/>
    <cellStyle name="Normal 4 2 4 3 7 2 2" xfId="15245" xr:uid="{87B29CF7-CB2B-4298-9C13-6AF04A276B7E}"/>
    <cellStyle name="Normal 4 2 4 3 7 3" xfId="11027" xr:uid="{C9A2FA1B-835D-4C72-8337-315DFCEBB397}"/>
    <cellStyle name="Normal 4 2 4 3 8" xfId="4738" xr:uid="{00000000-0005-0000-0000-0000A4130000}"/>
    <cellStyle name="Normal 4 2 4 3 8 2" xfId="13180" xr:uid="{C25224E5-0EE8-4D12-ADBF-7F6DB77DDA09}"/>
    <cellStyle name="Normal 4 2 4 3 9" xfId="8962" xr:uid="{3BFE36D9-8453-4227-9761-C1F303A9E68C}"/>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49D438EF-40C1-4A2A-8796-818393AD792A}"/>
    <cellStyle name="Normal 4 2 4 4 2 2 3" xfId="11522" xr:uid="{200380F6-B8C8-4E01-B911-32FEDAF24833}"/>
    <cellStyle name="Normal 4 2 4 4 2 3" xfId="5153" xr:uid="{00000000-0005-0000-0000-0000A9130000}"/>
    <cellStyle name="Normal 4 2 4 4 2 3 2" xfId="13595" xr:uid="{ABA1C91D-DC54-4DE4-8E8C-D8E308D1D5D1}"/>
    <cellStyle name="Normal 4 2 4 4 2 4" xfId="9377" xr:uid="{6AA34130-65D5-48C1-96AA-ED45615C028C}"/>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492CF6D2-967E-4EFF-BDA6-02DC11E4CF20}"/>
    <cellStyle name="Normal 4 2 4 4 3 2 3" xfId="11935" xr:uid="{7679C713-FE0E-41EA-A8A1-8E1F953BDC01}"/>
    <cellStyle name="Normal 4 2 4 4 3 3" xfId="5566" xr:uid="{00000000-0005-0000-0000-0000AD130000}"/>
    <cellStyle name="Normal 4 2 4 4 3 3 2" xfId="14008" xr:uid="{A98F7D48-2935-49B0-B069-C68AB27C6235}"/>
    <cellStyle name="Normal 4 2 4 4 3 4" xfId="9790" xr:uid="{6742D808-DD9C-4988-82DC-5F03701B19C0}"/>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DEF5D673-FDC6-4995-9A76-4ED2C1A2E16D}"/>
    <cellStyle name="Normal 4 2 4 4 4 2 3" xfId="12348" xr:uid="{68C15946-D936-4834-8390-61F1F46A9E64}"/>
    <cellStyle name="Normal 4 2 4 4 4 3" xfId="5979" xr:uid="{00000000-0005-0000-0000-0000B1130000}"/>
    <cellStyle name="Normal 4 2 4 4 4 3 2" xfId="14421" xr:uid="{E860C8A7-246A-4F2D-90A4-3F2AAE1123B6}"/>
    <cellStyle name="Normal 4 2 4 4 4 4" xfId="10203" xr:uid="{3AD0825C-A174-4184-A78F-DFAF5783F8FD}"/>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3FC39F43-4B79-4990-A9FD-A823619E1EA8}"/>
    <cellStyle name="Normal 4 2 4 4 5 2 3" xfId="12761" xr:uid="{9FDFB4E6-71AA-4640-875C-E543F32065DB}"/>
    <cellStyle name="Normal 4 2 4 4 5 3" xfId="6392" xr:uid="{00000000-0005-0000-0000-0000B5130000}"/>
    <cellStyle name="Normal 4 2 4 4 5 3 2" xfId="14834" xr:uid="{03176030-4C86-4E38-B000-3B8FCCE2BC9E}"/>
    <cellStyle name="Normal 4 2 4 4 5 4" xfId="10616" xr:uid="{91146625-F8A1-488A-A25B-1A8F8020BEEE}"/>
    <cellStyle name="Normal 4 2 4 4 6" xfId="2521" xr:uid="{00000000-0005-0000-0000-0000B6130000}"/>
    <cellStyle name="Normal 4 2 4 4 6 2" xfId="6805" xr:uid="{00000000-0005-0000-0000-0000B7130000}"/>
    <cellStyle name="Normal 4 2 4 4 6 2 2" xfId="15247" xr:uid="{8FF00D51-8C91-477B-B8EB-04BD26044C32}"/>
    <cellStyle name="Normal 4 2 4 4 6 3" xfId="11029" xr:uid="{43AF962F-4E4B-4A2C-BFC1-7F58FAE1142E}"/>
    <cellStyle name="Normal 4 2 4 4 7" xfId="4740" xr:uid="{00000000-0005-0000-0000-0000B8130000}"/>
    <cellStyle name="Normal 4 2 4 4 7 2" xfId="13182" xr:uid="{CD78D640-FC82-4370-B7C7-1564263E3EB9}"/>
    <cellStyle name="Normal 4 2 4 4 8" xfId="8964" xr:uid="{9CDB3E3B-438F-4996-8499-C9E9181499BE}"/>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8D9AAEF6-7407-4609-B8B5-F36505AF95D3}"/>
    <cellStyle name="Normal 4 2 4 5 2 3" xfId="11515" xr:uid="{3E639563-4D34-4A32-A7AD-01E5E0B93A59}"/>
    <cellStyle name="Normal 4 2 4 5 3" xfId="5146" xr:uid="{00000000-0005-0000-0000-0000BC130000}"/>
    <cellStyle name="Normal 4 2 4 5 3 2" xfId="13588" xr:uid="{9E10C4BF-D475-487C-952B-7CF0F997C18C}"/>
    <cellStyle name="Normal 4 2 4 5 4" xfId="9370" xr:uid="{B65449A1-D9A8-4E34-99A6-CE77EB8A4A9F}"/>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59DD6D24-11B2-4AB1-92E0-D15A2D37F64D}"/>
    <cellStyle name="Normal 4 2 4 6 2 3" xfId="11928" xr:uid="{CC289BDB-D0F7-4BFB-9154-D627E90F001D}"/>
    <cellStyle name="Normal 4 2 4 6 3" xfId="5559" xr:uid="{00000000-0005-0000-0000-0000C0130000}"/>
    <cellStyle name="Normal 4 2 4 6 3 2" xfId="14001" xr:uid="{B48BB19D-9C41-4763-94FB-C9776D78C98E}"/>
    <cellStyle name="Normal 4 2 4 6 4" xfId="9783" xr:uid="{0DCA2632-FA96-4735-88BD-E78A528D29E8}"/>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DBC36A53-785D-4D82-80E5-BB1C21992A32}"/>
    <cellStyle name="Normal 4 2 4 7 2 3" xfId="12341" xr:uid="{205FE584-D06B-424C-8335-8CBD700DEE37}"/>
    <cellStyle name="Normal 4 2 4 7 3" xfId="5972" xr:uid="{00000000-0005-0000-0000-0000C4130000}"/>
    <cellStyle name="Normal 4 2 4 7 3 2" xfId="14414" xr:uid="{2723E13F-A261-4E7F-9B28-7B670BFD6E1D}"/>
    <cellStyle name="Normal 4 2 4 7 4" xfId="10196" xr:uid="{98C26343-2983-4BCA-8036-91089772470A}"/>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D7EBE9A9-D54C-4720-8403-F956BB3C8E16}"/>
    <cellStyle name="Normal 4 2 4 8 2 3" xfId="12754" xr:uid="{F4FA4819-72E9-4EA2-B756-1A0C689B38C5}"/>
    <cellStyle name="Normal 4 2 4 8 3" xfId="6385" xr:uid="{00000000-0005-0000-0000-0000C8130000}"/>
    <cellStyle name="Normal 4 2 4 8 3 2" xfId="14827" xr:uid="{FC8577F1-94BD-4168-8FCA-219200A69A35}"/>
    <cellStyle name="Normal 4 2 4 8 4" xfId="10609" xr:uid="{4BA868EC-E083-437A-AD8A-EC1EA5D69543}"/>
    <cellStyle name="Normal 4 2 4 9" xfId="2514" xr:uid="{00000000-0005-0000-0000-0000C9130000}"/>
    <cellStyle name="Normal 4 2 4 9 2" xfId="6798" xr:uid="{00000000-0005-0000-0000-0000CA130000}"/>
    <cellStyle name="Normal 4 2 4 9 2 2" xfId="15240" xr:uid="{1301ED92-A7FF-4614-8181-55BD1FA10D07}"/>
    <cellStyle name="Normal 4 2 4 9 3" xfId="11022" xr:uid="{13628965-F25C-484E-B199-6F87DB8B5BDB}"/>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60BEC37D-D6D1-4712-9730-B79C0BB4DE32}"/>
    <cellStyle name="Normal 4 2 5 2 2 2 3" xfId="11524" xr:uid="{8F54F2E5-2973-44A9-A5DC-0D4E472144F2}"/>
    <cellStyle name="Normal 4 2 5 2 2 3" xfId="5155" xr:uid="{00000000-0005-0000-0000-0000D0130000}"/>
    <cellStyle name="Normal 4 2 5 2 2 3 2" xfId="13597" xr:uid="{E345EDEC-E603-4BC4-97B5-4F14A8BFF52B}"/>
    <cellStyle name="Normal 4 2 5 2 2 4" xfId="9379" xr:uid="{B7AD7BCB-DD02-40A4-A4C5-D430B763BE31}"/>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40241A08-8F61-4C3D-B79A-67E418343248}"/>
    <cellStyle name="Normal 4 2 5 2 3 2 3" xfId="11937" xr:uid="{55F7E693-8C62-4ED0-87CB-7F6F62D0F8B4}"/>
    <cellStyle name="Normal 4 2 5 2 3 3" xfId="5568" xr:uid="{00000000-0005-0000-0000-0000D4130000}"/>
    <cellStyle name="Normal 4 2 5 2 3 3 2" xfId="14010" xr:uid="{7E202C35-0C99-418B-842B-62F68D7F54DB}"/>
    <cellStyle name="Normal 4 2 5 2 3 4" xfId="9792" xr:uid="{F1EC0039-3038-41F0-9FA5-9DCDC00A5E08}"/>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AAB7EC41-8066-48D1-8CB3-7C51BEE33F6A}"/>
    <cellStyle name="Normal 4 2 5 2 4 2 3" xfId="12350" xr:uid="{0F5F530A-A3AA-409D-91F8-FD8E252259B5}"/>
    <cellStyle name="Normal 4 2 5 2 4 3" xfId="5981" xr:uid="{00000000-0005-0000-0000-0000D8130000}"/>
    <cellStyle name="Normal 4 2 5 2 4 3 2" xfId="14423" xr:uid="{55842344-E133-4FD7-B3FB-3D13946763AB}"/>
    <cellStyle name="Normal 4 2 5 2 4 4" xfId="10205" xr:uid="{D3B59D50-14BF-455C-BECB-E05CBEBDD605}"/>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002F484A-1E66-4FA4-9D5E-65A96B994BBE}"/>
    <cellStyle name="Normal 4 2 5 2 5 2 3" xfId="12763" xr:uid="{F758CE6F-0E5F-4232-AE74-5FF6CEE09D70}"/>
    <cellStyle name="Normal 4 2 5 2 5 3" xfId="6394" xr:uid="{00000000-0005-0000-0000-0000DC130000}"/>
    <cellStyle name="Normal 4 2 5 2 5 3 2" xfId="14836" xr:uid="{CB21CB57-409B-4CAC-A0CF-3495BE803DFE}"/>
    <cellStyle name="Normal 4 2 5 2 5 4" xfId="10618" xr:uid="{0753B517-ACCF-4037-B73C-BDDB6E58EE46}"/>
    <cellStyle name="Normal 4 2 5 2 6" xfId="2523" xr:uid="{00000000-0005-0000-0000-0000DD130000}"/>
    <cellStyle name="Normal 4 2 5 2 6 2" xfId="6807" xr:uid="{00000000-0005-0000-0000-0000DE130000}"/>
    <cellStyle name="Normal 4 2 5 2 6 2 2" xfId="15249" xr:uid="{E366A2BC-3458-4B6A-A749-AA72B12BC3AE}"/>
    <cellStyle name="Normal 4 2 5 2 6 3" xfId="11031" xr:uid="{B6EDACBA-154B-4D35-8474-C86C1683AA8D}"/>
    <cellStyle name="Normal 4 2 5 2 7" xfId="4742" xr:uid="{00000000-0005-0000-0000-0000DF130000}"/>
    <cellStyle name="Normal 4 2 5 2 7 2" xfId="13184" xr:uid="{1D529FAD-F3D2-42B5-B26F-5C00618F26CD}"/>
    <cellStyle name="Normal 4 2 5 2 8" xfId="8966" xr:uid="{5472D1EF-BED7-48BC-8F70-F33671199786}"/>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75B09981-0BAF-4E5C-8144-5440AC103FBC}"/>
    <cellStyle name="Normal 4 2 5 3 2 3" xfId="11523" xr:uid="{880E72B8-7743-407C-AB12-BC29F06982EC}"/>
    <cellStyle name="Normal 4 2 5 3 3" xfId="5154" xr:uid="{00000000-0005-0000-0000-0000E3130000}"/>
    <cellStyle name="Normal 4 2 5 3 3 2" xfId="13596" xr:uid="{47F55330-5306-4881-83AC-E4481E746E98}"/>
    <cellStyle name="Normal 4 2 5 3 4" xfId="9378" xr:uid="{E528B262-DFBA-4980-985A-F00B9C7299A4}"/>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C3017121-FAF7-4259-9348-06030F76C425}"/>
    <cellStyle name="Normal 4 2 5 4 2 3" xfId="11936" xr:uid="{D056C8FE-B534-4A7F-87E2-64467F7E8F80}"/>
    <cellStyle name="Normal 4 2 5 4 3" xfId="5567" xr:uid="{00000000-0005-0000-0000-0000E7130000}"/>
    <cellStyle name="Normal 4 2 5 4 3 2" xfId="14009" xr:uid="{CE466D7F-11C0-47DE-AA98-1B8CBF744FF8}"/>
    <cellStyle name="Normal 4 2 5 4 4" xfId="9791" xr:uid="{4C610C64-7E26-4FF5-9C50-09A00D910CE9}"/>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529EF393-FECD-44BE-B2AD-0547163AF9F0}"/>
    <cellStyle name="Normal 4 2 5 5 2 3" xfId="12349" xr:uid="{5EADC218-DAD8-4E2F-A308-A411BF767FC2}"/>
    <cellStyle name="Normal 4 2 5 5 3" xfId="5980" xr:uid="{00000000-0005-0000-0000-0000EB130000}"/>
    <cellStyle name="Normal 4 2 5 5 3 2" xfId="14422" xr:uid="{8D2CE325-2AE2-40A3-AE40-7FA2CD9E06BC}"/>
    <cellStyle name="Normal 4 2 5 5 4" xfId="10204" xr:uid="{1FCD5020-6796-413B-A427-EC0B6E0D1CB4}"/>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0AA030BA-6E48-4933-9275-467C2320DCFD}"/>
    <cellStyle name="Normal 4 2 5 6 2 3" xfId="12762" xr:uid="{01F6BDFE-3E3F-4E97-81BB-148FC595C0BC}"/>
    <cellStyle name="Normal 4 2 5 6 3" xfId="6393" xr:uid="{00000000-0005-0000-0000-0000EF130000}"/>
    <cellStyle name="Normal 4 2 5 6 3 2" xfId="14835" xr:uid="{411D9A15-0924-4230-A169-39BA6059827F}"/>
    <cellStyle name="Normal 4 2 5 6 4" xfId="10617" xr:uid="{B15686B2-B37F-4A50-ACD1-BC00C405371A}"/>
    <cellStyle name="Normal 4 2 5 7" xfId="2522" xr:uid="{00000000-0005-0000-0000-0000F0130000}"/>
    <cellStyle name="Normal 4 2 5 7 2" xfId="6806" xr:uid="{00000000-0005-0000-0000-0000F1130000}"/>
    <cellStyle name="Normal 4 2 5 7 2 2" xfId="15248" xr:uid="{854091D6-FA41-46CE-AC5B-9430907418AB}"/>
    <cellStyle name="Normal 4 2 5 7 3" xfId="11030" xr:uid="{312C7FE6-C286-400C-8580-ACBC0779E94E}"/>
    <cellStyle name="Normal 4 2 5 8" xfId="4741" xr:uid="{00000000-0005-0000-0000-0000F2130000}"/>
    <cellStyle name="Normal 4 2 5 8 2" xfId="13183" xr:uid="{ABC5CEA8-9CAF-4C03-9F2F-657431B411AD}"/>
    <cellStyle name="Normal 4 2 5 9" xfId="8965" xr:uid="{B559686D-6FF6-42A5-BC74-6EE22875DBFE}"/>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71095A3E-D234-47B6-B9FA-FF3A9790B522}"/>
    <cellStyle name="Normal 4 2 6 2 2 3" xfId="11525" xr:uid="{90233D3A-8804-4351-9413-C67857110785}"/>
    <cellStyle name="Normal 4 2 6 2 3" xfId="5156" xr:uid="{00000000-0005-0000-0000-0000F7130000}"/>
    <cellStyle name="Normal 4 2 6 2 3 2" xfId="13598" xr:uid="{89BD5A08-B81C-42F3-9B01-A170D1B7F71C}"/>
    <cellStyle name="Normal 4 2 6 2 4" xfId="9380" xr:uid="{97FF87A5-80A9-4746-ABD4-BCE46804ACFE}"/>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0014E1E0-78CE-4965-A7AF-82804500D5A4}"/>
    <cellStyle name="Normal 4 2 6 3 2 3" xfId="11938" xr:uid="{ED408E98-8D62-4A1C-BC55-5FA9338CA98C}"/>
    <cellStyle name="Normal 4 2 6 3 3" xfId="5569" xr:uid="{00000000-0005-0000-0000-0000FB130000}"/>
    <cellStyle name="Normal 4 2 6 3 3 2" xfId="14011" xr:uid="{5AF00F80-A26D-40C5-87F1-ED944A5C0D71}"/>
    <cellStyle name="Normal 4 2 6 3 4" xfId="9793" xr:uid="{56E59BA2-13BB-4F42-A8D9-007AEA928B7B}"/>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F7AB494B-A250-47A3-B322-8D599A2BF486}"/>
    <cellStyle name="Normal 4 2 6 4 2 3" xfId="12351" xr:uid="{75E20E7E-4040-49E0-9A0A-1698EAD0F21B}"/>
    <cellStyle name="Normal 4 2 6 4 3" xfId="5982" xr:uid="{00000000-0005-0000-0000-0000FF130000}"/>
    <cellStyle name="Normal 4 2 6 4 3 2" xfId="14424" xr:uid="{1C0CAFCC-D211-4D82-9285-12B732815078}"/>
    <cellStyle name="Normal 4 2 6 4 4" xfId="10206" xr:uid="{3973AB52-B9B8-4191-A55F-747521A93D22}"/>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B1578EE4-553C-4AE5-AC4C-5715E0EEB25A}"/>
    <cellStyle name="Normal 4 2 6 5 2 3" xfId="12764" xr:uid="{12E64995-90F2-402D-B5D1-1C88289B116E}"/>
    <cellStyle name="Normal 4 2 6 5 3" xfId="6395" xr:uid="{00000000-0005-0000-0000-000003140000}"/>
    <cellStyle name="Normal 4 2 6 5 3 2" xfId="14837" xr:uid="{7F4E3D21-90B0-472C-9372-0427460D82F3}"/>
    <cellStyle name="Normal 4 2 6 5 4" xfId="10619" xr:uid="{76118478-561A-4A4F-ABC6-96E7F707095C}"/>
    <cellStyle name="Normal 4 2 6 6" xfId="2524" xr:uid="{00000000-0005-0000-0000-000004140000}"/>
    <cellStyle name="Normal 4 2 6 6 2" xfId="6808" xr:uid="{00000000-0005-0000-0000-000005140000}"/>
    <cellStyle name="Normal 4 2 6 6 2 2" xfId="15250" xr:uid="{829160AB-2F5D-4468-A196-845789CE70ED}"/>
    <cellStyle name="Normal 4 2 6 6 3" xfId="11032" xr:uid="{20B03544-0317-484A-B92D-0A6ADC766287}"/>
    <cellStyle name="Normal 4 2 6 7" xfId="4743" xr:uid="{00000000-0005-0000-0000-000006140000}"/>
    <cellStyle name="Normal 4 2 6 7 2" xfId="13185" xr:uid="{4DEFB6BF-BC05-4252-B11B-D9D571ED6689}"/>
    <cellStyle name="Normal 4 2 6 8" xfId="8967" xr:uid="{A661E6ED-F004-4DD1-8544-6EC979195347}"/>
    <cellStyle name="Normal 4 3" xfId="366" xr:uid="{00000000-0005-0000-0000-000007140000}"/>
    <cellStyle name="Normal 4 3 10" xfId="8968" xr:uid="{F83CE2F3-518A-422C-84A5-FFD7567AEAA9}"/>
    <cellStyle name="Normal 4 3 2" xfId="367" xr:uid="{00000000-0005-0000-0000-000008140000}"/>
    <cellStyle name="Normal 4 3 2 2" xfId="368" xr:uid="{00000000-0005-0000-0000-000009140000}"/>
    <cellStyle name="Normal 4 3 2 2 2" xfId="369" xr:uid="{00000000-0005-0000-0000-00000A140000}"/>
    <cellStyle name="Normal 4 3 2 2 2 10" xfId="8969" xr:uid="{100A3A7D-4A2A-4E3A-873B-9E38BA71EFC8}"/>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06EFFAFA-1D42-4CDF-96FD-E3207BB6DF39}"/>
    <cellStyle name="Normal 4 3 2 2 2 2 2 2 2 3" xfId="11529" xr:uid="{CBEA4C8D-C029-43A5-9785-CF775646BE42}"/>
    <cellStyle name="Normal 4 3 2 2 2 2 2 2 3" xfId="5160" xr:uid="{00000000-0005-0000-0000-000010140000}"/>
    <cellStyle name="Normal 4 3 2 2 2 2 2 2 3 2" xfId="13602" xr:uid="{22481C96-21AA-40C1-8D1A-3D0E2F62EFCA}"/>
    <cellStyle name="Normal 4 3 2 2 2 2 2 2 4" xfId="9384" xr:uid="{223883F2-9E68-4E5A-8066-91D64E6FB101}"/>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083F7378-8DC9-468A-BFD5-DF688099BFC4}"/>
    <cellStyle name="Normal 4 3 2 2 2 2 2 3 2 3" xfId="11942" xr:uid="{2122F73B-6E0F-4B31-A9F2-E3B380D6FC14}"/>
    <cellStyle name="Normal 4 3 2 2 2 2 2 3 3" xfId="5573" xr:uid="{00000000-0005-0000-0000-000014140000}"/>
    <cellStyle name="Normal 4 3 2 2 2 2 2 3 3 2" xfId="14015" xr:uid="{FB84187A-0A37-4C45-8D5A-063821780B16}"/>
    <cellStyle name="Normal 4 3 2 2 2 2 2 3 4" xfId="9797" xr:uid="{16DA0B1E-44FD-4B49-B952-BBFBCA38963F}"/>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22DDF906-6337-4A1E-A421-F3BB065CB729}"/>
    <cellStyle name="Normal 4 3 2 2 2 2 2 4 2 3" xfId="12355" xr:uid="{4D1C2F18-A416-4FC7-B761-11D9E2EB02F6}"/>
    <cellStyle name="Normal 4 3 2 2 2 2 2 4 3" xfId="5986" xr:uid="{00000000-0005-0000-0000-000018140000}"/>
    <cellStyle name="Normal 4 3 2 2 2 2 2 4 3 2" xfId="14428" xr:uid="{AF35AD74-32BF-4523-9CA3-B9F81A5BF3B3}"/>
    <cellStyle name="Normal 4 3 2 2 2 2 2 4 4" xfId="10210" xr:uid="{C5DF1C7C-785F-4EF5-AF21-CC438876F0B1}"/>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86A1905E-ED17-4FE6-9FFA-89290162D5CB}"/>
    <cellStyle name="Normal 4 3 2 2 2 2 2 5 2 3" xfId="12768" xr:uid="{693F1055-8272-4E7C-8FB7-CADE81C1F556}"/>
    <cellStyle name="Normal 4 3 2 2 2 2 2 5 3" xfId="6399" xr:uid="{00000000-0005-0000-0000-00001C140000}"/>
    <cellStyle name="Normal 4 3 2 2 2 2 2 5 3 2" xfId="14841" xr:uid="{0E8DBB38-FB47-4A04-826A-AA0C26FDB0EB}"/>
    <cellStyle name="Normal 4 3 2 2 2 2 2 5 4" xfId="10623" xr:uid="{AB133AA2-6A93-4D4D-B153-6D19AC884669}"/>
    <cellStyle name="Normal 4 3 2 2 2 2 2 6" xfId="2528" xr:uid="{00000000-0005-0000-0000-00001D140000}"/>
    <cellStyle name="Normal 4 3 2 2 2 2 2 6 2" xfId="6812" xr:uid="{00000000-0005-0000-0000-00001E140000}"/>
    <cellStyle name="Normal 4 3 2 2 2 2 2 6 2 2" xfId="15254" xr:uid="{28F5ACB2-1406-4BE4-9813-BDD891225049}"/>
    <cellStyle name="Normal 4 3 2 2 2 2 2 6 3" xfId="11036" xr:uid="{780EE53C-E04E-44E5-94CD-EC94A2840744}"/>
    <cellStyle name="Normal 4 3 2 2 2 2 2 7" xfId="4747" xr:uid="{00000000-0005-0000-0000-00001F140000}"/>
    <cellStyle name="Normal 4 3 2 2 2 2 2 7 2" xfId="13189" xr:uid="{2D665A34-28E3-4FEA-BAB0-F8AC2824DC65}"/>
    <cellStyle name="Normal 4 3 2 2 2 2 2 8" xfId="8971" xr:uid="{4E6AD112-5432-4CAE-A6EE-2F837D7CE3BA}"/>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03BEE71D-9F34-4796-83B0-B7DB82AA2DA2}"/>
    <cellStyle name="Normal 4 3 2 2 2 2 3 2 3" xfId="11528" xr:uid="{D9886729-C248-4714-9DFB-4043F7EFC826}"/>
    <cellStyle name="Normal 4 3 2 2 2 2 3 3" xfId="5159" xr:uid="{00000000-0005-0000-0000-000023140000}"/>
    <cellStyle name="Normal 4 3 2 2 2 2 3 3 2" xfId="13601" xr:uid="{76274048-D7D4-4920-9626-D82CA99D97A1}"/>
    <cellStyle name="Normal 4 3 2 2 2 2 3 4" xfId="9383" xr:uid="{ECF9BC04-94DE-48C9-8B31-6764813C3C81}"/>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DECCF4DF-5A24-4623-996F-CE6119E9C415}"/>
    <cellStyle name="Normal 4 3 2 2 2 2 4 2 3" xfId="11941" xr:uid="{933AEB9E-A615-460F-860A-F24B1219FB3B}"/>
    <cellStyle name="Normal 4 3 2 2 2 2 4 3" xfId="5572" xr:uid="{00000000-0005-0000-0000-000027140000}"/>
    <cellStyle name="Normal 4 3 2 2 2 2 4 3 2" xfId="14014" xr:uid="{7008B52D-7FB6-4D87-9901-6C7C26157D40}"/>
    <cellStyle name="Normal 4 3 2 2 2 2 4 4" xfId="9796" xr:uid="{211A0F9A-F533-4E35-993A-AD6876F2CB11}"/>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A5F1C048-7D74-4F66-92D2-C665C1487E99}"/>
    <cellStyle name="Normal 4 3 2 2 2 2 5 2 3" xfId="12354" xr:uid="{067BB703-F8E6-402F-99DA-A4EB307DD62B}"/>
    <cellStyle name="Normal 4 3 2 2 2 2 5 3" xfId="5985" xr:uid="{00000000-0005-0000-0000-00002B140000}"/>
    <cellStyle name="Normal 4 3 2 2 2 2 5 3 2" xfId="14427" xr:uid="{B0A91C34-0B7B-4CC4-984E-E5BAB31752FB}"/>
    <cellStyle name="Normal 4 3 2 2 2 2 5 4" xfId="10209" xr:uid="{6365D573-024D-4CDD-AAF0-2D24F4C6DBA7}"/>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EDDB318F-1BF8-4B1C-9839-95E5D5A9C09F}"/>
    <cellStyle name="Normal 4 3 2 2 2 2 6 2 3" xfId="12767" xr:uid="{0B3C5447-023F-4B23-B646-AA070D54C7D7}"/>
    <cellStyle name="Normal 4 3 2 2 2 2 6 3" xfId="6398" xr:uid="{00000000-0005-0000-0000-00002F140000}"/>
    <cellStyle name="Normal 4 3 2 2 2 2 6 3 2" xfId="14840" xr:uid="{7561A0E8-091F-41A2-8874-CA8025591104}"/>
    <cellStyle name="Normal 4 3 2 2 2 2 6 4" xfId="10622" xr:uid="{D4525DD3-92BB-4108-8625-6624210D591F}"/>
    <cellStyle name="Normal 4 3 2 2 2 2 7" xfId="2527" xr:uid="{00000000-0005-0000-0000-000030140000}"/>
    <cellStyle name="Normal 4 3 2 2 2 2 7 2" xfId="6811" xr:uid="{00000000-0005-0000-0000-000031140000}"/>
    <cellStyle name="Normal 4 3 2 2 2 2 7 2 2" xfId="15253" xr:uid="{F50841B8-F2DB-486A-A3BD-4D5A547AA541}"/>
    <cellStyle name="Normal 4 3 2 2 2 2 7 3" xfId="11035" xr:uid="{C78FA907-D126-4387-AAF4-0B97F6A3A092}"/>
    <cellStyle name="Normal 4 3 2 2 2 2 8" xfId="4746" xr:uid="{00000000-0005-0000-0000-000032140000}"/>
    <cellStyle name="Normal 4 3 2 2 2 2 8 2" xfId="13188" xr:uid="{9A673936-AF38-4DAF-B27C-2B101BD07716}"/>
    <cellStyle name="Normal 4 3 2 2 2 2 9" xfId="8970" xr:uid="{D66AC779-F268-4FE8-BC94-EA47C785E724}"/>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E07BDCDD-5E57-4BB5-AE16-C67957A664D5}"/>
    <cellStyle name="Normal 4 3 2 2 2 3 2 2 3" xfId="11530" xr:uid="{95F8C06E-C947-4D32-B089-5EE476864E5B}"/>
    <cellStyle name="Normal 4 3 2 2 2 3 2 3" xfId="5161" xr:uid="{00000000-0005-0000-0000-000037140000}"/>
    <cellStyle name="Normal 4 3 2 2 2 3 2 3 2" xfId="13603" xr:uid="{DAE79D9B-6C89-4BD2-BA5A-C9485577C748}"/>
    <cellStyle name="Normal 4 3 2 2 2 3 2 4" xfId="9385" xr:uid="{E6C84142-B600-4784-A538-16D0823E1963}"/>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581F4441-801D-49A4-94D9-29A2859D2880}"/>
    <cellStyle name="Normal 4 3 2 2 2 3 3 2 3" xfId="11943" xr:uid="{F7042DEE-F149-4A83-AB09-AD38D64F6D29}"/>
    <cellStyle name="Normal 4 3 2 2 2 3 3 3" xfId="5574" xr:uid="{00000000-0005-0000-0000-00003B140000}"/>
    <cellStyle name="Normal 4 3 2 2 2 3 3 3 2" xfId="14016" xr:uid="{68DC4BC1-041B-4386-BE54-2709C6DE9D4B}"/>
    <cellStyle name="Normal 4 3 2 2 2 3 3 4" xfId="9798" xr:uid="{381F2DC7-4D8A-4C8F-829D-882CC9535EF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A944B2E3-B5CF-43C1-B621-D258B0ADDAE5}"/>
    <cellStyle name="Normal 4 3 2 2 2 3 4 2 3" xfId="12356" xr:uid="{53AE24F4-C41A-4B68-8730-2629313BBE0A}"/>
    <cellStyle name="Normal 4 3 2 2 2 3 4 3" xfId="5987" xr:uid="{00000000-0005-0000-0000-00003F140000}"/>
    <cellStyle name="Normal 4 3 2 2 2 3 4 3 2" xfId="14429" xr:uid="{5315BCDA-4618-4AE9-A441-A9D377138BDA}"/>
    <cellStyle name="Normal 4 3 2 2 2 3 4 4" xfId="10211" xr:uid="{A361AE39-E84A-4582-9CA1-06589E7B379C}"/>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0EDA0C2A-733D-41C8-B74F-26957579521A}"/>
    <cellStyle name="Normal 4 3 2 2 2 3 5 2 3" xfId="12769" xr:uid="{64CEDFC9-5EF7-4D5E-9B38-71838EF7D062}"/>
    <cellStyle name="Normal 4 3 2 2 2 3 5 3" xfId="6400" xr:uid="{00000000-0005-0000-0000-000043140000}"/>
    <cellStyle name="Normal 4 3 2 2 2 3 5 3 2" xfId="14842" xr:uid="{BDFE8CB6-561E-4FDC-B9F1-D2BEC7CE1130}"/>
    <cellStyle name="Normal 4 3 2 2 2 3 5 4" xfId="10624" xr:uid="{01433351-ED2D-4C9F-A22D-DC92EE3FC522}"/>
    <cellStyle name="Normal 4 3 2 2 2 3 6" xfId="2529" xr:uid="{00000000-0005-0000-0000-000044140000}"/>
    <cellStyle name="Normal 4 3 2 2 2 3 6 2" xfId="6813" xr:uid="{00000000-0005-0000-0000-000045140000}"/>
    <cellStyle name="Normal 4 3 2 2 2 3 6 2 2" xfId="15255" xr:uid="{9617CFE2-7FC7-4C69-8975-0EFC83F6FDAC}"/>
    <cellStyle name="Normal 4 3 2 2 2 3 6 3" xfId="11037" xr:uid="{4C9E9D90-4456-4409-BA26-FB9D69E37BB4}"/>
    <cellStyle name="Normal 4 3 2 2 2 3 7" xfId="4748" xr:uid="{00000000-0005-0000-0000-000046140000}"/>
    <cellStyle name="Normal 4 3 2 2 2 3 7 2" xfId="13190" xr:uid="{FCA053D9-DB2B-41DF-993E-B6A19D05633B}"/>
    <cellStyle name="Normal 4 3 2 2 2 3 8" xfId="8972" xr:uid="{0AE29002-22E2-4A5F-B8BF-AAC2B54C4255}"/>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FE2AE1BD-C7E4-4AA1-828F-AEB3CCA04A8D}"/>
    <cellStyle name="Normal 4 3 2 2 2 4 2 3" xfId="11527" xr:uid="{0CF92354-F553-4A61-ACAF-E1C59E41DE49}"/>
    <cellStyle name="Normal 4 3 2 2 2 4 3" xfId="5158" xr:uid="{00000000-0005-0000-0000-00004A140000}"/>
    <cellStyle name="Normal 4 3 2 2 2 4 3 2" xfId="13600" xr:uid="{4C9D60CC-CB0B-4855-B9C5-41F47A9F2590}"/>
    <cellStyle name="Normal 4 3 2 2 2 4 4" xfId="9382" xr:uid="{20F7B5BC-0C84-4C81-B9A7-33640E15EFF3}"/>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67ADCF4C-A63F-4F40-B153-35C4E0BD743A}"/>
    <cellStyle name="Normal 4 3 2 2 2 5 2 3" xfId="11940" xr:uid="{92157F3D-822C-43D3-88B7-83EA92ED3D15}"/>
    <cellStyle name="Normal 4 3 2 2 2 5 3" xfId="5571" xr:uid="{00000000-0005-0000-0000-00004E140000}"/>
    <cellStyle name="Normal 4 3 2 2 2 5 3 2" xfId="14013" xr:uid="{15DE0EA2-17CD-4F5B-9348-C5B388F21037}"/>
    <cellStyle name="Normal 4 3 2 2 2 5 4" xfId="9795" xr:uid="{FBDD0211-B443-44FE-A43F-4BBAF4EF2398}"/>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5FC03FB5-4204-4118-88C3-3011752E5DDA}"/>
    <cellStyle name="Normal 4 3 2 2 2 6 2 3" xfId="12353" xr:uid="{C3174DA5-34EF-4955-83DC-E2A1D5E0451C}"/>
    <cellStyle name="Normal 4 3 2 2 2 6 3" xfId="5984" xr:uid="{00000000-0005-0000-0000-000052140000}"/>
    <cellStyle name="Normal 4 3 2 2 2 6 3 2" xfId="14426" xr:uid="{087BA7DB-3C59-4A3C-A15A-AAF50FBA93BE}"/>
    <cellStyle name="Normal 4 3 2 2 2 6 4" xfId="10208" xr:uid="{B67A2F59-66D7-4581-9062-E5E1654980A7}"/>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242C9A04-52C7-49E6-A693-FD16DE594C1D}"/>
    <cellStyle name="Normal 4 3 2 2 2 7 2 3" xfId="12766" xr:uid="{3199A82B-8BBC-459F-B99B-F265148167FE}"/>
    <cellStyle name="Normal 4 3 2 2 2 7 3" xfId="6397" xr:uid="{00000000-0005-0000-0000-000056140000}"/>
    <cellStyle name="Normal 4 3 2 2 2 7 3 2" xfId="14839" xr:uid="{61273F44-58E5-498B-B542-34C0B697C37C}"/>
    <cellStyle name="Normal 4 3 2 2 2 7 4" xfId="10621" xr:uid="{EB3EA432-8ED1-4A00-9B38-3C08EC8858C6}"/>
    <cellStyle name="Normal 4 3 2 2 2 8" xfId="2526" xr:uid="{00000000-0005-0000-0000-000057140000}"/>
    <cellStyle name="Normal 4 3 2 2 2 8 2" xfId="6810" xr:uid="{00000000-0005-0000-0000-000058140000}"/>
    <cellStyle name="Normal 4 3 2 2 2 8 2 2" xfId="15252" xr:uid="{B5F9C13B-5028-4B19-B1E0-FFE36BE5872B}"/>
    <cellStyle name="Normal 4 3 2 2 2 8 3" xfId="11034" xr:uid="{3845751A-57EC-4E40-B242-0C3D804592C5}"/>
    <cellStyle name="Normal 4 3 2 2 2 9" xfId="4745" xr:uid="{00000000-0005-0000-0000-000059140000}"/>
    <cellStyle name="Normal 4 3 2 2 2 9 2" xfId="13187" xr:uid="{DCBA06B5-9D0D-4007-BFF6-2BD8BADFB2EA}"/>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0738E20A-84E4-450F-A770-1A881F3D5886}"/>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09E72EA5-B5A3-4E88-A78D-530B20DA9812}"/>
    <cellStyle name="Normal 4 3 3 2 2 2 2 3" xfId="11533" xr:uid="{C6C147A3-BBDF-48AE-AC56-038FA10FEAA3}"/>
    <cellStyle name="Normal 4 3 3 2 2 2 3" xfId="5164" xr:uid="{00000000-0005-0000-0000-000063140000}"/>
    <cellStyle name="Normal 4 3 3 2 2 2 3 2" xfId="13606" xr:uid="{80C7C3A4-B669-4D7E-8976-F5B0EFE569B0}"/>
    <cellStyle name="Normal 4 3 3 2 2 2 4" xfId="9388" xr:uid="{59155895-87B7-4A97-ADD5-0DA8E7DD54CF}"/>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A3E6E7E7-0CAD-471B-8C08-63212C2E3AD8}"/>
    <cellStyle name="Normal 4 3 3 2 2 3 2 3" xfId="11946" xr:uid="{75E3FFE6-E907-4E1B-87A9-E1750D9A0207}"/>
    <cellStyle name="Normal 4 3 3 2 2 3 3" xfId="5577" xr:uid="{00000000-0005-0000-0000-000067140000}"/>
    <cellStyle name="Normal 4 3 3 2 2 3 3 2" xfId="14019" xr:uid="{688B6A5C-E442-4D03-8655-6BE62BD1EA70}"/>
    <cellStyle name="Normal 4 3 3 2 2 3 4" xfId="9801" xr:uid="{7443586B-F7EC-48B5-8CE0-37D28F1F2ED5}"/>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45EAC4CD-2D17-4185-80F5-94C676D07B78}"/>
    <cellStyle name="Normal 4 3 3 2 2 4 2 3" xfId="12359" xr:uid="{FB7DA359-5419-4BCD-9364-540FB894DB66}"/>
    <cellStyle name="Normal 4 3 3 2 2 4 3" xfId="5990" xr:uid="{00000000-0005-0000-0000-00006B140000}"/>
    <cellStyle name="Normal 4 3 3 2 2 4 3 2" xfId="14432" xr:uid="{3BC811FD-5393-483A-9E8C-68B3350AF178}"/>
    <cellStyle name="Normal 4 3 3 2 2 4 4" xfId="10214" xr:uid="{1E29C243-05C7-43DC-A7C7-A19B09FD120A}"/>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AFAD5237-61DF-4094-9748-847B6CF8061F}"/>
    <cellStyle name="Normal 4 3 3 2 2 5 2 3" xfId="12772" xr:uid="{5D90F516-D86F-4C0E-99A5-C51ED37C10B0}"/>
    <cellStyle name="Normal 4 3 3 2 2 5 3" xfId="6403" xr:uid="{00000000-0005-0000-0000-00006F140000}"/>
    <cellStyle name="Normal 4 3 3 2 2 5 3 2" xfId="14845" xr:uid="{8DA1D74B-5A9D-44BB-9EDB-A801EFABAE41}"/>
    <cellStyle name="Normal 4 3 3 2 2 5 4" xfId="10627" xr:uid="{6E347B35-A0BF-41D8-A4FE-200F35F2064C}"/>
    <cellStyle name="Normal 4 3 3 2 2 6" xfId="2532" xr:uid="{00000000-0005-0000-0000-000070140000}"/>
    <cellStyle name="Normal 4 3 3 2 2 6 2" xfId="6816" xr:uid="{00000000-0005-0000-0000-000071140000}"/>
    <cellStyle name="Normal 4 3 3 2 2 6 2 2" xfId="15258" xr:uid="{CFE34D2E-886B-4825-BB8D-A464957D2FF1}"/>
    <cellStyle name="Normal 4 3 3 2 2 6 3" xfId="11040" xr:uid="{574443BC-BD5A-4E1D-8191-30B6C432BDF7}"/>
    <cellStyle name="Normal 4 3 3 2 2 7" xfId="4751" xr:uid="{00000000-0005-0000-0000-000072140000}"/>
    <cellStyle name="Normal 4 3 3 2 2 7 2" xfId="13193" xr:uid="{229B87CE-ECAF-428D-AF98-A5DBA6449AC5}"/>
    <cellStyle name="Normal 4 3 3 2 2 8" xfId="8975" xr:uid="{8AF72313-FC3B-42E8-B352-1F823A45C69D}"/>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7C36158A-ADE5-46C5-BFFB-51151045B96F}"/>
    <cellStyle name="Normal 4 3 3 2 3 2 3" xfId="11532" xr:uid="{BB7743DA-8FAF-443D-B8D3-0D0C935F26A6}"/>
    <cellStyle name="Normal 4 3 3 2 3 3" xfId="5163" xr:uid="{00000000-0005-0000-0000-000076140000}"/>
    <cellStyle name="Normal 4 3 3 2 3 3 2" xfId="13605" xr:uid="{C2E6F9E8-D235-41E3-8976-1AD11D96D5D2}"/>
    <cellStyle name="Normal 4 3 3 2 3 4" xfId="9387" xr:uid="{8788AB11-0BA9-4895-BF19-FAE3B7F234F0}"/>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7F5787DC-364B-4CF6-A0C4-DEA7D4424587}"/>
    <cellStyle name="Normal 4 3 3 2 4 2 3" xfId="11945" xr:uid="{600522D0-45EB-4D9A-B225-529EAFD2EB50}"/>
    <cellStyle name="Normal 4 3 3 2 4 3" xfId="5576" xr:uid="{00000000-0005-0000-0000-00007A140000}"/>
    <cellStyle name="Normal 4 3 3 2 4 3 2" xfId="14018" xr:uid="{373E7184-1852-4C4C-8EC9-5FAFF510F0E0}"/>
    <cellStyle name="Normal 4 3 3 2 4 4" xfId="9800" xr:uid="{421D27B3-87DD-43A8-BFC4-A4A9FBF0297E}"/>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BAC8F6E9-45DD-4C20-881A-1FB10094A4E5}"/>
    <cellStyle name="Normal 4 3 3 2 5 2 3" xfId="12358" xr:uid="{E9B73D99-2FDE-4143-9873-BCDFBCDF53A4}"/>
    <cellStyle name="Normal 4 3 3 2 5 3" xfId="5989" xr:uid="{00000000-0005-0000-0000-00007E140000}"/>
    <cellStyle name="Normal 4 3 3 2 5 3 2" xfId="14431" xr:uid="{D3587D70-40AC-4328-8D49-FF03E0395226}"/>
    <cellStyle name="Normal 4 3 3 2 5 4" xfId="10213" xr:uid="{DE0CAEA5-8627-4D53-9DF2-FA91F037E169}"/>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BFDA4E57-55D8-412D-AB3F-CBF90B9BF1FE}"/>
    <cellStyle name="Normal 4 3 3 2 6 2 3" xfId="12771" xr:uid="{0753C3ED-D3C2-4BA3-A221-ECE5625A12EB}"/>
    <cellStyle name="Normal 4 3 3 2 6 3" xfId="6402" xr:uid="{00000000-0005-0000-0000-000082140000}"/>
    <cellStyle name="Normal 4 3 3 2 6 3 2" xfId="14844" xr:uid="{495A4A5D-5D3E-4E81-8C44-5CDC235DAB1C}"/>
    <cellStyle name="Normal 4 3 3 2 6 4" xfId="10626" xr:uid="{6D614F66-FFB4-46BB-BB26-4120490F2CF9}"/>
    <cellStyle name="Normal 4 3 3 2 7" xfId="2531" xr:uid="{00000000-0005-0000-0000-000083140000}"/>
    <cellStyle name="Normal 4 3 3 2 7 2" xfId="6815" xr:uid="{00000000-0005-0000-0000-000084140000}"/>
    <cellStyle name="Normal 4 3 3 2 7 2 2" xfId="15257" xr:uid="{20EE9340-2504-4B96-949E-97B058247275}"/>
    <cellStyle name="Normal 4 3 3 2 7 3" xfId="11039" xr:uid="{7034F206-93E8-42FF-8C99-2268C95585E1}"/>
    <cellStyle name="Normal 4 3 3 2 8" xfId="4750" xr:uid="{00000000-0005-0000-0000-000085140000}"/>
    <cellStyle name="Normal 4 3 3 2 8 2" xfId="13192" xr:uid="{EE5C6C8B-28E3-41CA-A9EE-BAAB30DE8E16}"/>
    <cellStyle name="Normal 4 3 3 2 9" xfId="8974" xr:uid="{AB666427-0B92-4CE9-9033-B645A76D9B99}"/>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8C7DF486-BF45-4C8C-A65F-A2F89E22F029}"/>
    <cellStyle name="Normal 4 3 3 3 2 2 3" xfId="11534" xr:uid="{5A846B24-C63C-4B6E-A429-C39CE695E40E}"/>
    <cellStyle name="Normal 4 3 3 3 2 3" xfId="5165" xr:uid="{00000000-0005-0000-0000-00008A140000}"/>
    <cellStyle name="Normal 4 3 3 3 2 3 2" xfId="13607" xr:uid="{71C4068E-6168-4126-A7E3-1F454DB7CDA7}"/>
    <cellStyle name="Normal 4 3 3 3 2 4" xfId="9389" xr:uid="{B9176C0E-94DB-4179-A612-72DEF60B434C}"/>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C934A1E1-9DEC-44FE-8E4A-407F9AC2B420}"/>
    <cellStyle name="Normal 4 3 3 3 3 2 3" xfId="11947" xr:uid="{1C1BC598-529E-47EE-B940-FEB3A6185A0E}"/>
    <cellStyle name="Normal 4 3 3 3 3 3" xfId="5578" xr:uid="{00000000-0005-0000-0000-00008E140000}"/>
    <cellStyle name="Normal 4 3 3 3 3 3 2" xfId="14020" xr:uid="{4BB3237D-D5B0-43FD-819E-C386B6EF6D40}"/>
    <cellStyle name="Normal 4 3 3 3 3 4" xfId="9802" xr:uid="{527B982C-20CA-4547-8415-DFCA04EF2C90}"/>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150E0D8F-4A18-4FDF-8E66-E6100C522AC8}"/>
    <cellStyle name="Normal 4 3 3 3 4 2 3" xfId="12360" xr:uid="{735AB07F-B801-4787-BA0D-248B591C8FE9}"/>
    <cellStyle name="Normal 4 3 3 3 4 3" xfId="5991" xr:uid="{00000000-0005-0000-0000-000092140000}"/>
    <cellStyle name="Normal 4 3 3 3 4 3 2" xfId="14433" xr:uid="{B3FC7D1E-BB75-42A9-ABCB-9EA7DAEF2218}"/>
    <cellStyle name="Normal 4 3 3 3 4 4" xfId="10215" xr:uid="{9F844147-C4EE-48D4-8E42-83591AB0FB8A}"/>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B8802893-9DD5-4E40-9734-B112FB7D3EB6}"/>
    <cellStyle name="Normal 4 3 3 3 5 2 3" xfId="12773" xr:uid="{569A5F6F-4DD3-4B93-B44D-6556F0B244A8}"/>
    <cellStyle name="Normal 4 3 3 3 5 3" xfId="6404" xr:uid="{00000000-0005-0000-0000-000096140000}"/>
    <cellStyle name="Normal 4 3 3 3 5 3 2" xfId="14846" xr:uid="{0F686D7F-7117-4D14-8A62-7B4D1A4A4BFA}"/>
    <cellStyle name="Normal 4 3 3 3 5 4" xfId="10628" xr:uid="{3AF5FD6C-3E86-4620-A996-CAB108CCDE38}"/>
    <cellStyle name="Normal 4 3 3 3 6" xfId="2533" xr:uid="{00000000-0005-0000-0000-000097140000}"/>
    <cellStyle name="Normal 4 3 3 3 6 2" xfId="6817" xr:uid="{00000000-0005-0000-0000-000098140000}"/>
    <cellStyle name="Normal 4 3 3 3 6 2 2" xfId="15259" xr:uid="{91D42CDD-964E-4E4D-A61B-C82BC6CEE48B}"/>
    <cellStyle name="Normal 4 3 3 3 6 3" xfId="11041" xr:uid="{BDCA222B-A373-47C0-996D-54D567605DBE}"/>
    <cellStyle name="Normal 4 3 3 3 7" xfId="4752" xr:uid="{00000000-0005-0000-0000-000099140000}"/>
    <cellStyle name="Normal 4 3 3 3 7 2" xfId="13194" xr:uid="{332514A0-09E1-43D7-AD68-1609E2D445B9}"/>
    <cellStyle name="Normal 4 3 3 3 8" xfId="8976" xr:uid="{FA9AF8E3-63EF-4FFD-A277-B834420EE18C}"/>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317A67E5-78E2-4E1D-B535-C2D8C1238BF3}"/>
    <cellStyle name="Normal 4 3 3 4 2 3" xfId="11531" xr:uid="{1B109E9C-C884-44F8-9C40-03FBFDCB6ED7}"/>
    <cellStyle name="Normal 4 3 3 4 3" xfId="5162" xr:uid="{00000000-0005-0000-0000-00009D140000}"/>
    <cellStyle name="Normal 4 3 3 4 3 2" xfId="13604" xr:uid="{3DC58FBB-010B-4116-8B9D-41C78A5A1035}"/>
    <cellStyle name="Normal 4 3 3 4 4" xfId="9386" xr:uid="{D6EF70EC-54B1-4147-83CE-BA709B803760}"/>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7819DE1A-3EA5-44D6-B59E-CE380E6F5286}"/>
    <cellStyle name="Normal 4 3 3 5 2 3" xfId="11944" xr:uid="{603DA4FC-80EC-4725-B6AE-C25A4A898CCA}"/>
    <cellStyle name="Normal 4 3 3 5 3" xfId="5575" xr:uid="{00000000-0005-0000-0000-0000A1140000}"/>
    <cellStyle name="Normal 4 3 3 5 3 2" xfId="14017" xr:uid="{C2117D32-4210-4617-AE11-0CA3573E5D7D}"/>
    <cellStyle name="Normal 4 3 3 5 4" xfId="9799" xr:uid="{2145B6FA-E099-444E-BB28-689955E7DEE8}"/>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B99D6AE9-B5BC-4135-9BD0-77F1D259595E}"/>
    <cellStyle name="Normal 4 3 3 6 2 3" xfId="12357" xr:uid="{C3231799-5BEF-47F4-BA77-D2B33D1AA566}"/>
    <cellStyle name="Normal 4 3 3 6 3" xfId="5988" xr:uid="{00000000-0005-0000-0000-0000A5140000}"/>
    <cellStyle name="Normal 4 3 3 6 3 2" xfId="14430" xr:uid="{C090592C-1AC0-4C17-9C5D-F4AD1992588E}"/>
    <cellStyle name="Normal 4 3 3 6 4" xfId="10212" xr:uid="{B7280455-8E3B-4319-829D-E752ECE4AE27}"/>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83CFA6F4-709F-42FE-8233-1EC97F1A9718}"/>
    <cellStyle name="Normal 4 3 3 7 2 3" xfId="12770" xr:uid="{E09EB3C8-5BB7-499A-B83F-66F6F61CE055}"/>
    <cellStyle name="Normal 4 3 3 7 3" xfId="6401" xr:uid="{00000000-0005-0000-0000-0000A9140000}"/>
    <cellStyle name="Normal 4 3 3 7 3 2" xfId="14843" xr:uid="{A5D1834D-4750-421F-804E-B691FB578FC1}"/>
    <cellStyle name="Normal 4 3 3 7 4" xfId="10625" xr:uid="{7F95F7B7-F98E-480B-A380-D29FF7D01A6C}"/>
    <cellStyle name="Normal 4 3 3 8" xfId="2530" xr:uid="{00000000-0005-0000-0000-0000AA140000}"/>
    <cellStyle name="Normal 4 3 3 8 2" xfId="6814" xr:uid="{00000000-0005-0000-0000-0000AB140000}"/>
    <cellStyle name="Normal 4 3 3 8 2 2" xfId="15256" xr:uid="{67E5D95B-ED69-4FEA-90CF-55C625FA29AD}"/>
    <cellStyle name="Normal 4 3 3 8 3" xfId="11038" xr:uid="{8723EB9B-B00C-4F2D-B746-5B9B8A85047C}"/>
    <cellStyle name="Normal 4 3 3 9" xfId="4749" xr:uid="{00000000-0005-0000-0000-0000AC140000}"/>
    <cellStyle name="Normal 4 3 3 9 2" xfId="13191" xr:uid="{E9FC62C3-05D3-4E96-8219-1B123718D585}"/>
    <cellStyle name="Normal 4 3 4" xfId="842" xr:uid="{00000000-0005-0000-0000-0000AD140000}"/>
    <cellStyle name="Normal 4 3 4 2" xfId="3079" xr:uid="{00000000-0005-0000-0000-0000AE140000}"/>
    <cellStyle name="Normal 4 3 4 2 2" xfId="7302" xr:uid="{00000000-0005-0000-0000-0000AF140000}"/>
    <cellStyle name="Normal 4 3 4 2 2 2" xfId="15744" xr:uid="{FED26746-F61A-441E-A0CA-E7E5273B4811}"/>
    <cellStyle name="Normal 4 3 4 2 3" xfId="11526" xr:uid="{0FA3D8E0-1EA3-4564-B2FE-F41264C13620}"/>
    <cellStyle name="Normal 4 3 4 3" xfId="5157" xr:uid="{00000000-0005-0000-0000-0000B0140000}"/>
    <cellStyle name="Normal 4 3 4 3 2" xfId="13599" xr:uid="{4E2FC2A3-8CBD-4F36-A96D-6B4DA993BD15}"/>
    <cellStyle name="Normal 4 3 4 4" xfId="9381" xr:uid="{36D2E5A2-7E01-4429-B95B-805AFFFB8F82}"/>
    <cellStyle name="Normal 4 3 5" xfId="1262" xr:uid="{00000000-0005-0000-0000-0000B1140000}"/>
    <cellStyle name="Normal 4 3 5 2" xfId="3492" xr:uid="{00000000-0005-0000-0000-0000B2140000}"/>
    <cellStyle name="Normal 4 3 5 2 2" xfId="7715" xr:uid="{00000000-0005-0000-0000-0000B3140000}"/>
    <cellStyle name="Normal 4 3 5 2 2 2" xfId="16157" xr:uid="{FA1ACB3D-2E8A-45A3-8E7C-8044734137DD}"/>
    <cellStyle name="Normal 4 3 5 2 3" xfId="11939" xr:uid="{E3302C31-F8EC-4711-A7E7-832BA72948D2}"/>
    <cellStyle name="Normal 4 3 5 3" xfId="5570" xr:uid="{00000000-0005-0000-0000-0000B4140000}"/>
    <cellStyle name="Normal 4 3 5 3 2" xfId="14012" xr:uid="{02F2D6BD-0878-4D3D-A8F9-C826D18D6269}"/>
    <cellStyle name="Normal 4 3 5 4" xfId="9794" xr:uid="{C8DACA13-B98C-46DC-A150-0474D7AB6FD8}"/>
    <cellStyle name="Normal 4 3 6" xfId="1675" xr:uid="{00000000-0005-0000-0000-0000B5140000}"/>
    <cellStyle name="Normal 4 3 6 2" xfId="3905" xr:uid="{00000000-0005-0000-0000-0000B6140000}"/>
    <cellStyle name="Normal 4 3 6 2 2" xfId="8128" xr:uid="{00000000-0005-0000-0000-0000B7140000}"/>
    <cellStyle name="Normal 4 3 6 2 2 2" xfId="16570" xr:uid="{4E1D5594-0D67-49A5-B72C-9E15A154FAC0}"/>
    <cellStyle name="Normal 4 3 6 2 3" xfId="12352" xr:uid="{719D718A-8701-4320-B046-4C1BB03A04B3}"/>
    <cellStyle name="Normal 4 3 6 3" xfId="5983" xr:uid="{00000000-0005-0000-0000-0000B8140000}"/>
    <cellStyle name="Normal 4 3 6 3 2" xfId="14425" xr:uid="{303B6488-459F-4EFC-8DAC-8CE8F8225E6F}"/>
    <cellStyle name="Normal 4 3 6 4" xfId="10207" xr:uid="{BE4B97FE-4F70-4F75-BD1C-E8B320DD1158}"/>
    <cellStyle name="Normal 4 3 7" xfId="2089" xr:uid="{00000000-0005-0000-0000-0000B9140000}"/>
    <cellStyle name="Normal 4 3 7 2" xfId="4318" xr:uid="{00000000-0005-0000-0000-0000BA140000}"/>
    <cellStyle name="Normal 4 3 7 2 2" xfId="8541" xr:uid="{00000000-0005-0000-0000-0000BB140000}"/>
    <cellStyle name="Normal 4 3 7 2 2 2" xfId="16983" xr:uid="{E8F4BF9D-C228-4E8B-B737-2877CCB95C94}"/>
    <cellStyle name="Normal 4 3 7 2 3" xfId="12765" xr:uid="{B33AEB67-FD6A-41E7-A4B1-FDF66BBBB927}"/>
    <cellStyle name="Normal 4 3 7 3" xfId="6396" xr:uid="{00000000-0005-0000-0000-0000BC140000}"/>
    <cellStyle name="Normal 4 3 7 3 2" xfId="14838" xr:uid="{B62D9F0A-FBC9-407A-B342-9BCB19CAFE71}"/>
    <cellStyle name="Normal 4 3 7 4" xfId="10620" xr:uid="{3B279F5E-43FA-4C46-9376-28962D0990D7}"/>
    <cellStyle name="Normal 4 3 8" xfId="2525" xr:uid="{00000000-0005-0000-0000-0000BD140000}"/>
    <cellStyle name="Normal 4 3 8 2" xfId="6809" xr:uid="{00000000-0005-0000-0000-0000BE140000}"/>
    <cellStyle name="Normal 4 3 8 2 2" xfId="15251" xr:uid="{1DD8DBCE-EF55-4233-ADCB-F86840311F44}"/>
    <cellStyle name="Normal 4 3 8 3" xfId="11033" xr:uid="{2A67716F-00C0-4F9F-9CD0-02F2E32B3695}"/>
    <cellStyle name="Normal 4 3 9" xfId="4744" xr:uid="{00000000-0005-0000-0000-0000BF140000}"/>
    <cellStyle name="Normal 4 3 9 2" xfId="13186" xr:uid="{DB38ED2B-5C81-4BB2-9952-B45FC0B32E76}"/>
    <cellStyle name="Normal 4 4" xfId="378" xr:uid="{00000000-0005-0000-0000-0000C0140000}"/>
    <cellStyle name="Normal 4 4 10" xfId="2534" xr:uid="{00000000-0005-0000-0000-0000C1140000}"/>
    <cellStyle name="Normal 4 4 10 2" xfId="6818" xr:uid="{00000000-0005-0000-0000-0000C2140000}"/>
    <cellStyle name="Normal 4 4 10 2 2" xfId="15260" xr:uid="{29C9DE35-33B9-44A4-839C-E86BE0E8D55A}"/>
    <cellStyle name="Normal 4 4 10 3" xfId="11042" xr:uid="{E9634E55-784A-47F1-8BB6-ED8C3B644B12}"/>
    <cellStyle name="Normal 4 4 11" xfId="4753" xr:uid="{00000000-0005-0000-0000-0000C3140000}"/>
    <cellStyle name="Normal 4 4 11 2" xfId="13195" xr:uid="{DE692C07-AC16-4561-A1EA-FE192C1630D4}"/>
    <cellStyle name="Normal 4 4 12" xfId="8977" xr:uid="{26692C3D-3747-4207-9555-9894F7F064D1}"/>
    <cellStyle name="Normal 4 4 2" xfId="379" xr:uid="{00000000-0005-0000-0000-0000C4140000}"/>
    <cellStyle name="Normal 4 4 2 10" xfId="4754" xr:uid="{00000000-0005-0000-0000-0000C5140000}"/>
    <cellStyle name="Normal 4 4 2 10 2" xfId="13196" xr:uid="{A2748D46-5728-4D39-8464-4A9A8496551B}"/>
    <cellStyle name="Normal 4 4 2 11" xfId="8978" xr:uid="{8064E6F0-531D-47E8-9FDB-CBF32185B141}"/>
    <cellStyle name="Normal 4 4 2 2" xfId="380" xr:uid="{00000000-0005-0000-0000-0000C6140000}"/>
    <cellStyle name="Normal 4 4 2 2 10" xfId="8979" xr:uid="{7F1D2F1D-441E-4E07-90AD-74B202305FAD}"/>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8A7A0C07-4A48-4628-9E66-D18394FBBE59}"/>
    <cellStyle name="Normal 4 4 2 2 2 2 2 2 3" xfId="11539" xr:uid="{55E49909-DB9D-443D-80D6-CE37A38655EC}"/>
    <cellStyle name="Normal 4 4 2 2 2 2 2 3" xfId="5170" xr:uid="{00000000-0005-0000-0000-0000CC140000}"/>
    <cellStyle name="Normal 4 4 2 2 2 2 2 3 2" xfId="13612" xr:uid="{858FF576-B497-4265-9010-F1D0192AA2D4}"/>
    <cellStyle name="Normal 4 4 2 2 2 2 2 4" xfId="9394" xr:uid="{71888E6D-F604-4DFB-92CB-05D52F62F431}"/>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AA3B425D-AE79-41A4-BA28-96E5CD6A4A8E}"/>
    <cellStyle name="Normal 4 4 2 2 2 2 3 2 3" xfId="11952" xr:uid="{5AE28F9B-474B-47B0-A764-4EC0F828482D}"/>
    <cellStyle name="Normal 4 4 2 2 2 2 3 3" xfId="5583" xr:uid="{00000000-0005-0000-0000-0000D0140000}"/>
    <cellStyle name="Normal 4 4 2 2 2 2 3 3 2" xfId="14025" xr:uid="{E91966C4-1F1B-4236-8E7F-1A609AFA5C95}"/>
    <cellStyle name="Normal 4 4 2 2 2 2 3 4" xfId="9807" xr:uid="{6F83265E-DAA8-45D5-BE8B-817D90AE82BD}"/>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4FCF6F53-2BDC-47F3-A670-F3EFBF9442E5}"/>
    <cellStyle name="Normal 4 4 2 2 2 2 4 2 3" xfId="12365" xr:uid="{6BDA00FC-DE99-48C9-9F7B-826AFDD00D81}"/>
    <cellStyle name="Normal 4 4 2 2 2 2 4 3" xfId="5996" xr:uid="{00000000-0005-0000-0000-0000D4140000}"/>
    <cellStyle name="Normal 4 4 2 2 2 2 4 3 2" xfId="14438" xr:uid="{206905A9-13F9-4024-BFB4-70DA7A36450D}"/>
    <cellStyle name="Normal 4 4 2 2 2 2 4 4" xfId="10220" xr:uid="{B9908AA9-EE85-43B5-8A28-EE397D018549}"/>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EE16FA00-60D0-4C28-990F-DD2DC8054667}"/>
    <cellStyle name="Normal 4 4 2 2 2 2 5 2 3" xfId="12778" xr:uid="{760A5C31-30B5-4B91-B58B-7965C572EEF5}"/>
    <cellStyle name="Normal 4 4 2 2 2 2 5 3" xfId="6409" xr:uid="{00000000-0005-0000-0000-0000D8140000}"/>
    <cellStyle name="Normal 4 4 2 2 2 2 5 3 2" xfId="14851" xr:uid="{36D0A058-BD83-405C-A031-EF488443CF03}"/>
    <cellStyle name="Normal 4 4 2 2 2 2 5 4" xfId="10633" xr:uid="{59D95E22-3931-4073-B21A-E0FDE13FAF41}"/>
    <cellStyle name="Normal 4 4 2 2 2 2 6" xfId="2538" xr:uid="{00000000-0005-0000-0000-0000D9140000}"/>
    <cellStyle name="Normal 4 4 2 2 2 2 6 2" xfId="6822" xr:uid="{00000000-0005-0000-0000-0000DA140000}"/>
    <cellStyle name="Normal 4 4 2 2 2 2 6 2 2" xfId="15264" xr:uid="{A198AD10-A55A-4B2F-A79B-385BBBF00AC0}"/>
    <cellStyle name="Normal 4 4 2 2 2 2 6 3" xfId="11046" xr:uid="{725FB9FA-EB13-4224-94D1-3971C1B1E56E}"/>
    <cellStyle name="Normal 4 4 2 2 2 2 7" xfId="4757" xr:uid="{00000000-0005-0000-0000-0000DB140000}"/>
    <cellStyle name="Normal 4 4 2 2 2 2 7 2" xfId="13199" xr:uid="{B762D81F-322C-41E5-A837-DAA2E5C25BF7}"/>
    <cellStyle name="Normal 4 4 2 2 2 2 8" xfId="8981" xr:uid="{C1EADCB6-B786-45B8-9811-7C0573436598}"/>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F285C2E1-EA22-4FD3-9CF2-3D46E5DA901B}"/>
    <cellStyle name="Normal 4 4 2 2 2 3 2 3" xfId="11538" xr:uid="{7F11AA8B-70A7-4B10-9256-9C9D851FA493}"/>
    <cellStyle name="Normal 4 4 2 2 2 3 3" xfId="5169" xr:uid="{00000000-0005-0000-0000-0000DF140000}"/>
    <cellStyle name="Normal 4 4 2 2 2 3 3 2" xfId="13611" xr:uid="{C96E72E6-3CF4-4DAC-881E-C7BA7D5F66D1}"/>
    <cellStyle name="Normal 4 4 2 2 2 3 4" xfId="9393" xr:uid="{A751EC0E-902C-4925-BECA-4AAC73A501BA}"/>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B7D4F6A1-A90B-4A71-BBA5-AA0A23CFE361}"/>
    <cellStyle name="Normal 4 4 2 2 2 4 2 3" xfId="11951" xr:uid="{8AB2AFB1-1397-4F80-8DA8-9703BEF2760F}"/>
    <cellStyle name="Normal 4 4 2 2 2 4 3" xfId="5582" xr:uid="{00000000-0005-0000-0000-0000E3140000}"/>
    <cellStyle name="Normal 4 4 2 2 2 4 3 2" xfId="14024" xr:uid="{F79202B6-A2D1-434A-B124-BE014779B471}"/>
    <cellStyle name="Normal 4 4 2 2 2 4 4" xfId="9806" xr:uid="{34090294-DBE0-4DAB-887D-ADDD66924FD7}"/>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436E0FA4-F393-4F30-A70A-3128323C982A}"/>
    <cellStyle name="Normal 4 4 2 2 2 5 2 3" xfId="12364" xr:uid="{9557CECC-214B-4D35-826B-15619D53F9DC}"/>
    <cellStyle name="Normal 4 4 2 2 2 5 3" xfId="5995" xr:uid="{00000000-0005-0000-0000-0000E7140000}"/>
    <cellStyle name="Normal 4 4 2 2 2 5 3 2" xfId="14437" xr:uid="{7667CEB1-2696-4CC4-B9D9-E7FC5469F62A}"/>
    <cellStyle name="Normal 4 4 2 2 2 5 4" xfId="10219" xr:uid="{03456F0B-5F9E-4CB7-B935-8749886EFED4}"/>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7D083FD6-DC9B-4C44-8DF0-332AFF467A73}"/>
    <cellStyle name="Normal 4 4 2 2 2 6 2 3" xfId="12777" xr:uid="{73F23F8A-BF18-4242-B2C8-CCF1F09281EF}"/>
    <cellStyle name="Normal 4 4 2 2 2 6 3" xfId="6408" xr:uid="{00000000-0005-0000-0000-0000EB140000}"/>
    <cellStyle name="Normal 4 4 2 2 2 6 3 2" xfId="14850" xr:uid="{51C23FE4-3C78-4759-A596-CEF9FC70DBB9}"/>
    <cellStyle name="Normal 4 4 2 2 2 6 4" xfId="10632" xr:uid="{AF668B91-6383-479C-8701-CF177249E5CD}"/>
    <cellStyle name="Normal 4 4 2 2 2 7" xfId="2537" xr:uid="{00000000-0005-0000-0000-0000EC140000}"/>
    <cellStyle name="Normal 4 4 2 2 2 7 2" xfId="6821" xr:uid="{00000000-0005-0000-0000-0000ED140000}"/>
    <cellStyle name="Normal 4 4 2 2 2 7 2 2" xfId="15263" xr:uid="{586BA16B-DBD9-499D-B463-2556CF6A47BF}"/>
    <cellStyle name="Normal 4 4 2 2 2 7 3" xfId="11045" xr:uid="{02EC8679-8540-4A7C-A06F-ACB36D9C6207}"/>
    <cellStyle name="Normal 4 4 2 2 2 8" xfId="4756" xr:uid="{00000000-0005-0000-0000-0000EE140000}"/>
    <cellStyle name="Normal 4 4 2 2 2 8 2" xfId="13198" xr:uid="{12A38F46-A37C-4096-8267-D0E58DAFBF2E}"/>
    <cellStyle name="Normal 4 4 2 2 2 9" xfId="8980" xr:uid="{01C62997-37EB-475E-9ABD-72D853739AE7}"/>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74727104-B258-495A-A300-2DECCE42D18E}"/>
    <cellStyle name="Normal 4 4 2 2 3 2 2 3" xfId="11540" xr:uid="{253EE5B0-BEF6-4D02-B85B-4D5FA36CE5B9}"/>
    <cellStyle name="Normal 4 4 2 2 3 2 3" xfId="5171" xr:uid="{00000000-0005-0000-0000-0000F3140000}"/>
    <cellStyle name="Normal 4 4 2 2 3 2 3 2" xfId="13613" xr:uid="{75B646CD-A3B7-4571-8410-682DE7056519}"/>
    <cellStyle name="Normal 4 4 2 2 3 2 4" xfId="9395" xr:uid="{29DDF66F-C34E-4371-AFF9-562064733509}"/>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B23DF7B7-AA81-475B-964B-E56DE3D0D611}"/>
    <cellStyle name="Normal 4 4 2 2 3 3 2 3" xfId="11953" xr:uid="{672B8134-4B23-4029-97E4-B01A594C510B}"/>
    <cellStyle name="Normal 4 4 2 2 3 3 3" xfId="5584" xr:uid="{00000000-0005-0000-0000-0000F7140000}"/>
    <cellStyle name="Normal 4 4 2 2 3 3 3 2" xfId="14026" xr:uid="{60C8664B-DBE8-4FB0-B1AB-88BFF243CD2A}"/>
    <cellStyle name="Normal 4 4 2 2 3 3 4" xfId="9808" xr:uid="{41809059-A02D-4BF9-A3EE-2D8573A653C4}"/>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871876FC-3B35-4BBA-B7BF-9C6CA3BC67DD}"/>
    <cellStyle name="Normal 4 4 2 2 3 4 2 3" xfId="12366" xr:uid="{B5CE22E0-5AA7-4A0E-83CC-C3D30F67074F}"/>
    <cellStyle name="Normal 4 4 2 2 3 4 3" xfId="5997" xr:uid="{00000000-0005-0000-0000-0000FB140000}"/>
    <cellStyle name="Normal 4 4 2 2 3 4 3 2" xfId="14439" xr:uid="{EF8EF3A5-5CD9-4AD8-9B7C-BB615E7515A6}"/>
    <cellStyle name="Normal 4 4 2 2 3 4 4" xfId="10221" xr:uid="{4B3CCDC4-2F10-4F42-B498-0E1005C820D3}"/>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AC181668-DF14-4A47-B8DC-722D40586D7F}"/>
    <cellStyle name="Normal 4 4 2 2 3 5 2 3" xfId="12779" xr:uid="{FC65EBFF-A726-4055-8F98-55130AEB9E28}"/>
    <cellStyle name="Normal 4 4 2 2 3 5 3" xfId="6410" xr:uid="{00000000-0005-0000-0000-0000FF140000}"/>
    <cellStyle name="Normal 4 4 2 2 3 5 3 2" xfId="14852" xr:uid="{95151219-D37D-4C8E-AF1B-8FBD3571522F}"/>
    <cellStyle name="Normal 4 4 2 2 3 5 4" xfId="10634" xr:uid="{F4AA6B17-CB19-49BE-80D0-F73A8DEF26FF}"/>
    <cellStyle name="Normal 4 4 2 2 3 6" xfId="2539" xr:uid="{00000000-0005-0000-0000-000000150000}"/>
    <cellStyle name="Normal 4 4 2 2 3 6 2" xfId="6823" xr:uid="{00000000-0005-0000-0000-000001150000}"/>
    <cellStyle name="Normal 4 4 2 2 3 6 2 2" xfId="15265" xr:uid="{E782939E-4BC4-4DD7-9933-AEDF4AD63A45}"/>
    <cellStyle name="Normal 4 4 2 2 3 6 3" xfId="11047" xr:uid="{FBCD2286-ACA6-43AF-92F1-D85F431F07C9}"/>
    <cellStyle name="Normal 4 4 2 2 3 7" xfId="4758" xr:uid="{00000000-0005-0000-0000-000002150000}"/>
    <cellStyle name="Normal 4 4 2 2 3 7 2" xfId="13200" xr:uid="{931B8F91-79A5-4449-910E-7A2E382EF3D4}"/>
    <cellStyle name="Normal 4 4 2 2 3 8" xfId="8982" xr:uid="{B3D729B7-E3A5-4AF7-A5EF-9BE87D9C4641}"/>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DE02812D-0CA8-4BFB-9814-7633270DCCF4}"/>
    <cellStyle name="Normal 4 4 2 2 4 2 3" xfId="11537" xr:uid="{B85EB9D7-06F1-498F-B622-D92EC04EC545}"/>
    <cellStyle name="Normal 4 4 2 2 4 3" xfId="5168" xr:uid="{00000000-0005-0000-0000-000006150000}"/>
    <cellStyle name="Normal 4 4 2 2 4 3 2" xfId="13610" xr:uid="{FCFF96F1-0B34-400D-99FC-20680170B6CA}"/>
    <cellStyle name="Normal 4 4 2 2 4 4" xfId="9392" xr:uid="{E14A3F05-1BE0-4E25-9F84-603C7C804871}"/>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06DBC9CD-ADBE-4DAB-B65A-4EA3E06C2B77}"/>
    <cellStyle name="Normal 4 4 2 2 5 2 3" xfId="11950" xr:uid="{D0E31332-BA5B-45D7-8109-136A1B9B520A}"/>
    <cellStyle name="Normal 4 4 2 2 5 3" xfId="5581" xr:uid="{00000000-0005-0000-0000-00000A150000}"/>
    <cellStyle name="Normal 4 4 2 2 5 3 2" xfId="14023" xr:uid="{1B56FA7D-F8CB-4D65-9734-F806D06B678D}"/>
    <cellStyle name="Normal 4 4 2 2 5 4" xfId="9805" xr:uid="{7438795C-D047-4C3B-B0F4-B0582BC2B5C9}"/>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63D2D206-92CE-4605-958D-AAD5D86083B6}"/>
    <cellStyle name="Normal 4 4 2 2 6 2 3" xfId="12363" xr:uid="{BC4BAFDC-9662-40D2-9B1B-ABC7F2CDFA04}"/>
    <cellStyle name="Normal 4 4 2 2 6 3" xfId="5994" xr:uid="{00000000-0005-0000-0000-00000E150000}"/>
    <cellStyle name="Normal 4 4 2 2 6 3 2" xfId="14436" xr:uid="{C4B5A23F-AC56-47CC-8F1F-1A06A2BFC404}"/>
    <cellStyle name="Normal 4 4 2 2 6 4" xfId="10218" xr:uid="{790C33A3-64A5-4463-A98F-F3E4EC9418C0}"/>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CD6DC11A-BEE4-42AF-8F26-1F3944A96C9C}"/>
    <cellStyle name="Normal 4 4 2 2 7 2 3" xfId="12776" xr:uid="{4EB63F45-1C56-4440-933E-FC2D50724420}"/>
    <cellStyle name="Normal 4 4 2 2 7 3" xfId="6407" xr:uid="{00000000-0005-0000-0000-000012150000}"/>
    <cellStyle name="Normal 4 4 2 2 7 3 2" xfId="14849" xr:uid="{D0EAAED9-253E-4767-8133-0A99B4CDEC68}"/>
    <cellStyle name="Normal 4 4 2 2 7 4" xfId="10631" xr:uid="{B4ACBE17-6C96-492A-A1E7-EB66892568E5}"/>
    <cellStyle name="Normal 4 4 2 2 8" xfId="2536" xr:uid="{00000000-0005-0000-0000-000013150000}"/>
    <cellStyle name="Normal 4 4 2 2 8 2" xfId="6820" xr:uid="{00000000-0005-0000-0000-000014150000}"/>
    <cellStyle name="Normal 4 4 2 2 8 2 2" xfId="15262" xr:uid="{B899BA58-DE8E-4F87-9961-5496A59887B0}"/>
    <cellStyle name="Normal 4 4 2 2 8 3" xfId="11044" xr:uid="{130077D6-1390-40F6-ADC9-47F8645D3AB3}"/>
    <cellStyle name="Normal 4 4 2 2 9" xfId="4755" xr:uid="{00000000-0005-0000-0000-000015150000}"/>
    <cellStyle name="Normal 4 4 2 2 9 2" xfId="13197" xr:uid="{AE79AC0A-610E-45CC-A5C9-F9C6C06D35B1}"/>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9D22C71F-4C6F-4878-ADBE-E4B5408D238D}"/>
    <cellStyle name="Normal 4 4 2 3 2 2 2 3" xfId="11542" xr:uid="{69772404-90A6-40FE-A055-BDB75DFCD0BD}"/>
    <cellStyle name="Normal 4 4 2 3 2 2 3" xfId="5173" xr:uid="{00000000-0005-0000-0000-00001B150000}"/>
    <cellStyle name="Normal 4 4 2 3 2 2 3 2" xfId="13615" xr:uid="{B5432ECD-D64F-4CCE-99CF-0E6774AA8F8F}"/>
    <cellStyle name="Normal 4 4 2 3 2 2 4" xfId="9397" xr:uid="{4EE718F3-CC17-4E6B-96A1-E080772014A1}"/>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F59106AF-882C-400A-A0F9-92DE1751E086}"/>
    <cellStyle name="Normal 4 4 2 3 2 3 2 3" xfId="11955" xr:uid="{8388A178-074F-4C22-8E1B-6D597BA2944C}"/>
    <cellStyle name="Normal 4 4 2 3 2 3 3" xfId="5586" xr:uid="{00000000-0005-0000-0000-00001F150000}"/>
    <cellStyle name="Normal 4 4 2 3 2 3 3 2" xfId="14028" xr:uid="{7B726BF9-7D79-47D5-8FFE-F10D9F7F1CE6}"/>
    <cellStyle name="Normal 4 4 2 3 2 3 4" xfId="9810" xr:uid="{6150B0D3-B043-4574-B4DE-22A9CA0913F7}"/>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E9223E71-73FE-408B-B537-DAD5541DD09B}"/>
    <cellStyle name="Normal 4 4 2 3 2 4 2 3" xfId="12368" xr:uid="{E112372A-5A1F-41CD-B577-C8FD57B47F6D}"/>
    <cellStyle name="Normal 4 4 2 3 2 4 3" xfId="5999" xr:uid="{00000000-0005-0000-0000-000023150000}"/>
    <cellStyle name="Normal 4 4 2 3 2 4 3 2" xfId="14441" xr:uid="{C591B3DA-75B7-4BB8-908C-EF566CA880AA}"/>
    <cellStyle name="Normal 4 4 2 3 2 4 4" xfId="10223" xr:uid="{3A9E101B-96C6-4D76-B27F-C2BB268DD877}"/>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FE6C2E43-2FFD-45AE-A78E-0F64BAFB15CD}"/>
    <cellStyle name="Normal 4 4 2 3 2 5 2 3" xfId="12781" xr:uid="{32B85B4F-7555-4D64-89E1-060BA3B12ABD}"/>
    <cellStyle name="Normal 4 4 2 3 2 5 3" xfId="6412" xr:uid="{00000000-0005-0000-0000-000027150000}"/>
    <cellStyle name="Normal 4 4 2 3 2 5 3 2" xfId="14854" xr:uid="{90C4C900-1AD8-412C-B7E4-4733FCA92CCA}"/>
    <cellStyle name="Normal 4 4 2 3 2 5 4" xfId="10636" xr:uid="{EF35C97A-4259-46ED-BCAD-961676B19550}"/>
    <cellStyle name="Normal 4 4 2 3 2 6" xfId="2541" xr:uid="{00000000-0005-0000-0000-000028150000}"/>
    <cellStyle name="Normal 4 4 2 3 2 6 2" xfId="6825" xr:uid="{00000000-0005-0000-0000-000029150000}"/>
    <cellStyle name="Normal 4 4 2 3 2 6 2 2" xfId="15267" xr:uid="{A6DD5A0C-A807-42FD-AA86-083AAC6AB2B3}"/>
    <cellStyle name="Normal 4 4 2 3 2 6 3" xfId="11049" xr:uid="{15B02D6A-2A55-4F2A-8CB7-387197EE9C35}"/>
    <cellStyle name="Normal 4 4 2 3 2 7" xfId="4760" xr:uid="{00000000-0005-0000-0000-00002A150000}"/>
    <cellStyle name="Normal 4 4 2 3 2 7 2" xfId="13202" xr:uid="{C96A6C9C-9DC6-4F89-9F0F-E37891025E31}"/>
    <cellStyle name="Normal 4 4 2 3 2 8" xfId="8984" xr:uid="{52687C6F-6398-4256-99BB-148C01A3A736}"/>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18A45DC4-F68E-4748-9C46-8AF7DBA16D43}"/>
    <cellStyle name="Normal 4 4 2 3 3 2 3" xfId="11541" xr:uid="{CC652322-4BE4-4D93-B640-B969C663AD4C}"/>
    <cellStyle name="Normal 4 4 2 3 3 3" xfId="5172" xr:uid="{00000000-0005-0000-0000-00002E150000}"/>
    <cellStyle name="Normal 4 4 2 3 3 3 2" xfId="13614" xr:uid="{8F691EE0-F1B7-4158-A5E9-D83CB36E7A7F}"/>
    <cellStyle name="Normal 4 4 2 3 3 4" xfId="9396" xr:uid="{F267F5CE-2192-49F5-A426-9B5BD0C90508}"/>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BD936986-C640-4A51-B3B4-C97BAE2850B1}"/>
    <cellStyle name="Normal 4 4 2 3 4 2 3" xfId="11954" xr:uid="{0E1E440D-E503-4423-B2CF-3E2A3BFC9057}"/>
    <cellStyle name="Normal 4 4 2 3 4 3" xfId="5585" xr:uid="{00000000-0005-0000-0000-000032150000}"/>
    <cellStyle name="Normal 4 4 2 3 4 3 2" xfId="14027" xr:uid="{25E719D5-5CA2-42E1-A3A8-E64A855FA76B}"/>
    <cellStyle name="Normal 4 4 2 3 4 4" xfId="9809" xr:uid="{92D9669F-FBD6-4A5F-8C2F-E7598C6D9510}"/>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3BA13477-2678-44B7-80BD-2FBC263E0A63}"/>
    <cellStyle name="Normal 4 4 2 3 5 2 3" xfId="12367" xr:uid="{3D9A9ACB-6FB2-4BB6-9483-932AA4EEB758}"/>
    <cellStyle name="Normal 4 4 2 3 5 3" xfId="5998" xr:uid="{00000000-0005-0000-0000-000036150000}"/>
    <cellStyle name="Normal 4 4 2 3 5 3 2" xfId="14440" xr:uid="{43A7C847-981C-4DDC-9C82-C1C2DFD0CED1}"/>
    <cellStyle name="Normal 4 4 2 3 5 4" xfId="10222" xr:uid="{CC34781D-ECAE-4C31-B813-B2FAFB77644E}"/>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2BA4D1C6-5229-449F-882A-35B2598AA785}"/>
    <cellStyle name="Normal 4 4 2 3 6 2 3" xfId="12780" xr:uid="{11C85B2B-9AA6-49E6-956C-CA5E46B72B83}"/>
    <cellStyle name="Normal 4 4 2 3 6 3" xfId="6411" xr:uid="{00000000-0005-0000-0000-00003A150000}"/>
    <cellStyle name="Normal 4 4 2 3 6 3 2" xfId="14853" xr:uid="{90C98598-D00A-49A9-929E-7386C186A0A3}"/>
    <cellStyle name="Normal 4 4 2 3 6 4" xfId="10635" xr:uid="{D36E72B9-70EB-4DCA-8563-3C5F808F994F}"/>
    <cellStyle name="Normal 4 4 2 3 7" xfId="2540" xr:uid="{00000000-0005-0000-0000-00003B150000}"/>
    <cellStyle name="Normal 4 4 2 3 7 2" xfId="6824" xr:uid="{00000000-0005-0000-0000-00003C150000}"/>
    <cellStyle name="Normal 4 4 2 3 7 2 2" xfId="15266" xr:uid="{EFAD31F9-9DF8-4CAE-A332-9D66C0A581A5}"/>
    <cellStyle name="Normal 4 4 2 3 7 3" xfId="11048" xr:uid="{B6060785-0B36-4D9A-9B3B-9423A28F0922}"/>
    <cellStyle name="Normal 4 4 2 3 8" xfId="4759" xr:uid="{00000000-0005-0000-0000-00003D150000}"/>
    <cellStyle name="Normal 4 4 2 3 8 2" xfId="13201" xr:uid="{FBE7BEF9-059F-461F-9F59-35E38EAE52BC}"/>
    <cellStyle name="Normal 4 4 2 3 9" xfId="8983" xr:uid="{4FB54CAF-01FE-4D79-AECC-37C0492B6678}"/>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4F604A15-473F-4101-8089-8AECF661CE08}"/>
    <cellStyle name="Normal 4 4 2 4 2 2 3" xfId="11543" xr:uid="{B1E21F5B-9190-4FD9-AF21-646183215296}"/>
    <cellStyle name="Normal 4 4 2 4 2 3" xfId="5174" xr:uid="{00000000-0005-0000-0000-000042150000}"/>
    <cellStyle name="Normal 4 4 2 4 2 3 2" xfId="13616" xr:uid="{AF95CB49-D490-4CCB-9AF3-E93E61660FFB}"/>
    <cellStyle name="Normal 4 4 2 4 2 4" xfId="9398" xr:uid="{7636E060-DA52-497B-849E-6870BEB36C04}"/>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1EF19BB4-DF69-4538-AAB7-D5A76E3D0C05}"/>
    <cellStyle name="Normal 4 4 2 4 3 2 3" xfId="11956" xr:uid="{9019B4CC-0661-4461-9AC5-EC9929F38BF9}"/>
    <cellStyle name="Normal 4 4 2 4 3 3" xfId="5587" xr:uid="{00000000-0005-0000-0000-000046150000}"/>
    <cellStyle name="Normal 4 4 2 4 3 3 2" xfId="14029" xr:uid="{C22A61CE-2065-4A1D-AFAF-FBD6A0720000}"/>
    <cellStyle name="Normal 4 4 2 4 3 4" xfId="9811" xr:uid="{9E903029-AD91-4741-90E1-4F899D09419A}"/>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24826DBD-FAEC-43AE-AFEB-C825AE67728C}"/>
    <cellStyle name="Normal 4 4 2 4 4 2 3" xfId="12369" xr:uid="{3045603B-E3CD-48A4-BEC8-D54438769C0D}"/>
    <cellStyle name="Normal 4 4 2 4 4 3" xfId="6000" xr:uid="{00000000-0005-0000-0000-00004A150000}"/>
    <cellStyle name="Normal 4 4 2 4 4 3 2" xfId="14442" xr:uid="{2D549835-B6D8-449D-816D-F68D83D294DB}"/>
    <cellStyle name="Normal 4 4 2 4 4 4" xfId="10224" xr:uid="{080686A1-7B26-4AF9-99B8-CD76E59A8835}"/>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A6411BD2-FF1F-467F-A218-D6B0DA0D5266}"/>
    <cellStyle name="Normal 4 4 2 4 5 2 3" xfId="12782" xr:uid="{C57AD272-5504-4EFE-8134-2A856382B170}"/>
    <cellStyle name="Normal 4 4 2 4 5 3" xfId="6413" xr:uid="{00000000-0005-0000-0000-00004E150000}"/>
    <cellStyle name="Normal 4 4 2 4 5 3 2" xfId="14855" xr:uid="{2E834CEE-703D-478E-9DDE-24B411C68837}"/>
    <cellStyle name="Normal 4 4 2 4 5 4" xfId="10637" xr:uid="{FF75DA9D-754F-4039-9AE8-CEB024234F4C}"/>
    <cellStyle name="Normal 4 4 2 4 6" xfId="2542" xr:uid="{00000000-0005-0000-0000-00004F150000}"/>
    <cellStyle name="Normal 4 4 2 4 6 2" xfId="6826" xr:uid="{00000000-0005-0000-0000-000050150000}"/>
    <cellStyle name="Normal 4 4 2 4 6 2 2" xfId="15268" xr:uid="{A483F57B-AF79-45CA-84E8-5728B23EDB45}"/>
    <cellStyle name="Normal 4 4 2 4 6 3" xfId="11050" xr:uid="{FCDF2227-D1FE-44F3-AFA9-4DFB6E5937C8}"/>
    <cellStyle name="Normal 4 4 2 4 7" xfId="4761" xr:uid="{00000000-0005-0000-0000-000051150000}"/>
    <cellStyle name="Normal 4 4 2 4 7 2" xfId="13203" xr:uid="{479E523D-4371-443F-9ABE-FDE9A3BF52E8}"/>
    <cellStyle name="Normal 4 4 2 4 8" xfId="8985" xr:uid="{6CD650B8-C7A3-4F95-82ED-3F77F711A136}"/>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983E7CEB-58EE-4146-AA34-AC14B88BECE8}"/>
    <cellStyle name="Normal 4 4 2 5 2 3" xfId="11536" xr:uid="{DEFF7613-31AD-422F-A82D-9A07C9265AB5}"/>
    <cellStyle name="Normal 4 4 2 5 3" xfId="5167" xr:uid="{00000000-0005-0000-0000-000055150000}"/>
    <cellStyle name="Normal 4 4 2 5 3 2" xfId="13609" xr:uid="{94AFE775-FE7C-4A77-B738-D223AE01F39F}"/>
    <cellStyle name="Normal 4 4 2 5 4" xfId="9391" xr:uid="{A0755783-D285-4787-9A95-4D088450B498}"/>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28F13BCE-B27D-49AF-8BA0-CB036A7CB0F2}"/>
    <cellStyle name="Normal 4 4 2 6 2 3" xfId="11949" xr:uid="{1C0E1A53-9906-4FF3-BC0B-897108DEF7EE}"/>
    <cellStyle name="Normal 4 4 2 6 3" xfId="5580" xr:uid="{00000000-0005-0000-0000-000059150000}"/>
    <cellStyle name="Normal 4 4 2 6 3 2" xfId="14022" xr:uid="{90FA1DD3-F22C-4D51-947E-497908E3A25B}"/>
    <cellStyle name="Normal 4 4 2 6 4" xfId="9804" xr:uid="{74EE0898-6AA0-4585-9FDB-EE2F8E4DCEAA}"/>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9FA3782C-D336-480B-B424-0317039B4F37}"/>
    <cellStyle name="Normal 4 4 2 7 2 3" xfId="12362" xr:uid="{84624D31-0DED-41ED-AE07-0246BADC4F81}"/>
    <cellStyle name="Normal 4 4 2 7 3" xfId="5993" xr:uid="{00000000-0005-0000-0000-00005D150000}"/>
    <cellStyle name="Normal 4 4 2 7 3 2" xfId="14435" xr:uid="{D85A89DE-9013-47AC-A6E1-DF1E8BAF664E}"/>
    <cellStyle name="Normal 4 4 2 7 4" xfId="10217" xr:uid="{8904CD1B-1F9F-4B67-A68D-9266FAB06286}"/>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85DD846F-4C42-4A7B-9692-3224916FC99C}"/>
    <cellStyle name="Normal 4 4 2 8 2 3" xfId="12775" xr:uid="{9BF7B252-F9BF-4508-B2CB-FA3F2ADF90FD}"/>
    <cellStyle name="Normal 4 4 2 8 3" xfId="6406" xr:uid="{00000000-0005-0000-0000-000061150000}"/>
    <cellStyle name="Normal 4 4 2 8 3 2" xfId="14848" xr:uid="{45B602DD-54AA-4E2A-860E-6860E4532D05}"/>
    <cellStyle name="Normal 4 4 2 8 4" xfId="10630" xr:uid="{BACA5F93-499A-40B5-B22D-1255EF9455D3}"/>
    <cellStyle name="Normal 4 4 2 9" xfId="2535" xr:uid="{00000000-0005-0000-0000-000062150000}"/>
    <cellStyle name="Normal 4 4 2 9 2" xfId="6819" xr:uid="{00000000-0005-0000-0000-000063150000}"/>
    <cellStyle name="Normal 4 4 2 9 2 2" xfId="15261" xr:uid="{B574E4D8-868F-473B-A76D-4B324EA17374}"/>
    <cellStyle name="Normal 4 4 2 9 3" xfId="11043" xr:uid="{70CF383F-6007-4A05-A149-EBED9D93E658}"/>
    <cellStyle name="Normal 4 4 3" xfId="387" xr:uid="{00000000-0005-0000-0000-000064150000}"/>
    <cellStyle name="Normal 4 4 3 10" xfId="8986" xr:uid="{6F654639-0151-410C-B374-FAA303EFC545}"/>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8BCBB446-9C5B-47A6-AAD4-1D39A0916FB3}"/>
    <cellStyle name="Normal 4 4 3 2 2 2 2 3" xfId="11546" xr:uid="{EA6DE3C4-9F7F-4643-83C1-A6758375E95F}"/>
    <cellStyle name="Normal 4 4 3 2 2 2 3" xfId="5177" xr:uid="{00000000-0005-0000-0000-00006A150000}"/>
    <cellStyle name="Normal 4 4 3 2 2 2 3 2" xfId="13619" xr:uid="{984F8BE8-CC9A-45FD-B583-1B04E222AAD6}"/>
    <cellStyle name="Normal 4 4 3 2 2 2 4" xfId="9401" xr:uid="{438B12AD-64C1-4733-975C-E90CF5CCD755}"/>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2B56D667-06AA-4463-90A0-9A6CE7E00C53}"/>
    <cellStyle name="Normal 4 4 3 2 2 3 2 3" xfId="11959" xr:uid="{4524390E-C9EA-4E1A-B8B5-D7BA0DF67230}"/>
    <cellStyle name="Normal 4 4 3 2 2 3 3" xfId="5590" xr:uid="{00000000-0005-0000-0000-00006E150000}"/>
    <cellStyle name="Normal 4 4 3 2 2 3 3 2" xfId="14032" xr:uid="{D9398BEF-FE8F-4BBC-8E55-DE980B2D4956}"/>
    <cellStyle name="Normal 4 4 3 2 2 3 4" xfId="9814" xr:uid="{747C9FF2-A879-44FE-8850-6ACF7AC4CD3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442B32BA-1563-4ACD-B981-08C7276F6327}"/>
    <cellStyle name="Normal 4 4 3 2 2 4 2 3" xfId="12372" xr:uid="{70846444-AD15-4CAD-BE81-DBB8126A7D08}"/>
    <cellStyle name="Normal 4 4 3 2 2 4 3" xfId="6003" xr:uid="{00000000-0005-0000-0000-000072150000}"/>
    <cellStyle name="Normal 4 4 3 2 2 4 3 2" xfId="14445" xr:uid="{41A6D4CE-DC88-4281-A9A0-67CA5AD89D00}"/>
    <cellStyle name="Normal 4 4 3 2 2 4 4" xfId="10227" xr:uid="{BC5CC97A-D9E8-4734-8EC1-2E830F726A85}"/>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01AB0D5C-E950-437F-A9BC-56B06321BD34}"/>
    <cellStyle name="Normal 4 4 3 2 2 5 2 3" xfId="12785" xr:uid="{3D7BD060-464C-4B1E-9BC4-AF4FEF7A6C3A}"/>
    <cellStyle name="Normal 4 4 3 2 2 5 3" xfId="6416" xr:uid="{00000000-0005-0000-0000-000076150000}"/>
    <cellStyle name="Normal 4 4 3 2 2 5 3 2" xfId="14858" xr:uid="{90D865F0-6014-4046-B0EE-BFBA05325990}"/>
    <cellStyle name="Normal 4 4 3 2 2 5 4" xfId="10640" xr:uid="{A70B9DE7-C53F-47C0-94EC-9A61DEB58F59}"/>
    <cellStyle name="Normal 4 4 3 2 2 6" xfId="2545" xr:uid="{00000000-0005-0000-0000-000077150000}"/>
    <cellStyle name="Normal 4 4 3 2 2 6 2" xfId="6829" xr:uid="{00000000-0005-0000-0000-000078150000}"/>
    <cellStyle name="Normal 4 4 3 2 2 6 2 2" xfId="15271" xr:uid="{41336EEB-72B6-4D3E-89F3-F550C7C4328C}"/>
    <cellStyle name="Normal 4 4 3 2 2 6 3" xfId="11053" xr:uid="{068D28C8-6422-4593-8732-5B9CADA0ED74}"/>
    <cellStyle name="Normal 4 4 3 2 2 7" xfId="4764" xr:uid="{00000000-0005-0000-0000-000079150000}"/>
    <cellStyle name="Normal 4 4 3 2 2 7 2" xfId="13206" xr:uid="{BA5177BB-2FC7-45DE-95BF-28876167766F}"/>
    <cellStyle name="Normal 4 4 3 2 2 8" xfId="8988" xr:uid="{3ACE4690-D501-4FE6-AA51-6ED023450869}"/>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8BC4B516-5268-44CE-9249-25C366B5E58D}"/>
    <cellStyle name="Normal 4 4 3 2 3 2 3" xfId="11545" xr:uid="{FF8F0E6D-4C6D-47DC-8015-E0F431C5F131}"/>
    <cellStyle name="Normal 4 4 3 2 3 3" xfId="5176" xr:uid="{00000000-0005-0000-0000-00007D150000}"/>
    <cellStyle name="Normal 4 4 3 2 3 3 2" xfId="13618" xr:uid="{242905E2-BE84-483E-BE69-EED88A5FBB29}"/>
    <cellStyle name="Normal 4 4 3 2 3 4" xfId="9400" xr:uid="{87607737-1AAE-426D-91F3-F322CA893426}"/>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3A4231C3-FF33-44B2-AB1C-3EABA837D852}"/>
    <cellStyle name="Normal 4 4 3 2 4 2 3" xfId="11958" xr:uid="{D3AD465B-02AA-4E5C-8274-DF9820D7C533}"/>
    <cellStyle name="Normal 4 4 3 2 4 3" xfId="5589" xr:uid="{00000000-0005-0000-0000-000081150000}"/>
    <cellStyle name="Normal 4 4 3 2 4 3 2" xfId="14031" xr:uid="{F02BDF15-4963-4E73-B7F5-20A42A83DB47}"/>
    <cellStyle name="Normal 4 4 3 2 4 4" xfId="9813" xr:uid="{7818F3E1-40AB-4A63-B29B-B7B211B857D9}"/>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52F4DE58-CF8A-4D1E-A57C-D9F02DC81C97}"/>
    <cellStyle name="Normal 4 4 3 2 5 2 3" xfId="12371" xr:uid="{16A30232-E2C5-4CC4-AB3C-7BC9EFD5D665}"/>
    <cellStyle name="Normal 4 4 3 2 5 3" xfId="6002" xr:uid="{00000000-0005-0000-0000-000085150000}"/>
    <cellStyle name="Normal 4 4 3 2 5 3 2" xfId="14444" xr:uid="{76EA2C84-85A0-4EEC-AD01-0D21787AE68D}"/>
    <cellStyle name="Normal 4 4 3 2 5 4" xfId="10226" xr:uid="{15730193-2F7B-4F20-8206-053781CD6E9E}"/>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3C8484DA-C7B0-405A-B8BC-9C9A3B356F58}"/>
    <cellStyle name="Normal 4 4 3 2 6 2 3" xfId="12784" xr:uid="{61F233ED-B69F-4308-8EE6-3D2A341147DC}"/>
    <cellStyle name="Normal 4 4 3 2 6 3" xfId="6415" xr:uid="{00000000-0005-0000-0000-000089150000}"/>
    <cellStyle name="Normal 4 4 3 2 6 3 2" xfId="14857" xr:uid="{44FF7D8B-ABF5-475D-AF3C-74C007852AAB}"/>
    <cellStyle name="Normal 4 4 3 2 6 4" xfId="10639" xr:uid="{CF1AC3CE-3F0D-4EE7-AFBB-80E06A677124}"/>
    <cellStyle name="Normal 4 4 3 2 7" xfId="2544" xr:uid="{00000000-0005-0000-0000-00008A150000}"/>
    <cellStyle name="Normal 4 4 3 2 7 2" xfId="6828" xr:uid="{00000000-0005-0000-0000-00008B150000}"/>
    <cellStyle name="Normal 4 4 3 2 7 2 2" xfId="15270" xr:uid="{96E9AC34-A140-4EA7-8AB9-F9A23A3829A6}"/>
    <cellStyle name="Normal 4 4 3 2 7 3" xfId="11052" xr:uid="{20504140-6E27-4573-BF58-C6392E7703C3}"/>
    <cellStyle name="Normal 4 4 3 2 8" xfId="4763" xr:uid="{00000000-0005-0000-0000-00008C150000}"/>
    <cellStyle name="Normal 4 4 3 2 8 2" xfId="13205" xr:uid="{5BC8EE30-3535-470E-84A9-3F2EC6592D8D}"/>
    <cellStyle name="Normal 4 4 3 2 9" xfId="8987" xr:uid="{61953D8F-6DFD-4A01-B027-3890DB6A4E79}"/>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F7995929-3E29-410F-AE4C-9A08A163EDB4}"/>
    <cellStyle name="Normal 4 4 3 3 2 2 3" xfId="11547" xr:uid="{788BF280-9B57-4A1A-B7AA-60CFBB02DEB3}"/>
    <cellStyle name="Normal 4 4 3 3 2 3" xfId="5178" xr:uid="{00000000-0005-0000-0000-000091150000}"/>
    <cellStyle name="Normal 4 4 3 3 2 3 2" xfId="13620" xr:uid="{04A5A248-6EDC-479F-93B4-55D9499A1F41}"/>
    <cellStyle name="Normal 4 4 3 3 2 4" xfId="9402" xr:uid="{EF1EFD5A-C0C3-4FC1-A706-ABCD64FED5DB}"/>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CCB52811-BD21-41DF-B46E-A7A6FEACD66B}"/>
    <cellStyle name="Normal 4 4 3 3 3 2 3" xfId="11960" xr:uid="{822A6EA9-E511-4E88-A32C-EA0643BCD1C8}"/>
    <cellStyle name="Normal 4 4 3 3 3 3" xfId="5591" xr:uid="{00000000-0005-0000-0000-000095150000}"/>
    <cellStyle name="Normal 4 4 3 3 3 3 2" xfId="14033" xr:uid="{EAA6174D-1214-46CE-8063-2ABED4E0A1D8}"/>
    <cellStyle name="Normal 4 4 3 3 3 4" xfId="9815" xr:uid="{64F868E6-E073-48DF-A374-F8865D3F8174}"/>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8F1E9704-A7E7-4507-8231-7F1B7F69F5B4}"/>
    <cellStyle name="Normal 4 4 3 3 4 2 3" xfId="12373" xr:uid="{68A8C320-5C4F-4ED6-93A6-14B9F92BBB70}"/>
    <cellStyle name="Normal 4 4 3 3 4 3" xfId="6004" xr:uid="{00000000-0005-0000-0000-000099150000}"/>
    <cellStyle name="Normal 4 4 3 3 4 3 2" xfId="14446" xr:uid="{65276058-2C2C-4D7F-BA96-A44564F47693}"/>
    <cellStyle name="Normal 4 4 3 3 4 4" xfId="10228" xr:uid="{E8AC7DE4-4669-41C5-AA0C-93F736E1CE1D}"/>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49B7036C-4293-4BF9-96C3-D26AF318C92C}"/>
    <cellStyle name="Normal 4 4 3 3 5 2 3" xfId="12786" xr:uid="{C533F909-E8F4-4C31-BC72-B780E144A81C}"/>
    <cellStyle name="Normal 4 4 3 3 5 3" xfId="6417" xr:uid="{00000000-0005-0000-0000-00009D150000}"/>
    <cellStyle name="Normal 4 4 3 3 5 3 2" xfId="14859" xr:uid="{E0E260F0-1DDE-4022-AE44-FFBD442EF00A}"/>
    <cellStyle name="Normal 4 4 3 3 5 4" xfId="10641" xr:uid="{150EFBA9-8952-4535-9A63-46C6491987FC}"/>
    <cellStyle name="Normal 4 4 3 3 6" xfId="2546" xr:uid="{00000000-0005-0000-0000-00009E150000}"/>
    <cellStyle name="Normal 4 4 3 3 6 2" xfId="6830" xr:uid="{00000000-0005-0000-0000-00009F150000}"/>
    <cellStyle name="Normal 4 4 3 3 6 2 2" xfId="15272" xr:uid="{7E3AF0C2-92CB-4BC5-B61B-852C332ADF71}"/>
    <cellStyle name="Normal 4 4 3 3 6 3" xfId="11054" xr:uid="{436B87D8-C2A2-4793-8AF8-F99C35F2E9DB}"/>
    <cellStyle name="Normal 4 4 3 3 7" xfId="4765" xr:uid="{00000000-0005-0000-0000-0000A0150000}"/>
    <cellStyle name="Normal 4 4 3 3 7 2" xfId="13207" xr:uid="{98EBEFD8-9D20-4EA3-98F4-CB831380CA13}"/>
    <cellStyle name="Normal 4 4 3 3 8" xfId="8989" xr:uid="{9B5CB114-4717-424F-9369-71B8DFACB9EA}"/>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7A47751A-265A-488D-B66B-3446EE366FBE}"/>
    <cellStyle name="Normal 4 4 3 4 2 3" xfId="11544" xr:uid="{CD18A4A3-52F0-4AF8-AB7D-3177BE24C697}"/>
    <cellStyle name="Normal 4 4 3 4 3" xfId="5175" xr:uid="{00000000-0005-0000-0000-0000A4150000}"/>
    <cellStyle name="Normal 4 4 3 4 3 2" xfId="13617" xr:uid="{DF304726-9F48-449C-ACBE-E4A8AC4161BF}"/>
    <cellStyle name="Normal 4 4 3 4 4" xfId="9399" xr:uid="{0C1F730D-1F5C-47ED-A38E-7E7683ADBF68}"/>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FF428D15-0A3B-47B8-B77E-73DDE6F99A31}"/>
    <cellStyle name="Normal 4 4 3 5 2 3" xfId="11957" xr:uid="{16A026E9-4F79-4A35-9B82-834305AB1356}"/>
    <cellStyle name="Normal 4 4 3 5 3" xfId="5588" xr:uid="{00000000-0005-0000-0000-0000A8150000}"/>
    <cellStyle name="Normal 4 4 3 5 3 2" xfId="14030" xr:uid="{DE04011D-35BB-4250-9350-0B0D5B7C335F}"/>
    <cellStyle name="Normal 4 4 3 5 4" xfId="9812" xr:uid="{4335D21B-B94E-42B9-A92F-FC2AB34FF3D7}"/>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E8053A50-8912-487A-AD7D-BC8427F3CC9F}"/>
    <cellStyle name="Normal 4 4 3 6 2 3" xfId="12370" xr:uid="{DD0ACA9D-2AB5-421B-8B62-F59446E3E20D}"/>
    <cellStyle name="Normal 4 4 3 6 3" xfId="6001" xr:uid="{00000000-0005-0000-0000-0000AC150000}"/>
    <cellStyle name="Normal 4 4 3 6 3 2" xfId="14443" xr:uid="{0C7DC55C-72AE-427E-849F-1DE4E0BA6F29}"/>
    <cellStyle name="Normal 4 4 3 6 4" xfId="10225" xr:uid="{A2EF6A21-0408-4E66-B297-50F9E5F15C04}"/>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002A1D2-E808-4274-BB0A-8D5272388F68}"/>
    <cellStyle name="Normal 4 4 3 7 2 3" xfId="12783" xr:uid="{5CD5691C-CA32-43AC-8D57-09BD98D8658A}"/>
    <cellStyle name="Normal 4 4 3 7 3" xfId="6414" xr:uid="{00000000-0005-0000-0000-0000B0150000}"/>
    <cellStyle name="Normal 4 4 3 7 3 2" xfId="14856" xr:uid="{B520DB00-5CF8-4AEE-AEAF-DC6B992A47EE}"/>
    <cellStyle name="Normal 4 4 3 7 4" xfId="10638" xr:uid="{737177CD-332D-4399-937A-60B0A6D47375}"/>
    <cellStyle name="Normal 4 4 3 8" xfId="2543" xr:uid="{00000000-0005-0000-0000-0000B1150000}"/>
    <cellStyle name="Normal 4 4 3 8 2" xfId="6827" xr:uid="{00000000-0005-0000-0000-0000B2150000}"/>
    <cellStyle name="Normal 4 4 3 8 2 2" xfId="15269" xr:uid="{44CF409A-9971-4CEB-93C1-6587E6163467}"/>
    <cellStyle name="Normal 4 4 3 8 3" xfId="11051" xr:uid="{464FE907-9A43-4071-B005-B9A76644B503}"/>
    <cellStyle name="Normal 4 4 3 9" xfId="4762" xr:uid="{00000000-0005-0000-0000-0000B3150000}"/>
    <cellStyle name="Normal 4 4 3 9 2" xfId="13204" xr:uid="{7A06DB4E-2175-4E38-AB1F-EC5326EAE89A}"/>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AC8737F2-1812-4F24-980D-EE6532CB99C5}"/>
    <cellStyle name="Normal 4 4 4 2 2 2 3" xfId="11549" xr:uid="{D281501A-30DE-4E0C-8AB6-F1EFD7F8B0F5}"/>
    <cellStyle name="Normal 4 4 4 2 2 3" xfId="5180" xr:uid="{00000000-0005-0000-0000-0000B9150000}"/>
    <cellStyle name="Normal 4 4 4 2 2 3 2" xfId="13622" xr:uid="{A5B906C4-DB27-44E4-8FB5-11E532872EB0}"/>
    <cellStyle name="Normal 4 4 4 2 2 4" xfId="9404" xr:uid="{92325F8E-08DD-4AD7-AB26-54BB2C5ED658}"/>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284683DE-FF89-4441-BB1E-3A8CACC7E2C6}"/>
    <cellStyle name="Normal 4 4 4 2 3 2 3" xfId="11962" xr:uid="{F9F8A628-84E8-4392-96DA-4E456E9ED1E4}"/>
    <cellStyle name="Normal 4 4 4 2 3 3" xfId="5593" xr:uid="{00000000-0005-0000-0000-0000BD150000}"/>
    <cellStyle name="Normal 4 4 4 2 3 3 2" xfId="14035" xr:uid="{23F4D6C3-5D29-4001-8357-B2E464E7841B}"/>
    <cellStyle name="Normal 4 4 4 2 3 4" xfId="9817" xr:uid="{B2B1F21C-C5F3-4AC4-9C40-24D487ACBAB2}"/>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11CE02EB-18CE-4CD3-8FF4-1922BAF8CDBE}"/>
    <cellStyle name="Normal 4 4 4 2 4 2 3" xfId="12375" xr:uid="{850C4C68-5EBF-46E8-95A4-9E7287C15FF3}"/>
    <cellStyle name="Normal 4 4 4 2 4 3" xfId="6006" xr:uid="{00000000-0005-0000-0000-0000C1150000}"/>
    <cellStyle name="Normal 4 4 4 2 4 3 2" xfId="14448" xr:uid="{32B6588A-F786-4884-B972-F5EFD2FBA41B}"/>
    <cellStyle name="Normal 4 4 4 2 4 4" xfId="10230" xr:uid="{92877A33-1D61-4298-9269-6563CC4342F1}"/>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5C6CD8E9-65CC-4074-9D77-942CEFA39828}"/>
    <cellStyle name="Normal 4 4 4 2 5 2 3" xfId="12788" xr:uid="{7A2F1027-BC79-47FE-BC3C-3497A5D2C0CC}"/>
    <cellStyle name="Normal 4 4 4 2 5 3" xfId="6419" xr:uid="{00000000-0005-0000-0000-0000C5150000}"/>
    <cellStyle name="Normal 4 4 4 2 5 3 2" xfId="14861" xr:uid="{EE26B30D-7E69-4A80-BD87-4C63E67F0AC1}"/>
    <cellStyle name="Normal 4 4 4 2 5 4" xfId="10643" xr:uid="{A613C175-972A-4762-AEEF-AAB3DAA92233}"/>
    <cellStyle name="Normal 4 4 4 2 6" xfId="2548" xr:uid="{00000000-0005-0000-0000-0000C6150000}"/>
    <cellStyle name="Normal 4 4 4 2 6 2" xfId="6832" xr:uid="{00000000-0005-0000-0000-0000C7150000}"/>
    <cellStyle name="Normal 4 4 4 2 6 2 2" xfId="15274" xr:uid="{805086E3-82EB-49E3-BC47-E21CB8CF358A}"/>
    <cellStyle name="Normal 4 4 4 2 6 3" xfId="11056" xr:uid="{C1CD968D-761E-4E35-B085-E2E9FB941E9B}"/>
    <cellStyle name="Normal 4 4 4 2 7" xfId="4767" xr:uid="{00000000-0005-0000-0000-0000C8150000}"/>
    <cellStyle name="Normal 4 4 4 2 7 2" xfId="13209" xr:uid="{937D229B-8531-4FD9-BADC-F25139772A6C}"/>
    <cellStyle name="Normal 4 4 4 2 8" xfId="8991" xr:uid="{6A0A2DBB-EF00-4B7F-984F-47651CEAF330}"/>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821D19BC-D217-4A57-9255-D5F48DCE7E79}"/>
    <cellStyle name="Normal 4 4 4 3 2 3" xfId="11548" xr:uid="{9F12D244-84FB-4602-A0F5-EDFCDAE24B3E}"/>
    <cellStyle name="Normal 4 4 4 3 3" xfId="5179" xr:uid="{00000000-0005-0000-0000-0000CC150000}"/>
    <cellStyle name="Normal 4 4 4 3 3 2" xfId="13621" xr:uid="{0E720968-E31F-404B-B68A-8A26ED411A3C}"/>
    <cellStyle name="Normal 4 4 4 3 4" xfId="9403" xr:uid="{BF17844D-E258-4A0E-8515-5DD2431DE4D3}"/>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1F0360F1-AFED-4DA1-A2E3-816389F92EA0}"/>
    <cellStyle name="Normal 4 4 4 4 2 3" xfId="11961" xr:uid="{0EDCB84D-1338-4069-937D-373C026571CB}"/>
    <cellStyle name="Normal 4 4 4 4 3" xfId="5592" xr:uid="{00000000-0005-0000-0000-0000D0150000}"/>
    <cellStyle name="Normal 4 4 4 4 3 2" xfId="14034" xr:uid="{1DCE0774-2E85-41A1-8976-48B13789F288}"/>
    <cellStyle name="Normal 4 4 4 4 4" xfId="9816" xr:uid="{10EBE35B-6B80-4DA7-9FA9-A48834E28489}"/>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AE167CDE-6082-455D-BCC0-EA46E4BF6AE6}"/>
    <cellStyle name="Normal 4 4 4 5 2 3" xfId="12374" xr:uid="{DEC9E588-5D95-4E3A-820F-B6ED6078D814}"/>
    <cellStyle name="Normal 4 4 4 5 3" xfId="6005" xr:uid="{00000000-0005-0000-0000-0000D4150000}"/>
    <cellStyle name="Normal 4 4 4 5 3 2" xfId="14447" xr:uid="{DBFAA0C6-EFFF-47EB-8069-CA5023CDCB11}"/>
    <cellStyle name="Normal 4 4 4 5 4" xfId="10229" xr:uid="{8A52814F-2750-414E-B87B-29A066E21EED}"/>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FC2042F8-5E60-4FBC-8E0B-73B1FD26DF69}"/>
    <cellStyle name="Normal 4 4 4 6 2 3" xfId="12787" xr:uid="{0197E6D4-70A2-4EA0-B12C-4FA963078B17}"/>
    <cellStyle name="Normal 4 4 4 6 3" xfId="6418" xr:uid="{00000000-0005-0000-0000-0000D8150000}"/>
    <cellStyle name="Normal 4 4 4 6 3 2" xfId="14860" xr:uid="{775E7C6A-CC31-4BDE-9012-9086302D741F}"/>
    <cellStyle name="Normal 4 4 4 6 4" xfId="10642" xr:uid="{931488DB-AEE7-4FA5-ACBB-91A2B49A9376}"/>
    <cellStyle name="Normal 4 4 4 7" xfId="2547" xr:uid="{00000000-0005-0000-0000-0000D9150000}"/>
    <cellStyle name="Normal 4 4 4 7 2" xfId="6831" xr:uid="{00000000-0005-0000-0000-0000DA150000}"/>
    <cellStyle name="Normal 4 4 4 7 2 2" xfId="15273" xr:uid="{3652A5AA-D8A5-474B-AFF4-EB564653BECA}"/>
    <cellStyle name="Normal 4 4 4 7 3" xfId="11055" xr:uid="{2C33341F-6B3C-4DA2-B114-64D24A6FF9E1}"/>
    <cellStyle name="Normal 4 4 4 8" xfId="4766" xr:uid="{00000000-0005-0000-0000-0000DB150000}"/>
    <cellStyle name="Normal 4 4 4 8 2" xfId="13208" xr:uid="{314456CE-8177-41CF-82A5-60EA155C7FB7}"/>
    <cellStyle name="Normal 4 4 4 9" xfId="8990" xr:uid="{48F05B27-5C23-46DA-B035-717DB44FDE2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A74E3DF1-786F-4FC0-B19B-E9FD07FB6E64}"/>
    <cellStyle name="Normal 4 4 5 2 2 3" xfId="11550" xr:uid="{2DA70A81-B6EC-4051-B6FD-EE96FA4DD8EA}"/>
    <cellStyle name="Normal 4 4 5 2 3" xfId="5181" xr:uid="{00000000-0005-0000-0000-0000E0150000}"/>
    <cellStyle name="Normal 4 4 5 2 3 2" xfId="13623" xr:uid="{21EEF50D-3DC0-4427-A0C6-B58C7A7E2E2D}"/>
    <cellStyle name="Normal 4 4 5 2 4" xfId="9405" xr:uid="{380F19C0-FAE4-442B-B354-B425BD3C13B5}"/>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99036CA5-2165-4626-AA4C-36FA4C58141A}"/>
    <cellStyle name="Normal 4 4 5 3 2 3" xfId="11963" xr:uid="{FAE31858-B187-4EC7-A03F-39CDED9752A0}"/>
    <cellStyle name="Normal 4 4 5 3 3" xfId="5594" xr:uid="{00000000-0005-0000-0000-0000E4150000}"/>
    <cellStyle name="Normal 4 4 5 3 3 2" xfId="14036" xr:uid="{2DB7AAD3-AD66-4B70-924B-B259594B7586}"/>
    <cellStyle name="Normal 4 4 5 3 4" xfId="9818" xr:uid="{BC63C6B7-442F-4EDE-A1A2-6E51B51AEB84}"/>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1CAA4A2A-93FF-4659-9B9E-4F016CE339C8}"/>
    <cellStyle name="Normal 4 4 5 4 2 3" xfId="12376" xr:uid="{99EE9002-AA18-4428-A087-5E97127F7E39}"/>
    <cellStyle name="Normal 4 4 5 4 3" xfId="6007" xr:uid="{00000000-0005-0000-0000-0000E8150000}"/>
    <cellStyle name="Normal 4 4 5 4 3 2" xfId="14449" xr:uid="{552ADE40-63C8-4FC3-B54A-E2C51B78203C}"/>
    <cellStyle name="Normal 4 4 5 4 4" xfId="10231" xr:uid="{13BF0E83-A306-4180-9599-660E2BB00AF2}"/>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4F28BC9C-0F81-472E-9813-9BC31B5530FD}"/>
    <cellStyle name="Normal 4 4 5 5 2 3" xfId="12789" xr:uid="{0A582AE6-4229-4E81-B840-B4403C8840B2}"/>
    <cellStyle name="Normal 4 4 5 5 3" xfId="6420" xr:uid="{00000000-0005-0000-0000-0000EC150000}"/>
    <cellStyle name="Normal 4 4 5 5 3 2" xfId="14862" xr:uid="{D8BD7F58-DD6B-4620-A041-8085A10379E9}"/>
    <cellStyle name="Normal 4 4 5 5 4" xfId="10644" xr:uid="{DEAB724D-EE9C-408A-A806-38644DD66FD9}"/>
    <cellStyle name="Normal 4 4 5 6" xfId="2549" xr:uid="{00000000-0005-0000-0000-0000ED150000}"/>
    <cellStyle name="Normal 4 4 5 6 2" xfId="6833" xr:uid="{00000000-0005-0000-0000-0000EE150000}"/>
    <cellStyle name="Normal 4 4 5 6 2 2" xfId="15275" xr:uid="{40B0C5EC-3C8D-46C7-9E96-1CEBB930F208}"/>
    <cellStyle name="Normal 4 4 5 6 3" xfId="11057" xr:uid="{6DAAEB46-EB31-4BCA-9D9A-874053F45436}"/>
    <cellStyle name="Normal 4 4 5 7" xfId="4768" xr:uid="{00000000-0005-0000-0000-0000EF150000}"/>
    <cellStyle name="Normal 4 4 5 7 2" xfId="13210" xr:uid="{0BA838D0-8019-48A9-BB7C-8D2A43752701}"/>
    <cellStyle name="Normal 4 4 5 8" xfId="8992" xr:uid="{208C8605-A22E-4337-B603-0F4EBA51147E}"/>
    <cellStyle name="Normal 4 4 6" xfId="853" xr:uid="{00000000-0005-0000-0000-0000F0150000}"/>
    <cellStyle name="Normal 4 4 6 2" xfId="3088" xr:uid="{00000000-0005-0000-0000-0000F1150000}"/>
    <cellStyle name="Normal 4 4 6 2 2" xfId="7311" xr:uid="{00000000-0005-0000-0000-0000F2150000}"/>
    <cellStyle name="Normal 4 4 6 2 2 2" xfId="15753" xr:uid="{3E8D0FED-4286-476A-AF9D-42AACCEAD3DA}"/>
    <cellStyle name="Normal 4 4 6 2 3" xfId="11535" xr:uid="{FA98E5AF-E920-4951-87DF-972F05DBE771}"/>
    <cellStyle name="Normal 4 4 6 3" xfId="5166" xr:uid="{00000000-0005-0000-0000-0000F3150000}"/>
    <cellStyle name="Normal 4 4 6 3 2" xfId="13608" xr:uid="{C8271B14-D5A0-425E-93F2-49A29D62A379}"/>
    <cellStyle name="Normal 4 4 6 4" xfId="9390" xr:uid="{05E1AEB0-25AE-4609-84CD-25A6D420319B}"/>
    <cellStyle name="Normal 4 4 7" xfId="1271" xr:uid="{00000000-0005-0000-0000-0000F4150000}"/>
    <cellStyle name="Normal 4 4 7 2" xfId="3501" xr:uid="{00000000-0005-0000-0000-0000F5150000}"/>
    <cellStyle name="Normal 4 4 7 2 2" xfId="7724" xr:uid="{00000000-0005-0000-0000-0000F6150000}"/>
    <cellStyle name="Normal 4 4 7 2 2 2" xfId="16166" xr:uid="{C5ECCB5F-99B8-4869-B2B3-868C4A3BFFAC}"/>
    <cellStyle name="Normal 4 4 7 2 3" xfId="11948" xr:uid="{C9C99EE7-B9EA-476B-9795-E5DD10436832}"/>
    <cellStyle name="Normal 4 4 7 3" xfId="5579" xr:uid="{00000000-0005-0000-0000-0000F7150000}"/>
    <cellStyle name="Normal 4 4 7 3 2" xfId="14021" xr:uid="{90752E79-3568-4579-8D71-5821DD8FD121}"/>
    <cellStyle name="Normal 4 4 7 4" xfId="9803" xr:uid="{D694B9C9-857B-4F5E-A876-94C1EE35CF11}"/>
    <cellStyle name="Normal 4 4 8" xfId="1684" xr:uid="{00000000-0005-0000-0000-0000F8150000}"/>
    <cellStyle name="Normal 4 4 8 2" xfId="3914" xr:uid="{00000000-0005-0000-0000-0000F9150000}"/>
    <cellStyle name="Normal 4 4 8 2 2" xfId="8137" xr:uid="{00000000-0005-0000-0000-0000FA150000}"/>
    <cellStyle name="Normal 4 4 8 2 2 2" xfId="16579" xr:uid="{5D9A9037-4FA7-49AE-984E-D95C8966476A}"/>
    <cellStyle name="Normal 4 4 8 2 3" xfId="12361" xr:uid="{6DB9569B-6969-42C7-9E3F-3F36EA67149A}"/>
    <cellStyle name="Normal 4 4 8 3" xfId="5992" xr:uid="{00000000-0005-0000-0000-0000FB150000}"/>
    <cellStyle name="Normal 4 4 8 3 2" xfId="14434" xr:uid="{2C931109-F272-4330-98C9-E9C37925C7B5}"/>
    <cellStyle name="Normal 4 4 8 4" xfId="10216" xr:uid="{7C72C548-7CEF-460B-A976-D04BE54E1741}"/>
    <cellStyle name="Normal 4 4 9" xfId="2098" xr:uid="{00000000-0005-0000-0000-0000FC150000}"/>
    <cellStyle name="Normal 4 4 9 2" xfId="4327" xr:uid="{00000000-0005-0000-0000-0000FD150000}"/>
    <cellStyle name="Normal 4 4 9 2 2" xfId="8550" xr:uid="{00000000-0005-0000-0000-0000FE150000}"/>
    <cellStyle name="Normal 4 4 9 2 2 2" xfId="16992" xr:uid="{6FAB9E44-4FB3-4684-8C18-F4DE56746DDB}"/>
    <cellStyle name="Normal 4 4 9 2 3" xfId="12774" xr:uid="{4D23FDB7-7C6C-43EE-B427-383E29FCEF5E}"/>
    <cellStyle name="Normal 4 4 9 3" xfId="6405" xr:uid="{00000000-0005-0000-0000-0000FF150000}"/>
    <cellStyle name="Normal 4 4 9 3 2" xfId="14847" xr:uid="{37B5ED76-F386-4DE5-997E-77E75FBCDE82}"/>
    <cellStyle name="Normal 4 4 9 4" xfId="10629" xr:uid="{E7415D74-7B07-4BCC-A82B-472E8A9DA8CA}"/>
    <cellStyle name="Normal 4 5" xfId="394" xr:uid="{00000000-0005-0000-0000-000000160000}"/>
    <cellStyle name="Normal 4 6" xfId="395" xr:uid="{00000000-0005-0000-0000-000001160000}"/>
    <cellStyle name="Normal 4 6 10" xfId="4769" xr:uid="{00000000-0005-0000-0000-000002160000}"/>
    <cellStyle name="Normal 4 6 10 2" xfId="13211" xr:uid="{FB5A6EA2-62DB-49EB-A4B9-63FC8A89DC23}"/>
    <cellStyle name="Normal 4 6 11" xfId="8993" xr:uid="{C6FAAB77-60E8-4B32-9B38-196509926AA2}"/>
    <cellStyle name="Normal 4 6 2" xfId="396" xr:uid="{00000000-0005-0000-0000-000003160000}"/>
    <cellStyle name="Normal 4 6 2 10" xfId="8994" xr:uid="{35EE5CE6-91D2-40C5-AA05-6A22A063A17E}"/>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AD6739CD-9DAA-4F1F-AF4D-418ABD70A126}"/>
    <cellStyle name="Normal 4 6 2 2 2 2 2 3" xfId="11554" xr:uid="{2B844C41-D218-45D3-98DC-46AFB179300C}"/>
    <cellStyle name="Normal 4 6 2 2 2 2 3" xfId="5185" xr:uid="{00000000-0005-0000-0000-000009160000}"/>
    <cellStyle name="Normal 4 6 2 2 2 2 3 2" xfId="13627" xr:uid="{AB8B2DB5-438C-4560-AA7E-A7B1C2C58CE5}"/>
    <cellStyle name="Normal 4 6 2 2 2 2 4" xfId="9409" xr:uid="{1077D32D-E3CF-4FCC-AA25-2BA3DD3CF49B}"/>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DB7DD194-99B7-49A7-A536-9F094AC02527}"/>
    <cellStyle name="Normal 4 6 2 2 2 3 2 3" xfId="11967" xr:uid="{35F1AE44-FEE5-4629-A1A2-B150A9309BDB}"/>
    <cellStyle name="Normal 4 6 2 2 2 3 3" xfId="5598" xr:uid="{00000000-0005-0000-0000-00000D160000}"/>
    <cellStyle name="Normal 4 6 2 2 2 3 3 2" xfId="14040" xr:uid="{21E13322-D363-4E38-B18A-1C51E3E876E9}"/>
    <cellStyle name="Normal 4 6 2 2 2 3 4" xfId="9822" xr:uid="{C0D42A2F-8B45-4B52-B8FE-4E159C83567E}"/>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BACDAC40-2E6A-4D80-91BB-EC4DFAA62E28}"/>
    <cellStyle name="Normal 4 6 2 2 2 4 2 3" xfId="12380" xr:uid="{6EA42294-ED0D-4CB8-8530-F86725523A01}"/>
    <cellStyle name="Normal 4 6 2 2 2 4 3" xfId="6011" xr:uid="{00000000-0005-0000-0000-000011160000}"/>
    <cellStyle name="Normal 4 6 2 2 2 4 3 2" xfId="14453" xr:uid="{6B73C6D7-FA0B-4CDF-9520-E84F2982F8BB}"/>
    <cellStyle name="Normal 4 6 2 2 2 4 4" xfId="10235" xr:uid="{9A14C1D4-C7B8-4CDD-85EF-EF865C247E53}"/>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7B0DA9D2-F5F1-4172-8E98-8F9B2065E12A}"/>
    <cellStyle name="Normal 4 6 2 2 2 5 2 3" xfId="12793" xr:uid="{66EFB93F-8A98-4497-9787-6E0290F82C5C}"/>
    <cellStyle name="Normal 4 6 2 2 2 5 3" xfId="6424" xr:uid="{00000000-0005-0000-0000-000015160000}"/>
    <cellStyle name="Normal 4 6 2 2 2 5 3 2" xfId="14866" xr:uid="{D4E06663-AD27-4225-AFBF-D3994DED56F6}"/>
    <cellStyle name="Normal 4 6 2 2 2 5 4" xfId="10648" xr:uid="{F30160ED-78E1-48B0-B228-57FCEA9F40ED}"/>
    <cellStyle name="Normal 4 6 2 2 2 6" xfId="2553" xr:uid="{00000000-0005-0000-0000-000016160000}"/>
    <cellStyle name="Normal 4 6 2 2 2 6 2" xfId="6837" xr:uid="{00000000-0005-0000-0000-000017160000}"/>
    <cellStyle name="Normal 4 6 2 2 2 6 2 2" xfId="15279" xr:uid="{773BF9B2-6444-4933-B822-28C6B311EC06}"/>
    <cellStyle name="Normal 4 6 2 2 2 6 3" xfId="11061" xr:uid="{F184D4F9-BCF9-42A7-B4EC-5CA52D0A551F}"/>
    <cellStyle name="Normal 4 6 2 2 2 7" xfId="4772" xr:uid="{00000000-0005-0000-0000-000018160000}"/>
    <cellStyle name="Normal 4 6 2 2 2 7 2" xfId="13214" xr:uid="{1F21F215-A4F0-41D4-AED3-6A7A2B5D6E0A}"/>
    <cellStyle name="Normal 4 6 2 2 2 8" xfId="8996" xr:uid="{432992CC-D634-4A2F-A881-88D6018B8933}"/>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6F3D2BE2-9AB5-4D2E-BF8A-9C9496B9998D}"/>
    <cellStyle name="Normal 4 6 2 2 3 2 3" xfId="11553" xr:uid="{374773CF-2DA5-417A-AF98-26551A11F150}"/>
    <cellStyle name="Normal 4 6 2 2 3 3" xfId="5184" xr:uid="{00000000-0005-0000-0000-00001C160000}"/>
    <cellStyle name="Normal 4 6 2 2 3 3 2" xfId="13626" xr:uid="{ACC834B9-5159-418F-BE87-A50FC5CC6E33}"/>
    <cellStyle name="Normal 4 6 2 2 3 4" xfId="9408" xr:uid="{29028846-281C-48C1-ADB2-47C058850BA4}"/>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5A2A66F4-02B0-4FE3-A33E-D247859C7ABF}"/>
    <cellStyle name="Normal 4 6 2 2 4 2 3" xfId="11966" xr:uid="{E053FB33-6225-49BC-985F-D69002438D78}"/>
    <cellStyle name="Normal 4 6 2 2 4 3" xfId="5597" xr:uid="{00000000-0005-0000-0000-000020160000}"/>
    <cellStyle name="Normal 4 6 2 2 4 3 2" xfId="14039" xr:uid="{1FF3AFF4-7E4E-4A03-B5D7-35D340333001}"/>
    <cellStyle name="Normal 4 6 2 2 4 4" xfId="9821" xr:uid="{B0FA9999-0718-414E-8AB1-3E02E12CCE5B}"/>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C33872BB-CA32-4D0C-A1D2-D9135C5C3CC1}"/>
    <cellStyle name="Normal 4 6 2 2 5 2 3" xfId="12379" xr:uid="{5F992D93-0D61-4196-BCD2-52A9FE499D1F}"/>
    <cellStyle name="Normal 4 6 2 2 5 3" xfId="6010" xr:uid="{00000000-0005-0000-0000-000024160000}"/>
    <cellStyle name="Normal 4 6 2 2 5 3 2" xfId="14452" xr:uid="{45813840-66F5-4F7A-BDBA-C01BFD334B6B}"/>
    <cellStyle name="Normal 4 6 2 2 5 4" xfId="10234" xr:uid="{0941C648-6206-4CA3-98F5-D9A94F9A3A43}"/>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8D07600D-B59E-42DE-BCAB-3DD3026C5452}"/>
    <cellStyle name="Normal 4 6 2 2 6 2 3" xfId="12792" xr:uid="{CA5D7F30-B54E-43BD-A43D-C6A2746606F4}"/>
    <cellStyle name="Normal 4 6 2 2 6 3" xfId="6423" xr:uid="{00000000-0005-0000-0000-000028160000}"/>
    <cellStyle name="Normal 4 6 2 2 6 3 2" xfId="14865" xr:uid="{DB6FFBB0-309D-467C-84B1-CDC08C99FF07}"/>
    <cellStyle name="Normal 4 6 2 2 6 4" xfId="10647" xr:uid="{E5F56A02-189C-4FAA-8EF3-B8C8EF3DBC4B}"/>
    <cellStyle name="Normal 4 6 2 2 7" xfId="2552" xr:uid="{00000000-0005-0000-0000-000029160000}"/>
    <cellStyle name="Normal 4 6 2 2 7 2" xfId="6836" xr:uid="{00000000-0005-0000-0000-00002A160000}"/>
    <cellStyle name="Normal 4 6 2 2 7 2 2" xfId="15278" xr:uid="{A78E2A10-EA5D-4725-AF1E-8E9E809007C2}"/>
    <cellStyle name="Normal 4 6 2 2 7 3" xfId="11060" xr:uid="{43FCDE20-EB91-40E5-80CA-439EA0D34447}"/>
    <cellStyle name="Normal 4 6 2 2 8" xfId="4771" xr:uid="{00000000-0005-0000-0000-00002B160000}"/>
    <cellStyle name="Normal 4 6 2 2 8 2" xfId="13213" xr:uid="{E6D3E6F9-3F37-4E84-95BA-41D9B81C4A6D}"/>
    <cellStyle name="Normal 4 6 2 2 9" xfId="8995" xr:uid="{CDAA270B-1F00-4DA8-B8E0-457FEEB812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E10EE713-C240-4E8A-8E91-017E945AE245}"/>
    <cellStyle name="Normal 4 6 2 3 2 2 3" xfId="11555" xr:uid="{246C1CB2-3AF6-4998-A9EE-6E60DE97C36E}"/>
    <cellStyle name="Normal 4 6 2 3 2 3" xfId="5186" xr:uid="{00000000-0005-0000-0000-000030160000}"/>
    <cellStyle name="Normal 4 6 2 3 2 3 2" xfId="13628" xr:uid="{D7FF07DD-C25E-4E94-9B29-8F4584AA5482}"/>
    <cellStyle name="Normal 4 6 2 3 2 4" xfId="9410" xr:uid="{6D9CDE62-7A20-48DF-BF80-A50168E05FEC}"/>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8EAD97A0-00BF-42CA-A9FE-D4BDE0DFFFB4}"/>
    <cellStyle name="Normal 4 6 2 3 3 2 3" xfId="11968" xr:uid="{8BD0BBBB-AFBC-4383-B21F-9A46F1BD2367}"/>
    <cellStyle name="Normal 4 6 2 3 3 3" xfId="5599" xr:uid="{00000000-0005-0000-0000-000034160000}"/>
    <cellStyle name="Normal 4 6 2 3 3 3 2" xfId="14041" xr:uid="{C16FB653-6ACA-4F6D-977D-0E5DEF2D49EF}"/>
    <cellStyle name="Normal 4 6 2 3 3 4" xfId="9823" xr:uid="{13E12D71-0CB8-4AFC-B783-D1F54312D375}"/>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DA493066-45D6-4202-A569-CFF078487A03}"/>
    <cellStyle name="Normal 4 6 2 3 4 2 3" xfId="12381" xr:uid="{D551BE58-1531-45CA-944F-DB6641B29DF3}"/>
    <cellStyle name="Normal 4 6 2 3 4 3" xfId="6012" xr:uid="{00000000-0005-0000-0000-000038160000}"/>
    <cellStyle name="Normal 4 6 2 3 4 3 2" xfId="14454" xr:uid="{3CA2B9BA-AFAD-4DF3-8590-78FC73D8CAF6}"/>
    <cellStyle name="Normal 4 6 2 3 4 4" xfId="10236" xr:uid="{554DAC43-0F67-468D-8750-608C37104992}"/>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23DEDFAF-70AD-417A-A942-09E713D0ADA2}"/>
    <cellStyle name="Normal 4 6 2 3 5 2 3" xfId="12794" xr:uid="{6407A8BD-0186-4099-8A7F-DBC38BC1C2F6}"/>
    <cellStyle name="Normal 4 6 2 3 5 3" xfId="6425" xr:uid="{00000000-0005-0000-0000-00003C160000}"/>
    <cellStyle name="Normal 4 6 2 3 5 3 2" xfId="14867" xr:uid="{115D05C1-EF26-42FA-84D5-431263ACB802}"/>
    <cellStyle name="Normal 4 6 2 3 5 4" xfId="10649" xr:uid="{AB37667A-A139-45B7-AC60-481EE3076CC8}"/>
    <cellStyle name="Normal 4 6 2 3 6" xfId="2554" xr:uid="{00000000-0005-0000-0000-00003D160000}"/>
    <cellStyle name="Normal 4 6 2 3 6 2" xfId="6838" xr:uid="{00000000-0005-0000-0000-00003E160000}"/>
    <cellStyle name="Normal 4 6 2 3 6 2 2" xfId="15280" xr:uid="{76A07A3A-8C70-48CA-949F-2E6188951FCD}"/>
    <cellStyle name="Normal 4 6 2 3 6 3" xfId="11062" xr:uid="{F372D3F3-AEBE-4F1E-9B17-D1519E409061}"/>
    <cellStyle name="Normal 4 6 2 3 7" xfId="4773" xr:uid="{00000000-0005-0000-0000-00003F160000}"/>
    <cellStyle name="Normal 4 6 2 3 7 2" xfId="13215" xr:uid="{30836898-D21C-4132-84EE-6129833C0E71}"/>
    <cellStyle name="Normal 4 6 2 3 8" xfId="8997" xr:uid="{B5564D09-C84D-4761-B11B-C968744FF878}"/>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9D894B6E-D825-43D8-9126-10AE21B8933F}"/>
    <cellStyle name="Normal 4 6 2 4 2 3" xfId="11552" xr:uid="{272DCE75-6285-43DB-B5BD-FF31B0F17C83}"/>
    <cellStyle name="Normal 4 6 2 4 3" xfId="5183" xr:uid="{00000000-0005-0000-0000-000043160000}"/>
    <cellStyle name="Normal 4 6 2 4 3 2" xfId="13625" xr:uid="{B51765AD-CC56-4905-91FD-1EDFA67874B2}"/>
    <cellStyle name="Normal 4 6 2 4 4" xfId="9407" xr:uid="{C602F11F-F601-42A1-B575-49C2EB8426B8}"/>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8A255106-07C6-419C-83C7-718EE81491F8}"/>
    <cellStyle name="Normal 4 6 2 5 2 3" xfId="11965" xr:uid="{BC8BFA50-7B33-42F3-9C17-AF615A1A3E75}"/>
    <cellStyle name="Normal 4 6 2 5 3" xfId="5596" xr:uid="{00000000-0005-0000-0000-000047160000}"/>
    <cellStyle name="Normal 4 6 2 5 3 2" xfId="14038" xr:uid="{E13B6836-F796-4A4E-98FA-353BD6FEF54F}"/>
    <cellStyle name="Normal 4 6 2 5 4" xfId="9820" xr:uid="{6F9D20EB-2043-4C75-A621-C216EA092F1A}"/>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865C1BB9-2649-477D-A425-C16FECC62EC8}"/>
    <cellStyle name="Normal 4 6 2 6 2 3" xfId="12378" xr:uid="{6537033B-5873-467E-817E-DC0837F9920A}"/>
    <cellStyle name="Normal 4 6 2 6 3" xfId="6009" xr:uid="{00000000-0005-0000-0000-00004B160000}"/>
    <cellStyle name="Normal 4 6 2 6 3 2" xfId="14451" xr:uid="{87858AC9-4982-429E-B9C3-93DB04567081}"/>
    <cellStyle name="Normal 4 6 2 6 4" xfId="10233" xr:uid="{DEA9CFF4-4C26-43F9-B604-0DF61712F35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2A9C88AB-7375-4612-AE75-F3C675FAA568}"/>
    <cellStyle name="Normal 4 6 2 7 2 3" xfId="12791" xr:uid="{568B938D-D214-4F89-A732-F853A78903C3}"/>
    <cellStyle name="Normal 4 6 2 7 3" xfId="6422" xr:uid="{00000000-0005-0000-0000-00004F160000}"/>
    <cellStyle name="Normal 4 6 2 7 3 2" xfId="14864" xr:uid="{E3CD1FA2-06A8-41EB-9681-B3A9BF26AC50}"/>
    <cellStyle name="Normal 4 6 2 7 4" xfId="10646" xr:uid="{C3981B72-38CA-47A4-A59B-5A66F0793EE1}"/>
    <cellStyle name="Normal 4 6 2 8" xfId="2551" xr:uid="{00000000-0005-0000-0000-000050160000}"/>
    <cellStyle name="Normal 4 6 2 8 2" xfId="6835" xr:uid="{00000000-0005-0000-0000-000051160000}"/>
    <cellStyle name="Normal 4 6 2 8 2 2" xfId="15277" xr:uid="{371E47BF-F1AD-47F8-91C5-915B5096B2D1}"/>
    <cellStyle name="Normal 4 6 2 8 3" xfId="11059" xr:uid="{4103312F-CBFF-42BF-AD5C-D295D5A93681}"/>
    <cellStyle name="Normal 4 6 2 9" xfId="4770" xr:uid="{00000000-0005-0000-0000-000052160000}"/>
    <cellStyle name="Normal 4 6 2 9 2" xfId="13212" xr:uid="{2355FBEA-0F52-4617-A2F0-00A96718BDF3}"/>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8D1A53B3-E96C-477A-8B3D-D6E2C0578697}"/>
    <cellStyle name="Normal 4 6 3 2 2 2 3" xfId="11557" xr:uid="{3A489DC7-CA87-451E-95CE-6B6ACB9D6845}"/>
    <cellStyle name="Normal 4 6 3 2 2 3" xfId="5188" xr:uid="{00000000-0005-0000-0000-000058160000}"/>
    <cellStyle name="Normal 4 6 3 2 2 3 2" xfId="13630" xr:uid="{E16C04A0-98C8-449E-BB1C-0D99C0977164}"/>
    <cellStyle name="Normal 4 6 3 2 2 4" xfId="9412" xr:uid="{791F5C54-AFB7-4415-8F3D-6B3773737414}"/>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4ABC53B4-FF45-4F04-A637-52EB611F2EA7}"/>
    <cellStyle name="Normal 4 6 3 2 3 2 3" xfId="11970" xr:uid="{BED759BD-9322-4180-BDDC-FBD0A27CED31}"/>
    <cellStyle name="Normal 4 6 3 2 3 3" xfId="5601" xr:uid="{00000000-0005-0000-0000-00005C160000}"/>
    <cellStyle name="Normal 4 6 3 2 3 3 2" xfId="14043" xr:uid="{645ADD36-E770-4955-986B-F55CEBCEA193}"/>
    <cellStyle name="Normal 4 6 3 2 3 4" xfId="9825" xr:uid="{9EA1ACF1-CC5D-4955-BBF9-9A99472366CC}"/>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E48E0FD9-9315-44B5-BD5D-1E6FE27CF794}"/>
    <cellStyle name="Normal 4 6 3 2 4 2 3" xfId="12383" xr:uid="{11BB7793-A1DE-4DF7-B8FB-F051D97E317E}"/>
    <cellStyle name="Normal 4 6 3 2 4 3" xfId="6014" xr:uid="{00000000-0005-0000-0000-000060160000}"/>
    <cellStyle name="Normal 4 6 3 2 4 3 2" xfId="14456" xr:uid="{6000EC91-445D-4DBA-BE89-301ED0BD72E0}"/>
    <cellStyle name="Normal 4 6 3 2 4 4" xfId="10238" xr:uid="{CC2CAAA3-09B8-40BC-AC72-6FB6B1DB44E0}"/>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1B03F9A7-61B7-4805-AA89-DE32CF43C8E5}"/>
    <cellStyle name="Normal 4 6 3 2 5 2 3" xfId="12796" xr:uid="{59A67F0C-9ABB-4164-BB65-D76A4F9C8C32}"/>
    <cellStyle name="Normal 4 6 3 2 5 3" xfId="6427" xr:uid="{00000000-0005-0000-0000-000064160000}"/>
    <cellStyle name="Normal 4 6 3 2 5 3 2" xfId="14869" xr:uid="{16734F36-26C2-4A76-B766-4E0DFB04F494}"/>
    <cellStyle name="Normal 4 6 3 2 5 4" xfId="10651" xr:uid="{7B89811C-1397-4B8E-B28C-0DA9D85ACE94}"/>
    <cellStyle name="Normal 4 6 3 2 6" xfId="2556" xr:uid="{00000000-0005-0000-0000-000065160000}"/>
    <cellStyle name="Normal 4 6 3 2 6 2" xfId="6840" xr:uid="{00000000-0005-0000-0000-000066160000}"/>
    <cellStyle name="Normal 4 6 3 2 6 2 2" xfId="15282" xr:uid="{B76A8427-830F-4A1B-A4FB-73B8C16E6C8F}"/>
    <cellStyle name="Normal 4 6 3 2 6 3" xfId="11064" xr:uid="{C271C800-639A-432E-91E6-06465BA42F79}"/>
    <cellStyle name="Normal 4 6 3 2 7" xfId="4775" xr:uid="{00000000-0005-0000-0000-000067160000}"/>
    <cellStyle name="Normal 4 6 3 2 7 2" xfId="13217" xr:uid="{FD9A5370-1CFA-4EA9-A8E8-C16A9C9464EC}"/>
    <cellStyle name="Normal 4 6 3 2 8" xfId="8999" xr:uid="{BBF659BD-7F24-490B-8D96-82B1DB5A1A8B}"/>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0F085EBE-D412-4559-A038-39ECF9317817}"/>
    <cellStyle name="Normal 4 6 3 3 2 3" xfId="11556" xr:uid="{3F0F18B3-BCC4-47AC-9AFD-7ED0EA86CEEE}"/>
    <cellStyle name="Normal 4 6 3 3 3" xfId="5187" xr:uid="{00000000-0005-0000-0000-00006B160000}"/>
    <cellStyle name="Normal 4 6 3 3 3 2" xfId="13629" xr:uid="{F290CB20-C7C6-49D4-8466-0EA2EF1B98B8}"/>
    <cellStyle name="Normal 4 6 3 3 4" xfId="9411" xr:uid="{0D8F5750-0E11-4390-A6FE-50D88AD7D4A3}"/>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18B1300E-5B52-4A2C-97C9-B2E9E84D5F00}"/>
    <cellStyle name="Normal 4 6 3 4 2 3" xfId="11969" xr:uid="{7101E55B-3DC4-49F0-83C3-403F55AC4786}"/>
    <cellStyle name="Normal 4 6 3 4 3" xfId="5600" xr:uid="{00000000-0005-0000-0000-00006F160000}"/>
    <cellStyle name="Normal 4 6 3 4 3 2" xfId="14042" xr:uid="{8D0F69AD-6F91-485B-8A33-379C51C559F0}"/>
    <cellStyle name="Normal 4 6 3 4 4" xfId="9824" xr:uid="{5E80DEBC-DE4E-40C2-8F4A-12D2DB56AAD8}"/>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A20B0332-4BB7-44E0-ABE2-BB27632127D9}"/>
    <cellStyle name="Normal 4 6 3 5 2 3" xfId="12382" xr:uid="{B6438D14-DFA7-41CB-9CDE-EDD9FF9CC6CA}"/>
    <cellStyle name="Normal 4 6 3 5 3" xfId="6013" xr:uid="{00000000-0005-0000-0000-000073160000}"/>
    <cellStyle name="Normal 4 6 3 5 3 2" xfId="14455" xr:uid="{26FDF186-E37E-47E3-9813-00D5A76C66E4}"/>
    <cellStyle name="Normal 4 6 3 5 4" xfId="10237" xr:uid="{C9A2CDD3-1EC8-44E1-9C1B-FF2BD006179B}"/>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0D31737F-7F72-4E01-BCD8-E8AF865E9CAC}"/>
    <cellStyle name="Normal 4 6 3 6 2 3" xfId="12795" xr:uid="{0AEE3ECB-0245-43EC-A1A2-EC7DDC73D171}"/>
    <cellStyle name="Normal 4 6 3 6 3" xfId="6426" xr:uid="{00000000-0005-0000-0000-000077160000}"/>
    <cellStyle name="Normal 4 6 3 6 3 2" xfId="14868" xr:uid="{5F9EBBB8-F084-4903-9981-00C00E7A5A89}"/>
    <cellStyle name="Normal 4 6 3 6 4" xfId="10650" xr:uid="{7AA128A8-0204-436B-86B4-2A6E263F68A7}"/>
    <cellStyle name="Normal 4 6 3 7" xfId="2555" xr:uid="{00000000-0005-0000-0000-000078160000}"/>
    <cellStyle name="Normal 4 6 3 7 2" xfId="6839" xr:uid="{00000000-0005-0000-0000-000079160000}"/>
    <cellStyle name="Normal 4 6 3 7 2 2" xfId="15281" xr:uid="{BEA6B62B-DD3D-4C17-9706-C0F27B573D89}"/>
    <cellStyle name="Normal 4 6 3 7 3" xfId="11063" xr:uid="{E2B85E34-6D5C-45F8-959E-F431D25EEFF8}"/>
    <cellStyle name="Normal 4 6 3 8" xfId="4774" xr:uid="{00000000-0005-0000-0000-00007A160000}"/>
    <cellStyle name="Normal 4 6 3 8 2" xfId="13216" xr:uid="{A09DCE80-434D-41DC-A7EB-14F18AB9AD67}"/>
    <cellStyle name="Normal 4 6 3 9" xfId="8998" xr:uid="{48F849A0-0FA9-4284-8772-5B41B298B60C}"/>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B1431828-82A6-466D-A051-E4030CBBE570}"/>
    <cellStyle name="Normal 4 6 4 2 2 3" xfId="11558" xr:uid="{03F0C6B4-6640-4257-90DC-BB68C6A3E89A}"/>
    <cellStyle name="Normal 4 6 4 2 3" xfId="5189" xr:uid="{00000000-0005-0000-0000-00007F160000}"/>
    <cellStyle name="Normal 4 6 4 2 3 2" xfId="13631" xr:uid="{F36A001E-A60D-4178-B7CB-36B9EE05EB24}"/>
    <cellStyle name="Normal 4 6 4 2 4" xfId="9413" xr:uid="{94C95E32-9A0E-44DF-85BB-28BEA039C3A0}"/>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9FA4A147-6C8F-4AB8-AF99-3168DC0A94B5}"/>
    <cellStyle name="Normal 4 6 4 3 2 3" xfId="11971" xr:uid="{5637B08D-F423-4369-98C1-083EEECE3696}"/>
    <cellStyle name="Normal 4 6 4 3 3" xfId="5602" xr:uid="{00000000-0005-0000-0000-000083160000}"/>
    <cellStyle name="Normal 4 6 4 3 3 2" xfId="14044" xr:uid="{E3F5E7D0-ADC0-404F-90FC-806233418688}"/>
    <cellStyle name="Normal 4 6 4 3 4" xfId="9826" xr:uid="{780679DB-358F-4D51-A04F-AB144C8BB75F}"/>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5BB0BBBF-B2D6-4248-91BD-AD873974DA6D}"/>
    <cellStyle name="Normal 4 6 4 4 2 3" xfId="12384" xr:uid="{2A1CE6DF-C90D-4F82-B738-4840E221FEC5}"/>
    <cellStyle name="Normal 4 6 4 4 3" xfId="6015" xr:uid="{00000000-0005-0000-0000-000087160000}"/>
    <cellStyle name="Normal 4 6 4 4 3 2" xfId="14457" xr:uid="{401D99DA-7494-48A3-AEC7-025652A45598}"/>
    <cellStyle name="Normal 4 6 4 4 4" xfId="10239" xr:uid="{7965EB41-C20B-4D5B-AD30-1CCF3BD083DE}"/>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F13DE345-C85F-4D1F-AF5A-21E9C61865EB}"/>
    <cellStyle name="Normal 4 6 4 5 2 3" xfId="12797" xr:uid="{0B8F0FA8-B6A4-49C3-984A-25B4A6231EF6}"/>
    <cellStyle name="Normal 4 6 4 5 3" xfId="6428" xr:uid="{00000000-0005-0000-0000-00008B160000}"/>
    <cellStyle name="Normal 4 6 4 5 3 2" xfId="14870" xr:uid="{9988D8DD-771A-49CD-AF78-797376378ED3}"/>
    <cellStyle name="Normal 4 6 4 5 4" xfId="10652" xr:uid="{E5918AB3-2C38-4E2A-A3C1-4A8C1D763A02}"/>
    <cellStyle name="Normal 4 6 4 6" xfId="2557" xr:uid="{00000000-0005-0000-0000-00008C160000}"/>
    <cellStyle name="Normal 4 6 4 6 2" xfId="6841" xr:uid="{00000000-0005-0000-0000-00008D160000}"/>
    <cellStyle name="Normal 4 6 4 6 2 2" xfId="15283" xr:uid="{8400F402-32D9-47EA-97BA-3D16D15E4EFC}"/>
    <cellStyle name="Normal 4 6 4 6 3" xfId="11065" xr:uid="{F8BDA521-A941-4967-A89C-EBEF280E02ED}"/>
    <cellStyle name="Normal 4 6 4 7" xfId="4776" xr:uid="{00000000-0005-0000-0000-00008E160000}"/>
    <cellStyle name="Normal 4 6 4 7 2" xfId="13218" xr:uid="{345ED60C-DA89-4451-AA42-F6F227B12FCD}"/>
    <cellStyle name="Normal 4 6 4 8" xfId="9000" xr:uid="{C3BB9A6A-1C02-4DB5-B04A-4F7BBBA6BA34}"/>
    <cellStyle name="Normal 4 6 5" xfId="869" xr:uid="{00000000-0005-0000-0000-00008F160000}"/>
    <cellStyle name="Normal 4 6 5 2" xfId="3104" xr:uid="{00000000-0005-0000-0000-000090160000}"/>
    <cellStyle name="Normal 4 6 5 2 2" xfId="7327" xr:uid="{00000000-0005-0000-0000-000091160000}"/>
    <cellStyle name="Normal 4 6 5 2 2 2" xfId="15769" xr:uid="{3BAC7786-E5E1-4FAC-8459-54D5EE3EFD02}"/>
    <cellStyle name="Normal 4 6 5 2 3" xfId="11551" xr:uid="{C3271584-E5A7-463F-9290-750D37C29FF2}"/>
    <cellStyle name="Normal 4 6 5 3" xfId="5182" xr:uid="{00000000-0005-0000-0000-000092160000}"/>
    <cellStyle name="Normal 4 6 5 3 2" xfId="13624" xr:uid="{1928498B-6B5A-4116-8897-6F6F0353F22B}"/>
    <cellStyle name="Normal 4 6 5 4" xfId="9406" xr:uid="{B5F46076-03A3-4374-A9AF-0E242933C1B8}"/>
    <cellStyle name="Normal 4 6 6" xfId="1287" xr:uid="{00000000-0005-0000-0000-000093160000}"/>
    <cellStyle name="Normal 4 6 6 2" xfId="3517" xr:uid="{00000000-0005-0000-0000-000094160000}"/>
    <cellStyle name="Normal 4 6 6 2 2" xfId="7740" xr:uid="{00000000-0005-0000-0000-000095160000}"/>
    <cellStyle name="Normal 4 6 6 2 2 2" xfId="16182" xr:uid="{54EBCBE4-6710-4FBA-B405-632E3A6C1BEF}"/>
    <cellStyle name="Normal 4 6 6 2 3" xfId="11964" xr:uid="{F8E0996A-B3FD-4B96-83D6-B11DA2460A76}"/>
    <cellStyle name="Normal 4 6 6 3" xfId="5595" xr:uid="{00000000-0005-0000-0000-000096160000}"/>
    <cellStyle name="Normal 4 6 6 3 2" xfId="14037" xr:uid="{C0E4FC85-FD59-4FB9-8770-F7C2642AFE86}"/>
    <cellStyle name="Normal 4 6 6 4" xfId="9819" xr:uid="{237DAB36-0F69-4566-802D-CDA5251027CB}"/>
    <cellStyle name="Normal 4 6 7" xfId="1700" xr:uid="{00000000-0005-0000-0000-000097160000}"/>
    <cellStyle name="Normal 4 6 7 2" xfId="3930" xr:uid="{00000000-0005-0000-0000-000098160000}"/>
    <cellStyle name="Normal 4 6 7 2 2" xfId="8153" xr:uid="{00000000-0005-0000-0000-000099160000}"/>
    <cellStyle name="Normal 4 6 7 2 2 2" xfId="16595" xr:uid="{84FE1A8D-0BA5-49DF-AE30-4D29155D0838}"/>
    <cellStyle name="Normal 4 6 7 2 3" xfId="12377" xr:uid="{935BC34D-9BA3-48B0-A8C0-2E338A0FC2E9}"/>
    <cellStyle name="Normal 4 6 7 3" xfId="6008" xr:uid="{00000000-0005-0000-0000-00009A160000}"/>
    <cellStyle name="Normal 4 6 7 3 2" xfId="14450" xr:uid="{3B65C028-6DA5-4DF9-9982-0120E50AE8FC}"/>
    <cellStyle name="Normal 4 6 7 4" xfId="10232" xr:uid="{D2E33705-57CE-4B4C-A5A0-29C576C11938}"/>
    <cellStyle name="Normal 4 6 8" xfId="2114" xr:uid="{00000000-0005-0000-0000-00009B160000}"/>
    <cellStyle name="Normal 4 6 8 2" xfId="4343" xr:uid="{00000000-0005-0000-0000-00009C160000}"/>
    <cellStyle name="Normal 4 6 8 2 2" xfId="8566" xr:uid="{00000000-0005-0000-0000-00009D160000}"/>
    <cellStyle name="Normal 4 6 8 2 2 2" xfId="17008" xr:uid="{A737992A-02D3-45C8-A52D-620967C0BB2C}"/>
    <cellStyle name="Normal 4 6 8 2 3" xfId="12790" xr:uid="{ECB2DCF0-40B9-4118-8B89-C8D64F0BBA84}"/>
    <cellStyle name="Normal 4 6 8 3" xfId="6421" xr:uid="{00000000-0005-0000-0000-00009E160000}"/>
    <cellStyle name="Normal 4 6 8 3 2" xfId="14863" xr:uid="{D97A7745-63E0-4FBF-AEA5-71AEA84DD464}"/>
    <cellStyle name="Normal 4 6 8 4" xfId="10645" xr:uid="{367E4292-4C94-4F06-9724-3D7813D1CC3D}"/>
    <cellStyle name="Normal 4 6 9" xfId="2550" xr:uid="{00000000-0005-0000-0000-00009F160000}"/>
    <cellStyle name="Normal 4 6 9 2" xfId="6834" xr:uid="{00000000-0005-0000-0000-0000A0160000}"/>
    <cellStyle name="Normal 4 6 9 2 2" xfId="15276" xr:uid="{BAA8129B-0EFC-460A-8457-E41DF590E4D1}"/>
    <cellStyle name="Normal 4 6 9 3" xfId="11058" xr:uid="{F134CB4A-BC40-4319-A1F6-1F713AE9BACB}"/>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924F25B4-EF8B-42E6-BB3B-3A26EE5EB7C5}"/>
    <cellStyle name="Normal 4 7 2 2 2 3" xfId="11560" xr:uid="{61ED5F5A-A4E8-49B5-8593-328171C75A29}"/>
    <cellStyle name="Normal 4 7 2 2 3" xfId="5191" xr:uid="{00000000-0005-0000-0000-0000A6160000}"/>
    <cellStyle name="Normal 4 7 2 2 3 2" xfId="13633" xr:uid="{C86E6B29-8681-4D82-9CF4-DB43B36BD36C}"/>
    <cellStyle name="Normal 4 7 2 2 4" xfId="9415" xr:uid="{BF8D7017-D0E9-4AB5-B94E-747216D30B09}"/>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396EA454-F40A-42E9-B3D8-93492AA0049E}"/>
    <cellStyle name="Normal 4 7 2 3 2 3" xfId="11973" xr:uid="{B7AD34DE-DBF5-4754-83AD-55A8DE9C08F6}"/>
    <cellStyle name="Normal 4 7 2 3 3" xfId="5604" xr:uid="{00000000-0005-0000-0000-0000AA160000}"/>
    <cellStyle name="Normal 4 7 2 3 3 2" xfId="14046" xr:uid="{6746B266-5DE5-48E1-AA9D-99365428BD6B}"/>
    <cellStyle name="Normal 4 7 2 3 4" xfId="9828" xr:uid="{310499DB-843E-44A4-818C-978F5DE56F0F}"/>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1A7F0C35-B2D3-4657-94D1-BFEB249CFB32}"/>
    <cellStyle name="Normal 4 7 2 4 2 3" xfId="12386" xr:uid="{049A476F-8AEE-4AB0-B265-79AA5E35087F}"/>
    <cellStyle name="Normal 4 7 2 4 3" xfId="6017" xr:uid="{00000000-0005-0000-0000-0000AE160000}"/>
    <cellStyle name="Normal 4 7 2 4 3 2" xfId="14459" xr:uid="{D3BA1ED7-E4C9-4DFB-9186-F593E01085EE}"/>
    <cellStyle name="Normal 4 7 2 4 4" xfId="10241" xr:uid="{D2B017E2-B17C-4060-ADAC-24B9CD5BEFE1}"/>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E47B7AAB-261F-4CBA-9299-1540DF2DA70D}"/>
    <cellStyle name="Normal 4 7 2 5 2 3" xfId="12799" xr:uid="{B94D9EF1-8BD8-4BDD-A3A7-609594235E1A}"/>
    <cellStyle name="Normal 4 7 2 5 3" xfId="6430" xr:uid="{00000000-0005-0000-0000-0000B2160000}"/>
    <cellStyle name="Normal 4 7 2 5 3 2" xfId="14872" xr:uid="{5EC00783-A35C-49DB-BCDB-E6477F09D091}"/>
    <cellStyle name="Normal 4 7 2 5 4" xfId="10654" xr:uid="{E3EB9D3A-E296-45C3-9407-5179C7C668E6}"/>
    <cellStyle name="Normal 4 7 2 6" xfId="2559" xr:uid="{00000000-0005-0000-0000-0000B3160000}"/>
    <cellStyle name="Normal 4 7 2 6 2" xfId="6843" xr:uid="{00000000-0005-0000-0000-0000B4160000}"/>
    <cellStyle name="Normal 4 7 2 6 2 2" xfId="15285" xr:uid="{11A41805-C859-4A76-98E8-4A3CC4976A19}"/>
    <cellStyle name="Normal 4 7 2 6 3" xfId="11067" xr:uid="{6EDDCE39-39F9-4638-BFE7-B337EFC559BE}"/>
    <cellStyle name="Normal 4 7 2 7" xfId="4778" xr:uid="{00000000-0005-0000-0000-0000B5160000}"/>
    <cellStyle name="Normal 4 7 2 7 2" xfId="13220" xr:uid="{253C6338-3357-48AC-9433-40CDBF9DEEB4}"/>
    <cellStyle name="Normal 4 7 2 8" xfId="9002" xr:uid="{AFDDD4AB-8474-49D7-8C6A-89965A9D8C25}"/>
    <cellStyle name="Normal 4 7 3" xfId="877" xr:uid="{00000000-0005-0000-0000-0000B6160000}"/>
    <cellStyle name="Normal 4 7 3 2" xfId="3112" xr:uid="{00000000-0005-0000-0000-0000B7160000}"/>
    <cellStyle name="Normal 4 7 3 2 2" xfId="7335" xr:uid="{00000000-0005-0000-0000-0000B8160000}"/>
    <cellStyle name="Normal 4 7 3 2 2 2" xfId="15777" xr:uid="{808731D2-5044-49E0-8971-4EA40B3DB827}"/>
    <cellStyle name="Normal 4 7 3 2 3" xfId="11559" xr:uid="{4B370891-D71F-41D2-939E-5487882407F0}"/>
    <cellStyle name="Normal 4 7 3 3" xfId="5190" xr:uid="{00000000-0005-0000-0000-0000B9160000}"/>
    <cellStyle name="Normal 4 7 3 3 2" xfId="13632" xr:uid="{924190D2-D834-47C4-850F-43168B3763E3}"/>
    <cellStyle name="Normal 4 7 3 4" xfId="9414" xr:uid="{06A936F7-36E1-4CA0-B11A-AA1B371A4062}"/>
    <cellStyle name="Normal 4 7 4" xfId="1295" xr:uid="{00000000-0005-0000-0000-0000BA160000}"/>
    <cellStyle name="Normal 4 7 4 2" xfId="3525" xr:uid="{00000000-0005-0000-0000-0000BB160000}"/>
    <cellStyle name="Normal 4 7 4 2 2" xfId="7748" xr:uid="{00000000-0005-0000-0000-0000BC160000}"/>
    <cellStyle name="Normal 4 7 4 2 2 2" xfId="16190" xr:uid="{8CF33E0F-EAF6-4101-BDBF-B18F0D458006}"/>
    <cellStyle name="Normal 4 7 4 2 3" xfId="11972" xr:uid="{6815CCE2-9AED-441E-86CA-147C6B420E54}"/>
    <cellStyle name="Normal 4 7 4 3" xfId="5603" xr:uid="{00000000-0005-0000-0000-0000BD160000}"/>
    <cellStyle name="Normal 4 7 4 3 2" xfId="14045" xr:uid="{CE095724-F9D2-4C7B-A64D-2598E60302AC}"/>
    <cellStyle name="Normal 4 7 4 4" xfId="9827" xr:uid="{40D42C72-847C-4C69-8CCC-B0E109592734}"/>
    <cellStyle name="Normal 4 7 5" xfId="1708" xr:uid="{00000000-0005-0000-0000-0000BE160000}"/>
    <cellStyle name="Normal 4 7 5 2" xfId="3938" xr:uid="{00000000-0005-0000-0000-0000BF160000}"/>
    <cellStyle name="Normal 4 7 5 2 2" xfId="8161" xr:uid="{00000000-0005-0000-0000-0000C0160000}"/>
    <cellStyle name="Normal 4 7 5 2 2 2" xfId="16603" xr:uid="{134526A9-DDAB-4D2B-8FCB-89E8267C38D7}"/>
    <cellStyle name="Normal 4 7 5 2 3" xfId="12385" xr:uid="{B1E537C6-5ADE-4ED7-8D74-7C134E708A72}"/>
    <cellStyle name="Normal 4 7 5 3" xfId="6016" xr:uid="{00000000-0005-0000-0000-0000C1160000}"/>
    <cellStyle name="Normal 4 7 5 3 2" xfId="14458" xr:uid="{D8821E53-2780-42A0-A068-12209CE63E15}"/>
    <cellStyle name="Normal 4 7 5 4" xfId="10240" xr:uid="{47B60FC1-123F-464B-9CD9-97F9B4013AA0}"/>
    <cellStyle name="Normal 4 7 6" xfId="2122" xr:uid="{00000000-0005-0000-0000-0000C2160000}"/>
    <cellStyle name="Normal 4 7 6 2" xfId="4351" xr:uid="{00000000-0005-0000-0000-0000C3160000}"/>
    <cellStyle name="Normal 4 7 6 2 2" xfId="8574" xr:uid="{00000000-0005-0000-0000-0000C4160000}"/>
    <cellStyle name="Normal 4 7 6 2 2 2" xfId="17016" xr:uid="{D65A27E5-5FEC-4A24-ADA4-844AF0F6C5BB}"/>
    <cellStyle name="Normal 4 7 6 2 3" xfId="12798" xr:uid="{6CFDA05B-E8E1-4B34-ABA2-3F792661AE5B}"/>
    <cellStyle name="Normal 4 7 6 3" xfId="6429" xr:uid="{00000000-0005-0000-0000-0000C5160000}"/>
    <cellStyle name="Normal 4 7 6 3 2" xfId="14871" xr:uid="{D6694A49-D3C8-4199-B3B7-41C3BD008990}"/>
    <cellStyle name="Normal 4 7 6 4" xfId="10653" xr:uid="{0FF0673F-9B85-46A8-8985-6881EC89EBE7}"/>
    <cellStyle name="Normal 4 7 7" xfId="2558" xr:uid="{00000000-0005-0000-0000-0000C6160000}"/>
    <cellStyle name="Normal 4 7 7 2" xfId="6842" xr:uid="{00000000-0005-0000-0000-0000C7160000}"/>
    <cellStyle name="Normal 4 7 7 2 2" xfId="15284" xr:uid="{AF63F71A-E077-4FDB-A488-3D64BAB55717}"/>
    <cellStyle name="Normal 4 7 7 3" xfId="11066" xr:uid="{6B568B2A-F821-4047-9D40-B33DA477955B}"/>
    <cellStyle name="Normal 4 7 8" xfId="4777" xr:uid="{00000000-0005-0000-0000-0000C8160000}"/>
    <cellStyle name="Normal 4 7 8 2" xfId="13219" xr:uid="{DE9BF9C9-D52C-4EBC-91E9-7024960F0AD5}"/>
    <cellStyle name="Normal 4 7 9" xfId="9001" xr:uid="{CB2D11BD-6889-437F-B4D8-210E6B14C4B3}"/>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8A0F3995-B08C-41A6-A25B-244960F06608}"/>
    <cellStyle name="Normal 4 8 2 2 3" xfId="11561" xr:uid="{38FAE199-E17C-4708-81DD-4C4D090B4F63}"/>
    <cellStyle name="Normal 4 8 2 3" xfId="5192" xr:uid="{00000000-0005-0000-0000-0000CD160000}"/>
    <cellStyle name="Normal 4 8 2 3 2" xfId="13634" xr:uid="{8ECAF1E2-A062-4C38-AE47-AE9F6A21DDA5}"/>
    <cellStyle name="Normal 4 8 2 4" xfId="9416" xr:uid="{677600E0-F0FB-4F97-8D72-F54F97FCF9A9}"/>
    <cellStyle name="Normal 4 8 3" xfId="1297" xr:uid="{00000000-0005-0000-0000-0000CE160000}"/>
    <cellStyle name="Normal 4 8 3 2" xfId="3527" xr:uid="{00000000-0005-0000-0000-0000CF160000}"/>
    <cellStyle name="Normal 4 8 3 2 2" xfId="7750" xr:uid="{00000000-0005-0000-0000-0000D0160000}"/>
    <cellStyle name="Normal 4 8 3 2 2 2" xfId="16192" xr:uid="{1D8AC049-4046-4778-931E-4C434E51A6FD}"/>
    <cellStyle name="Normal 4 8 3 2 3" xfId="11974" xr:uid="{41B99959-627F-49D7-8631-159307E67F04}"/>
    <cellStyle name="Normal 4 8 3 3" xfId="5605" xr:uid="{00000000-0005-0000-0000-0000D1160000}"/>
    <cellStyle name="Normal 4 8 3 3 2" xfId="14047" xr:uid="{C96120E9-1139-4D9A-9A96-A2141EABD10D}"/>
    <cellStyle name="Normal 4 8 3 4" xfId="9829" xr:uid="{60185972-D1F0-49B6-937C-EFC9D25517F2}"/>
    <cellStyle name="Normal 4 8 4" xfId="1710" xr:uid="{00000000-0005-0000-0000-0000D2160000}"/>
    <cellStyle name="Normal 4 8 4 2" xfId="3940" xr:uid="{00000000-0005-0000-0000-0000D3160000}"/>
    <cellStyle name="Normal 4 8 4 2 2" xfId="8163" xr:uid="{00000000-0005-0000-0000-0000D4160000}"/>
    <cellStyle name="Normal 4 8 4 2 2 2" xfId="16605" xr:uid="{B81476F6-7588-4F0C-8BD8-37F99F93A251}"/>
    <cellStyle name="Normal 4 8 4 2 3" xfId="12387" xr:uid="{A299A7C5-AEA4-4C15-8C93-06514A31C88B}"/>
    <cellStyle name="Normal 4 8 4 3" xfId="6018" xr:uid="{00000000-0005-0000-0000-0000D5160000}"/>
    <cellStyle name="Normal 4 8 4 3 2" xfId="14460" xr:uid="{BEC066A7-D2EC-4778-9245-B8F406794CA1}"/>
    <cellStyle name="Normal 4 8 4 4" xfId="10242" xr:uid="{CA063F71-1FEF-4548-B0C7-E25BD97831EC}"/>
    <cellStyle name="Normal 4 8 5" xfId="2124" xr:uid="{00000000-0005-0000-0000-0000D6160000}"/>
    <cellStyle name="Normal 4 8 5 2" xfId="4353" xr:uid="{00000000-0005-0000-0000-0000D7160000}"/>
    <cellStyle name="Normal 4 8 5 2 2" xfId="8576" xr:uid="{00000000-0005-0000-0000-0000D8160000}"/>
    <cellStyle name="Normal 4 8 5 2 2 2" xfId="17018" xr:uid="{7F216925-B9B8-44B3-97CA-FE12201F9DBA}"/>
    <cellStyle name="Normal 4 8 5 2 3" xfId="12800" xr:uid="{AA0EFF5C-CA6B-4035-B1B9-00D8FA5D8B0B}"/>
    <cellStyle name="Normal 4 8 5 3" xfId="6431" xr:uid="{00000000-0005-0000-0000-0000D9160000}"/>
    <cellStyle name="Normal 4 8 5 3 2" xfId="14873" xr:uid="{C40388EE-E676-4769-80A1-65764F96989F}"/>
    <cellStyle name="Normal 4 8 5 4" xfId="10655" xr:uid="{4760BFA5-6133-49DC-B63A-0D1FA6169811}"/>
    <cellStyle name="Normal 4 8 6" xfId="2560" xr:uid="{00000000-0005-0000-0000-0000DA160000}"/>
    <cellStyle name="Normal 4 8 6 2" xfId="6844" xr:uid="{00000000-0005-0000-0000-0000DB160000}"/>
    <cellStyle name="Normal 4 8 6 2 2" xfId="15286" xr:uid="{02A6E1B3-4DE2-4826-94C6-3BAFC65FBE22}"/>
    <cellStyle name="Normal 4 8 6 3" xfId="11068" xr:uid="{46951977-85A1-4044-8BD5-97D067F71BED}"/>
    <cellStyle name="Normal 4 8 7" xfId="4779" xr:uid="{00000000-0005-0000-0000-0000DC160000}"/>
    <cellStyle name="Normal 4 8 7 2" xfId="13221" xr:uid="{0FD07AAF-46B2-4BA1-BD93-11A769B5C980}"/>
    <cellStyle name="Normal 4 8 8" xfId="9003" xr:uid="{C944F03F-6677-4D76-AE15-6F75085ED681}"/>
    <cellStyle name="Normal 4 9" xfId="4716" xr:uid="{00000000-0005-0000-0000-0000DD160000}"/>
    <cellStyle name="Normal 4 9 2" xfId="13158" xr:uid="{03FBCE74-A5DA-4C4F-ADEF-B9EC81523384}"/>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283A9215-0BAA-450B-8620-0192F245240C}"/>
    <cellStyle name="Normal 5 10 2 3" xfId="12388" xr:uid="{C2ABF7B4-4775-47F9-B0E0-9A53036E5403}"/>
    <cellStyle name="Normal 5 10 3" xfId="6019" xr:uid="{00000000-0005-0000-0000-0000E2160000}"/>
    <cellStyle name="Normal 5 10 3 2" xfId="14461" xr:uid="{A155EBA8-F587-44D4-A2D9-D084CE4367C5}"/>
    <cellStyle name="Normal 5 10 4" xfId="10243" xr:uid="{1368E806-96BA-45A3-985B-5E31BCF7F6F1}"/>
    <cellStyle name="Normal 5 11" xfId="2125" xr:uid="{00000000-0005-0000-0000-0000E3160000}"/>
    <cellStyle name="Normal 5 11 2" xfId="4354" xr:uid="{00000000-0005-0000-0000-0000E4160000}"/>
    <cellStyle name="Normal 5 11 2 2" xfId="8577" xr:uid="{00000000-0005-0000-0000-0000E5160000}"/>
    <cellStyle name="Normal 5 11 2 2 2" xfId="17019" xr:uid="{976E7C22-B992-4A79-8FFF-600731C7A3B0}"/>
    <cellStyle name="Normal 5 11 2 3" xfId="12801" xr:uid="{8607F704-226B-4595-88EA-6DAA9C983713}"/>
    <cellStyle name="Normal 5 11 3" xfId="6432" xr:uid="{00000000-0005-0000-0000-0000E6160000}"/>
    <cellStyle name="Normal 5 11 3 2" xfId="14874" xr:uid="{0FFD0F47-A25C-4B55-9E27-5ED89C73B818}"/>
    <cellStyle name="Normal 5 11 4" xfId="10656" xr:uid="{79640F58-2D97-4599-ACE8-4371B54F07AA}"/>
    <cellStyle name="Normal 5 12" xfId="2561" xr:uid="{00000000-0005-0000-0000-0000E7160000}"/>
    <cellStyle name="Normal 5 12 2" xfId="6845" xr:uid="{00000000-0005-0000-0000-0000E8160000}"/>
    <cellStyle name="Normal 5 12 2 2" xfId="15287" xr:uid="{40E0F67A-3C19-4B4B-867D-D764AA6248E3}"/>
    <cellStyle name="Normal 5 12 3" xfId="11069" xr:uid="{813C3B8A-7207-4300-AED6-D83E013125AD}"/>
    <cellStyle name="Normal 5 13" xfId="4780" xr:uid="{00000000-0005-0000-0000-0000E9160000}"/>
    <cellStyle name="Normal 5 13 2" xfId="13222" xr:uid="{7AFAE184-898E-47BB-A887-096D40CB73D0}"/>
    <cellStyle name="Normal 5 14" xfId="9004" xr:uid="{D019095A-1DCA-4D55-83EB-CC3FECEDE496}"/>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C2AED7C8-8662-42F7-8AD3-A588793DDAC5}"/>
    <cellStyle name="Normal 5 2 10 2 3" xfId="12802" xr:uid="{246AEAFB-20C8-41ED-BCF8-CC098C56227F}"/>
    <cellStyle name="Normal 5 2 10 3" xfId="6433" xr:uid="{00000000-0005-0000-0000-0000EE160000}"/>
    <cellStyle name="Normal 5 2 10 3 2" xfId="14875" xr:uid="{BA8E597F-9C9C-45EB-9C05-02E4C4953CAD}"/>
    <cellStyle name="Normal 5 2 10 4" xfId="10657" xr:uid="{51B51F71-1AC1-4EC4-9FDA-6EC17A6CA863}"/>
    <cellStyle name="Normal 5 2 11" xfId="2562" xr:uid="{00000000-0005-0000-0000-0000EF160000}"/>
    <cellStyle name="Normal 5 2 11 2" xfId="6846" xr:uid="{00000000-0005-0000-0000-0000F0160000}"/>
    <cellStyle name="Normal 5 2 11 2 2" xfId="15288" xr:uid="{23B0DBA7-172F-40E5-83A8-52B95E61595A}"/>
    <cellStyle name="Normal 5 2 11 3" xfId="11070" xr:uid="{DB3F1A29-7FC3-483C-9B4F-46CD58A07506}"/>
    <cellStyle name="Normal 5 2 12" xfId="4781" xr:uid="{00000000-0005-0000-0000-0000F1160000}"/>
    <cellStyle name="Normal 5 2 12 2" xfId="13223" xr:uid="{753A0DFA-4B89-480E-ACDB-FA448DCC130B}"/>
    <cellStyle name="Normal 5 2 13" xfId="9005" xr:uid="{4C155B96-A887-40EA-85A7-442132819A8E}"/>
    <cellStyle name="Normal 5 2 2" xfId="408" xr:uid="{00000000-0005-0000-0000-0000F2160000}"/>
    <cellStyle name="Normal 5 2 2 10" xfId="2563" xr:uid="{00000000-0005-0000-0000-0000F3160000}"/>
    <cellStyle name="Normal 5 2 2 10 2" xfId="6847" xr:uid="{00000000-0005-0000-0000-0000F4160000}"/>
    <cellStyle name="Normal 5 2 2 10 2 2" xfId="15289" xr:uid="{542EBFC6-3ED4-4C41-8569-132C879BB55F}"/>
    <cellStyle name="Normal 5 2 2 10 3" xfId="11071" xr:uid="{E1025021-FBF3-4BED-B9C6-8397B81B4422}"/>
    <cellStyle name="Normal 5 2 2 11" xfId="4782" xr:uid="{00000000-0005-0000-0000-0000F5160000}"/>
    <cellStyle name="Normal 5 2 2 11 2" xfId="13224" xr:uid="{95CE7999-9984-4083-8635-2262A6B6011E}"/>
    <cellStyle name="Normal 5 2 2 12" xfId="9006" xr:uid="{30E673B0-475B-4160-B36D-CE919D2FBF7F}"/>
    <cellStyle name="Normal 5 2 2 2" xfId="409" xr:uid="{00000000-0005-0000-0000-0000F6160000}"/>
    <cellStyle name="Normal 5 2 2 2 10" xfId="4783" xr:uid="{00000000-0005-0000-0000-0000F7160000}"/>
    <cellStyle name="Normal 5 2 2 2 10 2" xfId="13225" xr:uid="{999469ED-CE00-401D-8AF8-AF550E43650F}"/>
    <cellStyle name="Normal 5 2 2 2 11" xfId="9007" xr:uid="{9B246BE9-880F-4C30-A47A-9AB7FCE15316}"/>
    <cellStyle name="Normal 5 2 2 2 2" xfId="410" xr:uid="{00000000-0005-0000-0000-0000F8160000}"/>
    <cellStyle name="Normal 5 2 2 2 2 10" xfId="9008" xr:uid="{3E8FBC5D-A94A-4FCB-8474-1FA7AC1FB41C}"/>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DECEDE05-CB01-418B-B944-00FD28FABD29}"/>
    <cellStyle name="Normal 5 2 2 2 2 2 2 2 2 3" xfId="11568" xr:uid="{EE03899B-B2CC-40B0-A585-32585C7B9FB1}"/>
    <cellStyle name="Normal 5 2 2 2 2 2 2 2 3" xfId="5199" xr:uid="{00000000-0005-0000-0000-0000FE160000}"/>
    <cellStyle name="Normal 5 2 2 2 2 2 2 2 3 2" xfId="13641" xr:uid="{56ED980B-7C1C-421B-B86D-8469FF72EF59}"/>
    <cellStyle name="Normal 5 2 2 2 2 2 2 2 4" xfId="9423" xr:uid="{46617CBE-8FCD-44C5-9087-1FDD6939056E}"/>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129449F7-5B18-47A6-A038-2210F647A917}"/>
    <cellStyle name="Normal 5 2 2 2 2 2 2 3 2 3" xfId="11981" xr:uid="{DAABA28C-EA6E-4C25-86BA-CD92ABDEC5F4}"/>
    <cellStyle name="Normal 5 2 2 2 2 2 2 3 3" xfId="5612" xr:uid="{00000000-0005-0000-0000-000002170000}"/>
    <cellStyle name="Normal 5 2 2 2 2 2 2 3 3 2" xfId="14054" xr:uid="{27A1066B-BD5C-452F-AA26-505C30BDDEAA}"/>
    <cellStyle name="Normal 5 2 2 2 2 2 2 3 4" xfId="9836" xr:uid="{FE27EA25-6D7F-45AF-8BF9-0A3224610CBA}"/>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F282B0AE-D1F8-46C6-85E2-AE18245BC6A9}"/>
    <cellStyle name="Normal 5 2 2 2 2 2 2 4 2 3" xfId="12394" xr:uid="{2B721CA2-5831-457B-B764-02C3C2D4C1B8}"/>
    <cellStyle name="Normal 5 2 2 2 2 2 2 4 3" xfId="6025" xr:uid="{00000000-0005-0000-0000-000006170000}"/>
    <cellStyle name="Normal 5 2 2 2 2 2 2 4 3 2" xfId="14467" xr:uid="{4418F136-6235-40D9-A2FB-83E5FC4367D8}"/>
    <cellStyle name="Normal 5 2 2 2 2 2 2 4 4" xfId="10249" xr:uid="{F0051965-F1C2-412A-BCBE-42F4B6E6845C}"/>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26EA2BB7-C39C-45E4-A614-0B729B4D1EB4}"/>
    <cellStyle name="Normal 5 2 2 2 2 2 2 5 2 3" xfId="12807" xr:uid="{188C8609-FCBB-4AAE-BC73-9BB69C88BF72}"/>
    <cellStyle name="Normal 5 2 2 2 2 2 2 5 3" xfId="6438" xr:uid="{00000000-0005-0000-0000-00000A170000}"/>
    <cellStyle name="Normal 5 2 2 2 2 2 2 5 3 2" xfId="14880" xr:uid="{B45D03D2-B98F-4A94-B298-2BB37943CDC2}"/>
    <cellStyle name="Normal 5 2 2 2 2 2 2 5 4" xfId="10662" xr:uid="{C38B6DC4-2F00-4D65-BA14-D9FCBE5A28C8}"/>
    <cellStyle name="Normal 5 2 2 2 2 2 2 6" xfId="2567" xr:uid="{00000000-0005-0000-0000-00000B170000}"/>
    <cellStyle name="Normal 5 2 2 2 2 2 2 6 2" xfId="6851" xr:uid="{00000000-0005-0000-0000-00000C170000}"/>
    <cellStyle name="Normal 5 2 2 2 2 2 2 6 2 2" xfId="15293" xr:uid="{45A4005F-E6C2-4E77-9F9B-31D8BB7DDD95}"/>
    <cellStyle name="Normal 5 2 2 2 2 2 2 6 3" xfId="11075" xr:uid="{66087D04-3C5E-477C-88C3-78B172947769}"/>
    <cellStyle name="Normal 5 2 2 2 2 2 2 7" xfId="4786" xr:uid="{00000000-0005-0000-0000-00000D170000}"/>
    <cellStyle name="Normal 5 2 2 2 2 2 2 7 2" xfId="13228" xr:uid="{B3C96726-0132-4105-BF53-4EF748107C9E}"/>
    <cellStyle name="Normal 5 2 2 2 2 2 2 8" xfId="9010" xr:uid="{973E4954-30CA-4248-A8F8-0B2B14520F6C}"/>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C146DE7D-870A-4C66-BA69-EAA39FBF0268}"/>
    <cellStyle name="Normal 5 2 2 2 2 2 3 2 3" xfId="11567" xr:uid="{4AA0A1D7-D507-4F90-99E3-089BAE57D1EE}"/>
    <cellStyle name="Normal 5 2 2 2 2 2 3 3" xfId="5198" xr:uid="{00000000-0005-0000-0000-000011170000}"/>
    <cellStyle name="Normal 5 2 2 2 2 2 3 3 2" xfId="13640" xr:uid="{1C9626C2-CA9A-477A-9AB0-74CB53D104A3}"/>
    <cellStyle name="Normal 5 2 2 2 2 2 3 4" xfId="9422" xr:uid="{66F90073-2DC2-44C6-B821-640C70C4A08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4F04C8B8-5D15-410B-97A0-2B698A36CFD8}"/>
    <cellStyle name="Normal 5 2 2 2 2 2 4 2 3" xfId="11980" xr:uid="{E205FA65-0947-41B8-A8F0-8DF17B7A98FB}"/>
    <cellStyle name="Normal 5 2 2 2 2 2 4 3" xfId="5611" xr:uid="{00000000-0005-0000-0000-000015170000}"/>
    <cellStyle name="Normal 5 2 2 2 2 2 4 3 2" xfId="14053" xr:uid="{7A024159-5421-49CA-BB5F-1C738FBDDC01}"/>
    <cellStyle name="Normal 5 2 2 2 2 2 4 4" xfId="9835" xr:uid="{7B74995B-B70E-45AD-A7D5-277A811E87F8}"/>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435EF90C-1455-4FD2-B133-F53460A6421D}"/>
    <cellStyle name="Normal 5 2 2 2 2 2 5 2 3" xfId="12393" xr:uid="{0E69D569-86D2-4A8B-96CC-92DD9C365436}"/>
    <cellStyle name="Normal 5 2 2 2 2 2 5 3" xfId="6024" xr:uid="{00000000-0005-0000-0000-000019170000}"/>
    <cellStyle name="Normal 5 2 2 2 2 2 5 3 2" xfId="14466" xr:uid="{AF1BB0F7-E96C-406D-9BF4-97699915D95D}"/>
    <cellStyle name="Normal 5 2 2 2 2 2 5 4" xfId="10248" xr:uid="{D7D64444-9DBD-4839-85B4-8D22A4F00474}"/>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6CE5980D-1404-4BEF-84A4-642B0561E0D5}"/>
    <cellStyle name="Normal 5 2 2 2 2 2 6 2 3" xfId="12806" xr:uid="{B2D2F0FF-9762-4540-8E7C-C430F7DC1B56}"/>
    <cellStyle name="Normal 5 2 2 2 2 2 6 3" xfId="6437" xr:uid="{00000000-0005-0000-0000-00001D170000}"/>
    <cellStyle name="Normal 5 2 2 2 2 2 6 3 2" xfId="14879" xr:uid="{D8925F51-3FA2-46B1-AD63-B26B43A7CBF1}"/>
    <cellStyle name="Normal 5 2 2 2 2 2 6 4" xfId="10661" xr:uid="{5D74864C-30F1-41D8-BDD1-96713D3F6E41}"/>
    <cellStyle name="Normal 5 2 2 2 2 2 7" xfId="2566" xr:uid="{00000000-0005-0000-0000-00001E170000}"/>
    <cellStyle name="Normal 5 2 2 2 2 2 7 2" xfId="6850" xr:uid="{00000000-0005-0000-0000-00001F170000}"/>
    <cellStyle name="Normal 5 2 2 2 2 2 7 2 2" xfId="15292" xr:uid="{78D962D2-C7A0-4C9D-AC70-C9585C86FFDE}"/>
    <cellStyle name="Normal 5 2 2 2 2 2 7 3" xfId="11074" xr:uid="{23B27080-F1C9-451A-8B6F-E2CD2258D176}"/>
    <cellStyle name="Normal 5 2 2 2 2 2 8" xfId="4785" xr:uid="{00000000-0005-0000-0000-000020170000}"/>
    <cellStyle name="Normal 5 2 2 2 2 2 8 2" xfId="13227" xr:uid="{8FA6A099-8784-4D85-9F36-103BEDE897D9}"/>
    <cellStyle name="Normal 5 2 2 2 2 2 9" xfId="9009" xr:uid="{30113411-E209-4C13-8213-094806182C49}"/>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1DF5A807-5CBD-4512-8A5B-214BDA603BF2}"/>
    <cellStyle name="Normal 5 2 2 2 2 3 2 2 3" xfId="11569" xr:uid="{DB3704DA-AE77-4C5D-A051-C4699CE147FC}"/>
    <cellStyle name="Normal 5 2 2 2 2 3 2 3" xfId="5200" xr:uid="{00000000-0005-0000-0000-000025170000}"/>
    <cellStyle name="Normal 5 2 2 2 2 3 2 3 2" xfId="13642" xr:uid="{72B9BDC3-A86F-4E79-8D2A-ACA1B1AFCB62}"/>
    <cellStyle name="Normal 5 2 2 2 2 3 2 4" xfId="9424" xr:uid="{B5DE3DD5-D2B5-44AE-8C92-C82D137C2A3A}"/>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C4447D48-20F9-4DE3-B7B5-6DB45306C068}"/>
    <cellStyle name="Normal 5 2 2 2 2 3 3 2 3" xfId="11982" xr:uid="{F7178430-BD1C-452C-92FF-0CDC0195BB4B}"/>
    <cellStyle name="Normal 5 2 2 2 2 3 3 3" xfId="5613" xr:uid="{00000000-0005-0000-0000-000029170000}"/>
    <cellStyle name="Normal 5 2 2 2 2 3 3 3 2" xfId="14055" xr:uid="{D7B03333-CAED-4503-999A-AAC8E3B99E30}"/>
    <cellStyle name="Normal 5 2 2 2 2 3 3 4" xfId="9837" xr:uid="{DF299807-338A-4211-ADB6-6940A8C48065}"/>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C90040DC-A8AB-48FC-9E59-717260928A5F}"/>
    <cellStyle name="Normal 5 2 2 2 2 3 4 2 3" xfId="12395" xr:uid="{47918F62-910E-4552-9E95-DCC9EBD67C02}"/>
    <cellStyle name="Normal 5 2 2 2 2 3 4 3" xfId="6026" xr:uid="{00000000-0005-0000-0000-00002D170000}"/>
    <cellStyle name="Normal 5 2 2 2 2 3 4 3 2" xfId="14468" xr:uid="{265A3E92-F1F8-4A94-90AA-6452F07B1601}"/>
    <cellStyle name="Normal 5 2 2 2 2 3 4 4" xfId="10250" xr:uid="{36695171-2786-4CE7-9662-103301257897}"/>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02AA70CD-2701-42A8-99A8-CE39EDCAABC8}"/>
    <cellStyle name="Normal 5 2 2 2 2 3 5 2 3" xfId="12808" xr:uid="{A287444A-7E3E-4DFC-A1FC-F642E9384EDF}"/>
    <cellStyle name="Normal 5 2 2 2 2 3 5 3" xfId="6439" xr:uid="{00000000-0005-0000-0000-000031170000}"/>
    <cellStyle name="Normal 5 2 2 2 2 3 5 3 2" xfId="14881" xr:uid="{F1A829A2-1D69-4E3E-B188-146777D19130}"/>
    <cellStyle name="Normal 5 2 2 2 2 3 5 4" xfId="10663" xr:uid="{BB1FCF77-840C-47B9-9F8E-50FE0FCEB9FA}"/>
    <cellStyle name="Normal 5 2 2 2 2 3 6" xfId="2568" xr:uid="{00000000-0005-0000-0000-000032170000}"/>
    <cellStyle name="Normal 5 2 2 2 2 3 6 2" xfId="6852" xr:uid="{00000000-0005-0000-0000-000033170000}"/>
    <cellStyle name="Normal 5 2 2 2 2 3 6 2 2" xfId="15294" xr:uid="{B0160574-65C9-4E3B-BB57-49D7256F611A}"/>
    <cellStyle name="Normal 5 2 2 2 2 3 6 3" xfId="11076" xr:uid="{7C64E411-FFA0-4679-A36A-7F9AB16E3C97}"/>
    <cellStyle name="Normal 5 2 2 2 2 3 7" xfId="4787" xr:uid="{00000000-0005-0000-0000-000034170000}"/>
    <cellStyle name="Normal 5 2 2 2 2 3 7 2" xfId="13229" xr:uid="{566E3082-127C-4FD7-AAE7-9C743E80ED6D}"/>
    <cellStyle name="Normal 5 2 2 2 2 3 8" xfId="9011" xr:uid="{D5F2115E-E9C9-4CC7-8C81-66EF870F982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C3DD2101-8C36-434C-BE59-58643C8F4950}"/>
    <cellStyle name="Normal 5 2 2 2 2 4 2 3" xfId="11566" xr:uid="{A8550AA6-8D27-4C5C-BC88-3D825BB33310}"/>
    <cellStyle name="Normal 5 2 2 2 2 4 3" xfId="5197" xr:uid="{00000000-0005-0000-0000-000038170000}"/>
    <cellStyle name="Normal 5 2 2 2 2 4 3 2" xfId="13639" xr:uid="{E4DB9EAC-EB87-4E2A-968A-9AD5E722C892}"/>
    <cellStyle name="Normal 5 2 2 2 2 4 4" xfId="9421" xr:uid="{FA3C4A3C-0AA2-4D4E-B0DB-3D24FB07C353}"/>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554F184E-F7B0-43D8-A844-778A6714C63D}"/>
    <cellStyle name="Normal 5 2 2 2 2 5 2 3" xfId="11979" xr:uid="{6DE6EA23-A4D0-44E5-92C0-8BE7356FB4A3}"/>
    <cellStyle name="Normal 5 2 2 2 2 5 3" xfId="5610" xr:uid="{00000000-0005-0000-0000-00003C170000}"/>
    <cellStyle name="Normal 5 2 2 2 2 5 3 2" xfId="14052" xr:uid="{A524BDF9-9D0A-4289-A2A9-33E1A845CADF}"/>
    <cellStyle name="Normal 5 2 2 2 2 5 4" xfId="9834" xr:uid="{2D4C40CE-8644-414E-838C-3FD7B787404E}"/>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11185B16-F98C-444C-AC83-A66ACEAFCB5C}"/>
    <cellStyle name="Normal 5 2 2 2 2 6 2 3" xfId="12392" xr:uid="{45BACE44-9B5C-4B1D-BCE9-BD43A8FD4AD9}"/>
    <cellStyle name="Normal 5 2 2 2 2 6 3" xfId="6023" xr:uid="{00000000-0005-0000-0000-000040170000}"/>
    <cellStyle name="Normal 5 2 2 2 2 6 3 2" xfId="14465" xr:uid="{524ADAE3-481E-4F38-8AB0-181795B15625}"/>
    <cellStyle name="Normal 5 2 2 2 2 6 4" xfId="10247" xr:uid="{787FBEC9-4E8F-42AF-84C3-2324D198A8B1}"/>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BE5E6B5E-D59E-402B-A912-B5550192B2F2}"/>
    <cellStyle name="Normal 5 2 2 2 2 7 2 3" xfId="12805" xr:uid="{6C76B56F-E5D8-477A-80C2-E73F8419CE75}"/>
    <cellStyle name="Normal 5 2 2 2 2 7 3" xfId="6436" xr:uid="{00000000-0005-0000-0000-000044170000}"/>
    <cellStyle name="Normal 5 2 2 2 2 7 3 2" xfId="14878" xr:uid="{C3C2E4DC-38B7-4465-9D93-3880232086B5}"/>
    <cellStyle name="Normal 5 2 2 2 2 7 4" xfId="10660" xr:uid="{6FF73D1B-5AA6-4DE8-800C-A461D068924B}"/>
    <cellStyle name="Normal 5 2 2 2 2 8" xfId="2565" xr:uid="{00000000-0005-0000-0000-000045170000}"/>
    <cellStyle name="Normal 5 2 2 2 2 8 2" xfId="6849" xr:uid="{00000000-0005-0000-0000-000046170000}"/>
    <cellStyle name="Normal 5 2 2 2 2 8 2 2" xfId="15291" xr:uid="{FB35275E-4091-4AD4-A8A6-30A533108161}"/>
    <cellStyle name="Normal 5 2 2 2 2 8 3" xfId="11073" xr:uid="{29A3D625-7C64-40FA-985E-359514371317}"/>
    <cellStyle name="Normal 5 2 2 2 2 9" xfId="4784" xr:uid="{00000000-0005-0000-0000-000047170000}"/>
    <cellStyle name="Normal 5 2 2 2 2 9 2" xfId="13226" xr:uid="{DF787A0B-4034-44B0-883C-77804D295798}"/>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6C45496B-434B-4D0A-A05A-3DCE25413F57}"/>
    <cellStyle name="Normal 5 2 2 2 3 2 2 2 3" xfId="11571" xr:uid="{731C296E-CC92-47A3-B478-94B9C5BF670A}"/>
    <cellStyle name="Normal 5 2 2 2 3 2 2 3" xfId="5202" xr:uid="{00000000-0005-0000-0000-00004D170000}"/>
    <cellStyle name="Normal 5 2 2 2 3 2 2 3 2" xfId="13644" xr:uid="{4960BEAF-FC2C-4524-BEE3-782EAE29A790}"/>
    <cellStyle name="Normal 5 2 2 2 3 2 2 4" xfId="9426" xr:uid="{97C0D5DB-BC9E-49B0-ADC7-24EBA98D29D1}"/>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F21AFD4E-EE5D-4BAC-95FD-E70969125670}"/>
    <cellStyle name="Normal 5 2 2 2 3 2 3 2 3" xfId="11984" xr:uid="{003C5D1E-070B-4BDE-926C-8D6AF51C6A79}"/>
    <cellStyle name="Normal 5 2 2 2 3 2 3 3" xfId="5615" xr:uid="{00000000-0005-0000-0000-000051170000}"/>
    <cellStyle name="Normal 5 2 2 2 3 2 3 3 2" xfId="14057" xr:uid="{73C075F7-95D1-4CAD-B0CB-387ABEB9E67A}"/>
    <cellStyle name="Normal 5 2 2 2 3 2 3 4" xfId="9839" xr:uid="{F6077351-0766-40D6-9F73-3E6243FF61BD}"/>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35BF259C-B8C4-432F-84A6-C93FD64B01BC}"/>
    <cellStyle name="Normal 5 2 2 2 3 2 4 2 3" xfId="12397" xr:uid="{FCFB834E-D9E5-442E-8B79-D8840C92D3B9}"/>
    <cellStyle name="Normal 5 2 2 2 3 2 4 3" xfId="6028" xr:uid="{00000000-0005-0000-0000-000055170000}"/>
    <cellStyle name="Normal 5 2 2 2 3 2 4 3 2" xfId="14470" xr:uid="{60653A1A-E377-4960-A7FA-171971A97447}"/>
    <cellStyle name="Normal 5 2 2 2 3 2 4 4" xfId="10252" xr:uid="{402FB207-3EA4-4266-A231-71297ED426CE}"/>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455F03FE-48C7-40A3-88E4-D3E34AC04D20}"/>
    <cellStyle name="Normal 5 2 2 2 3 2 5 2 3" xfId="12810" xr:uid="{BB7D8B5F-BAB9-4B1A-85F5-A84DA265B793}"/>
    <cellStyle name="Normal 5 2 2 2 3 2 5 3" xfId="6441" xr:uid="{00000000-0005-0000-0000-000059170000}"/>
    <cellStyle name="Normal 5 2 2 2 3 2 5 3 2" xfId="14883" xr:uid="{B2D30370-D0DB-40DA-BBC2-948F74399462}"/>
    <cellStyle name="Normal 5 2 2 2 3 2 5 4" xfId="10665" xr:uid="{338BCBCA-F614-4003-9E9D-8E2C45336B00}"/>
    <cellStyle name="Normal 5 2 2 2 3 2 6" xfId="2570" xr:uid="{00000000-0005-0000-0000-00005A170000}"/>
    <cellStyle name="Normal 5 2 2 2 3 2 6 2" xfId="6854" xr:uid="{00000000-0005-0000-0000-00005B170000}"/>
    <cellStyle name="Normal 5 2 2 2 3 2 6 2 2" xfId="15296" xr:uid="{E0B240D9-A6D6-438D-A303-D4AAA23A6A31}"/>
    <cellStyle name="Normal 5 2 2 2 3 2 6 3" xfId="11078" xr:uid="{9560253F-93BC-45D0-8A3C-B02547A796BD}"/>
    <cellStyle name="Normal 5 2 2 2 3 2 7" xfId="4789" xr:uid="{00000000-0005-0000-0000-00005C170000}"/>
    <cellStyle name="Normal 5 2 2 2 3 2 7 2" xfId="13231" xr:uid="{C4F647AB-2072-46DA-B5DF-BD559D515A97}"/>
    <cellStyle name="Normal 5 2 2 2 3 2 8" xfId="9013" xr:uid="{A13CBAB5-7D21-40D6-B78E-61ABA7DF460B}"/>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9A888454-C046-4B46-A6B4-562095281702}"/>
    <cellStyle name="Normal 5 2 2 2 3 3 2 3" xfId="11570" xr:uid="{9E2CF0CB-838F-4B84-B014-508838BEF1CD}"/>
    <cellStyle name="Normal 5 2 2 2 3 3 3" xfId="5201" xr:uid="{00000000-0005-0000-0000-000060170000}"/>
    <cellStyle name="Normal 5 2 2 2 3 3 3 2" xfId="13643" xr:uid="{DAFB12E1-3A8F-40BC-9C31-9253048B2CBE}"/>
    <cellStyle name="Normal 5 2 2 2 3 3 4" xfId="9425" xr:uid="{07E337C2-6D1F-4C4D-BA00-D47D070C81B6}"/>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345FF32F-CCB3-4E0C-805A-B1745546E34C}"/>
    <cellStyle name="Normal 5 2 2 2 3 4 2 3" xfId="11983" xr:uid="{3C6E8582-CA4D-4182-AB25-D5B72F7C80AC}"/>
    <cellStyle name="Normal 5 2 2 2 3 4 3" xfId="5614" xr:uid="{00000000-0005-0000-0000-000064170000}"/>
    <cellStyle name="Normal 5 2 2 2 3 4 3 2" xfId="14056" xr:uid="{F8D4CBE8-3DA4-4188-B958-72F18D7561D3}"/>
    <cellStyle name="Normal 5 2 2 2 3 4 4" xfId="9838" xr:uid="{B26A02EF-1AE4-41AE-9B16-E71AE89B7CA7}"/>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99A39AB5-BC3A-4A7C-BF54-D6ADC7C476FC}"/>
    <cellStyle name="Normal 5 2 2 2 3 5 2 3" xfId="12396" xr:uid="{62ADCD18-8235-4A1A-BFED-BCD081173C3D}"/>
    <cellStyle name="Normal 5 2 2 2 3 5 3" xfId="6027" xr:uid="{00000000-0005-0000-0000-000068170000}"/>
    <cellStyle name="Normal 5 2 2 2 3 5 3 2" xfId="14469" xr:uid="{1D1BC55E-32D4-48B9-90E3-6C9E18B0CFB3}"/>
    <cellStyle name="Normal 5 2 2 2 3 5 4" xfId="10251" xr:uid="{B814BF24-653B-4C9F-9A0F-06A92295212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A27D3FF7-3E19-4C84-A3A9-A91C204B3B03}"/>
    <cellStyle name="Normal 5 2 2 2 3 6 2 3" xfId="12809" xr:uid="{B8BFAFC0-B46D-4B09-B179-F07A2C41F75F}"/>
    <cellStyle name="Normal 5 2 2 2 3 6 3" xfId="6440" xr:uid="{00000000-0005-0000-0000-00006C170000}"/>
    <cellStyle name="Normal 5 2 2 2 3 6 3 2" xfId="14882" xr:uid="{3D293A91-ABB1-4652-9D5F-AFF53F17DE55}"/>
    <cellStyle name="Normal 5 2 2 2 3 6 4" xfId="10664" xr:uid="{BB9D1A2D-7DBE-4374-878C-4E64CFAEC142}"/>
    <cellStyle name="Normal 5 2 2 2 3 7" xfId="2569" xr:uid="{00000000-0005-0000-0000-00006D170000}"/>
    <cellStyle name="Normal 5 2 2 2 3 7 2" xfId="6853" xr:uid="{00000000-0005-0000-0000-00006E170000}"/>
    <cellStyle name="Normal 5 2 2 2 3 7 2 2" xfId="15295" xr:uid="{A3710B52-9858-465D-B534-8115BB3032F5}"/>
    <cellStyle name="Normal 5 2 2 2 3 7 3" xfId="11077" xr:uid="{99E45C57-43E8-4F12-9021-DF9857918605}"/>
    <cellStyle name="Normal 5 2 2 2 3 8" xfId="4788" xr:uid="{00000000-0005-0000-0000-00006F170000}"/>
    <cellStyle name="Normal 5 2 2 2 3 8 2" xfId="13230" xr:uid="{FA5D7FE2-5385-43F7-8AA6-A6DE5B07DDF8}"/>
    <cellStyle name="Normal 5 2 2 2 3 9" xfId="9012" xr:uid="{CD54ABC3-A640-49D8-92A0-C29EB0790BF6}"/>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D85F9AFB-7325-4843-92A8-789281EE19AE}"/>
    <cellStyle name="Normal 5 2 2 2 4 2 2 3" xfId="11572" xr:uid="{01A10352-29F4-4A70-83D1-782AAF2C409D}"/>
    <cellStyle name="Normal 5 2 2 2 4 2 3" xfId="5203" xr:uid="{00000000-0005-0000-0000-000074170000}"/>
    <cellStyle name="Normal 5 2 2 2 4 2 3 2" xfId="13645" xr:uid="{B27002BF-D227-4869-9E74-51D9CD7FB23C}"/>
    <cellStyle name="Normal 5 2 2 2 4 2 4" xfId="9427" xr:uid="{51B3BE1E-505F-4A12-8623-5C8C9CC5652F}"/>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2B4B5A99-816A-4DE5-A808-4DAE226B7CC3}"/>
    <cellStyle name="Normal 5 2 2 2 4 3 2 3" xfId="11985" xr:uid="{C02390D9-43AF-4D0C-828C-5E72B31B6961}"/>
    <cellStyle name="Normal 5 2 2 2 4 3 3" xfId="5616" xr:uid="{00000000-0005-0000-0000-000078170000}"/>
    <cellStyle name="Normal 5 2 2 2 4 3 3 2" xfId="14058" xr:uid="{20DA5E81-7D14-4167-A0BA-9C2AF53C82A0}"/>
    <cellStyle name="Normal 5 2 2 2 4 3 4" xfId="9840" xr:uid="{3DA9776D-72C0-4912-B08E-A8CADDB91C46}"/>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D4D1DCCA-D711-4DC8-B24A-A88671BDE89E}"/>
    <cellStyle name="Normal 5 2 2 2 4 4 2 3" xfId="12398" xr:uid="{E7CC58E5-F42A-451E-BBC9-1A857C004B80}"/>
    <cellStyle name="Normal 5 2 2 2 4 4 3" xfId="6029" xr:uid="{00000000-0005-0000-0000-00007C170000}"/>
    <cellStyle name="Normal 5 2 2 2 4 4 3 2" xfId="14471" xr:uid="{0DBF5C51-654E-4AEE-8C20-F0B045A140EE}"/>
    <cellStyle name="Normal 5 2 2 2 4 4 4" xfId="10253" xr:uid="{09C2FB96-56E2-4841-A0AA-520632F5CC9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8F418A28-D091-4972-805B-29035C1A61BB}"/>
    <cellStyle name="Normal 5 2 2 2 4 5 2 3" xfId="12811" xr:uid="{F754C938-CDE8-4DFA-B10A-5130D5905695}"/>
    <cellStyle name="Normal 5 2 2 2 4 5 3" xfId="6442" xr:uid="{00000000-0005-0000-0000-000080170000}"/>
    <cellStyle name="Normal 5 2 2 2 4 5 3 2" xfId="14884" xr:uid="{7D67D81F-EC57-4436-83DC-F93B3390BBE9}"/>
    <cellStyle name="Normal 5 2 2 2 4 5 4" xfId="10666" xr:uid="{8691953A-1C30-4792-90FA-FC821383429D}"/>
    <cellStyle name="Normal 5 2 2 2 4 6" xfId="2571" xr:uid="{00000000-0005-0000-0000-000081170000}"/>
    <cellStyle name="Normal 5 2 2 2 4 6 2" xfId="6855" xr:uid="{00000000-0005-0000-0000-000082170000}"/>
    <cellStyle name="Normal 5 2 2 2 4 6 2 2" xfId="15297" xr:uid="{97829CAB-73E2-4D77-B5D7-45EFB375E757}"/>
    <cellStyle name="Normal 5 2 2 2 4 6 3" xfId="11079" xr:uid="{3247DD29-8AD4-4D31-82DC-B9B491A8C1EE}"/>
    <cellStyle name="Normal 5 2 2 2 4 7" xfId="4790" xr:uid="{00000000-0005-0000-0000-000083170000}"/>
    <cellStyle name="Normal 5 2 2 2 4 7 2" xfId="13232" xr:uid="{3C29ACCA-8D33-4C37-A9B0-3CFC11E233B7}"/>
    <cellStyle name="Normal 5 2 2 2 4 8" xfId="9014" xr:uid="{C5AFE9C4-B6A3-40C5-9189-74FE05AA0244}"/>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E5750812-0342-4E0D-847A-C7A8FB18991B}"/>
    <cellStyle name="Normal 5 2 2 2 5 2 3" xfId="11565" xr:uid="{D46FD10D-4311-4A82-9B8B-08057BA820F1}"/>
    <cellStyle name="Normal 5 2 2 2 5 3" xfId="5196" xr:uid="{00000000-0005-0000-0000-000087170000}"/>
    <cellStyle name="Normal 5 2 2 2 5 3 2" xfId="13638" xr:uid="{0E96D5D1-4BEB-4195-A3D2-AFA166A779A6}"/>
    <cellStyle name="Normal 5 2 2 2 5 4" xfId="9420" xr:uid="{76825B89-248D-4F6B-A227-5E0B5D511089}"/>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26F5D0D8-B794-4C9F-BAB9-85EFE8400607}"/>
    <cellStyle name="Normal 5 2 2 2 6 2 3" xfId="11978" xr:uid="{D21EE7C4-8A94-420B-B6A6-0A53FFF200B2}"/>
    <cellStyle name="Normal 5 2 2 2 6 3" xfId="5609" xr:uid="{00000000-0005-0000-0000-00008B170000}"/>
    <cellStyle name="Normal 5 2 2 2 6 3 2" xfId="14051" xr:uid="{7274CE5A-D3CE-418C-801B-3D0C61EE0F6E}"/>
    <cellStyle name="Normal 5 2 2 2 6 4" xfId="9833" xr:uid="{F3CCCBFF-DDA1-4C39-8419-49086C9BE37F}"/>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947B0D8A-04BF-4C4A-BB63-EDEE030CCC0E}"/>
    <cellStyle name="Normal 5 2 2 2 7 2 3" xfId="12391" xr:uid="{01A2B43C-C15F-4A38-8C55-20A04CB6B175}"/>
    <cellStyle name="Normal 5 2 2 2 7 3" xfId="6022" xr:uid="{00000000-0005-0000-0000-00008F170000}"/>
    <cellStyle name="Normal 5 2 2 2 7 3 2" xfId="14464" xr:uid="{9BD0D627-D011-4059-9CA9-4E0872EC53C1}"/>
    <cellStyle name="Normal 5 2 2 2 7 4" xfId="10246" xr:uid="{0858C2B0-A867-445D-8137-8F7FE7166957}"/>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0BD38D7C-854F-4E78-8DC1-1A597935F039}"/>
    <cellStyle name="Normal 5 2 2 2 8 2 3" xfId="12804" xr:uid="{1477D704-F5F5-4143-992E-E6B8C536899E}"/>
    <cellStyle name="Normal 5 2 2 2 8 3" xfId="6435" xr:uid="{00000000-0005-0000-0000-000093170000}"/>
    <cellStyle name="Normal 5 2 2 2 8 3 2" xfId="14877" xr:uid="{AD516965-98D2-4716-8737-1EFD0738A96E}"/>
    <cellStyle name="Normal 5 2 2 2 8 4" xfId="10659" xr:uid="{4ECF279E-9EDE-49D9-84B6-60D213CB993F}"/>
    <cellStyle name="Normal 5 2 2 2 9" xfId="2564" xr:uid="{00000000-0005-0000-0000-000094170000}"/>
    <cellStyle name="Normal 5 2 2 2 9 2" xfId="6848" xr:uid="{00000000-0005-0000-0000-000095170000}"/>
    <cellStyle name="Normal 5 2 2 2 9 2 2" xfId="15290" xr:uid="{1D3DB733-3825-49AB-A918-E3A11B77BEB3}"/>
    <cellStyle name="Normal 5 2 2 2 9 3" xfId="11072" xr:uid="{74E7871B-EE85-4CC0-9E17-87BAD510E7DC}"/>
    <cellStyle name="Normal 5 2 2 3" xfId="417" xr:uid="{00000000-0005-0000-0000-000096170000}"/>
    <cellStyle name="Normal 5 2 2 3 10" xfId="9015" xr:uid="{BF8F615D-F3B0-4D63-8741-57ABA84B405F}"/>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5104FF5B-1B7D-4FB4-AB41-53F2298B9FB4}"/>
    <cellStyle name="Normal 5 2 2 3 2 2 2 2 3" xfId="11575" xr:uid="{1CB52D61-0269-4C56-8525-CDDDDD409FC7}"/>
    <cellStyle name="Normal 5 2 2 3 2 2 2 3" xfId="5206" xr:uid="{00000000-0005-0000-0000-00009C170000}"/>
    <cellStyle name="Normal 5 2 2 3 2 2 2 3 2" xfId="13648" xr:uid="{B4825293-0BCD-4D38-8F13-EB4A915034A3}"/>
    <cellStyle name="Normal 5 2 2 3 2 2 2 4" xfId="9430" xr:uid="{F9A1FFCF-847C-4DB2-B0BE-D8570C0A2A13}"/>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761E448A-3F23-482A-A3EB-D006B75A873E}"/>
    <cellStyle name="Normal 5 2 2 3 2 2 3 2 3" xfId="11988" xr:uid="{372AAFD4-40E3-40F7-8E18-05F4646AE972}"/>
    <cellStyle name="Normal 5 2 2 3 2 2 3 3" xfId="5619" xr:uid="{00000000-0005-0000-0000-0000A0170000}"/>
    <cellStyle name="Normal 5 2 2 3 2 2 3 3 2" xfId="14061" xr:uid="{3B8C7285-FDE1-44D4-AB85-559A67823DB5}"/>
    <cellStyle name="Normal 5 2 2 3 2 2 3 4" xfId="9843" xr:uid="{62101BBD-2AB3-40BF-8CDE-6B9DDB2F40FF}"/>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E70E14B3-CC72-42D3-977A-244996734CE0}"/>
    <cellStyle name="Normal 5 2 2 3 2 2 4 2 3" xfId="12401" xr:uid="{877E4993-8C49-43CD-969D-55ABE221BC40}"/>
    <cellStyle name="Normal 5 2 2 3 2 2 4 3" xfId="6032" xr:uid="{00000000-0005-0000-0000-0000A4170000}"/>
    <cellStyle name="Normal 5 2 2 3 2 2 4 3 2" xfId="14474" xr:uid="{99AD6658-2EF8-4C22-B93F-1F9DA6653E81}"/>
    <cellStyle name="Normal 5 2 2 3 2 2 4 4" xfId="10256" xr:uid="{CCC09FBE-8C71-46F4-B494-1F899E2B397F}"/>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87273092-FB0E-4704-A6B2-80FCCC6038E4}"/>
    <cellStyle name="Normal 5 2 2 3 2 2 5 2 3" xfId="12814" xr:uid="{286B13C5-312A-4CAA-8051-3FB887D06DD9}"/>
    <cellStyle name="Normal 5 2 2 3 2 2 5 3" xfId="6445" xr:uid="{00000000-0005-0000-0000-0000A8170000}"/>
    <cellStyle name="Normal 5 2 2 3 2 2 5 3 2" xfId="14887" xr:uid="{B6EDB407-CB39-49FD-A9E9-719EE1B99441}"/>
    <cellStyle name="Normal 5 2 2 3 2 2 5 4" xfId="10669" xr:uid="{7917C565-CFFC-4A31-B4F2-308BFA9D4126}"/>
    <cellStyle name="Normal 5 2 2 3 2 2 6" xfId="2574" xr:uid="{00000000-0005-0000-0000-0000A9170000}"/>
    <cellStyle name="Normal 5 2 2 3 2 2 6 2" xfId="6858" xr:uid="{00000000-0005-0000-0000-0000AA170000}"/>
    <cellStyle name="Normal 5 2 2 3 2 2 6 2 2" xfId="15300" xr:uid="{2EBB6EB4-8BA5-4B88-B907-128400B18A18}"/>
    <cellStyle name="Normal 5 2 2 3 2 2 6 3" xfId="11082" xr:uid="{4BC50074-55DE-4A8E-BF2E-58241B5DE893}"/>
    <cellStyle name="Normal 5 2 2 3 2 2 7" xfId="4793" xr:uid="{00000000-0005-0000-0000-0000AB170000}"/>
    <cellStyle name="Normal 5 2 2 3 2 2 7 2" xfId="13235" xr:uid="{9B3345BB-8662-4763-BF43-1E5B988E665E}"/>
    <cellStyle name="Normal 5 2 2 3 2 2 8" xfId="9017" xr:uid="{A3C50A8E-4032-4265-981D-A749520C4E57}"/>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40B414D3-0282-48CD-B26A-375363893230}"/>
    <cellStyle name="Normal 5 2 2 3 2 3 2 3" xfId="11574" xr:uid="{7414154A-330E-44C9-909C-3310B6165A1C}"/>
    <cellStyle name="Normal 5 2 2 3 2 3 3" xfId="5205" xr:uid="{00000000-0005-0000-0000-0000AF170000}"/>
    <cellStyle name="Normal 5 2 2 3 2 3 3 2" xfId="13647" xr:uid="{9BD7BE0D-46E9-49B1-AEE8-96C64D9BB93A}"/>
    <cellStyle name="Normal 5 2 2 3 2 3 4" xfId="9429" xr:uid="{D41EBC70-2653-4208-BA95-CE9E79ABBC1E}"/>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4EABDF0A-47EA-4326-AB70-22451FDEC7B9}"/>
    <cellStyle name="Normal 5 2 2 3 2 4 2 3" xfId="11987" xr:uid="{B867AC5E-3F58-472F-8B0E-66725A4BFA27}"/>
    <cellStyle name="Normal 5 2 2 3 2 4 3" xfId="5618" xr:uid="{00000000-0005-0000-0000-0000B3170000}"/>
    <cellStyle name="Normal 5 2 2 3 2 4 3 2" xfId="14060" xr:uid="{7EB74575-4EF3-4712-9AD2-075A9E0E3262}"/>
    <cellStyle name="Normal 5 2 2 3 2 4 4" xfId="9842" xr:uid="{DEFC9C24-49AA-4767-82EC-452DB56AA897}"/>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B1D40274-EDFA-4A98-B1F1-54F86FF7B6D3}"/>
    <cellStyle name="Normal 5 2 2 3 2 5 2 3" xfId="12400" xr:uid="{6BAC5CAE-7035-493D-915C-40FEA490B42B}"/>
    <cellStyle name="Normal 5 2 2 3 2 5 3" xfId="6031" xr:uid="{00000000-0005-0000-0000-0000B7170000}"/>
    <cellStyle name="Normal 5 2 2 3 2 5 3 2" xfId="14473" xr:uid="{513AD8DF-26CE-4589-92E8-D635AEE59D20}"/>
    <cellStyle name="Normal 5 2 2 3 2 5 4" xfId="10255" xr:uid="{202E3833-9AF9-454E-8285-548CEB11A4B3}"/>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7A778500-1A57-48D2-9646-2D6EF8E46945}"/>
    <cellStyle name="Normal 5 2 2 3 2 6 2 3" xfId="12813" xr:uid="{C4CE73FE-CA42-4747-9EB3-0A5C244EE6BE}"/>
    <cellStyle name="Normal 5 2 2 3 2 6 3" xfId="6444" xr:uid="{00000000-0005-0000-0000-0000BB170000}"/>
    <cellStyle name="Normal 5 2 2 3 2 6 3 2" xfId="14886" xr:uid="{762BDD09-2A8A-4551-9369-FE96E30B55A5}"/>
    <cellStyle name="Normal 5 2 2 3 2 6 4" xfId="10668" xr:uid="{0149FB1F-92D5-493B-AF05-DC639E188A9E}"/>
    <cellStyle name="Normal 5 2 2 3 2 7" xfId="2573" xr:uid="{00000000-0005-0000-0000-0000BC170000}"/>
    <cellStyle name="Normal 5 2 2 3 2 7 2" xfId="6857" xr:uid="{00000000-0005-0000-0000-0000BD170000}"/>
    <cellStyle name="Normal 5 2 2 3 2 7 2 2" xfId="15299" xr:uid="{5F6D0894-3A43-422E-8DD3-BB7BB0406EE6}"/>
    <cellStyle name="Normal 5 2 2 3 2 7 3" xfId="11081" xr:uid="{80113EC3-5DC9-4B9A-AEAA-EC9326C3FC5A}"/>
    <cellStyle name="Normal 5 2 2 3 2 8" xfId="4792" xr:uid="{00000000-0005-0000-0000-0000BE170000}"/>
    <cellStyle name="Normal 5 2 2 3 2 8 2" xfId="13234" xr:uid="{AFAA2E36-B4A5-423E-9A69-3D5DE878F347}"/>
    <cellStyle name="Normal 5 2 2 3 2 9" xfId="9016" xr:uid="{B576F683-6A6D-4FA6-BB32-AE71C091F614}"/>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C5876A2D-1BC7-40C9-AD08-8F7C2AD51A40}"/>
    <cellStyle name="Normal 5 2 2 3 3 2 2 3" xfId="11576" xr:uid="{B458FAEA-9567-433A-9032-729EB93DBC6E}"/>
    <cellStyle name="Normal 5 2 2 3 3 2 3" xfId="5207" xr:uid="{00000000-0005-0000-0000-0000C3170000}"/>
    <cellStyle name="Normal 5 2 2 3 3 2 3 2" xfId="13649" xr:uid="{C718359A-A4DC-44BF-8F67-CCAE80F931F0}"/>
    <cellStyle name="Normal 5 2 2 3 3 2 4" xfId="9431" xr:uid="{5AF58ADD-07B4-4030-8A72-3B9AB81970DF}"/>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A90AA7D1-3BA2-4812-8EA5-499478F86E6C}"/>
    <cellStyle name="Normal 5 2 2 3 3 3 2 3" xfId="11989" xr:uid="{3C6F1C94-8D90-442E-8411-4C18C7A59713}"/>
    <cellStyle name="Normal 5 2 2 3 3 3 3" xfId="5620" xr:uid="{00000000-0005-0000-0000-0000C7170000}"/>
    <cellStyle name="Normal 5 2 2 3 3 3 3 2" xfId="14062" xr:uid="{C75B65E1-C8ED-48AE-9624-EB7CF83F967E}"/>
    <cellStyle name="Normal 5 2 2 3 3 3 4" xfId="9844" xr:uid="{5FB0B3ED-7174-483D-842F-0380EFA77DDC}"/>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3254AB1E-99B5-472C-93C4-B1548EE8769D}"/>
    <cellStyle name="Normal 5 2 2 3 3 4 2 3" xfId="12402" xr:uid="{3E83BDFC-1A1D-4ACB-A876-D7CE53E5F03E}"/>
    <cellStyle name="Normal 5 2 2 3 3 4 3" xfId="6033" xr:uid="{00000000-0005-0000-0000-0000CB170000}"/>
    <cellStyle name="Normal 5 2 2 3 3 4 3 2" xfId="14475" xr:uid="{3C6C13C9-FF29-4D0A-8C77-3E975BF2949D}"/>
    <cellStyle name="Normal 5 2 2 3 3 4 4" xfId="10257" xr:uid="{EA82A25F-AB12-4AD0-BE2C-ED06FB138DB4}"/>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003C99E2-34BF-45B7-9B64-D41FD90B2BB4}"/>
    <cellStyle name="Normal 5 2 2 3 3 5 2 3" xfId="12815" xr:uid="{C089025A-06CE-435B-95D1-292052D0236A}"/>
    <cellStyle name="Normal 5 2 2 3 3 5 3" xfId="6446" xr:uid="{00000000-0005-0000-0000-0000CF170000}"/>
    <cellStyle name="Normal 5 2 2 3 3 5 3 2" xfId="14888" xr:uid="{9AC4B6BD-EFD0-4EF8-9C60-DB2CEAD6B6D1}"/>
    <cellStyle name="Normal 5 2 2 3 3 5 4" xfId="10670" xr:uid="{EE76F033-5E32-46B4-922D-BAB83AA45CE4}"/>
    <cellStyle name="Normal 5 2 2 3 3 6" xfId="2575" xr:uid="{00000000-0005-0000-0000-0000D0170000}"/>
    <cellStyle name="Normal 5 2 2 3 3 6 2" xfId="6859" xr:uid="{00000000-0005-0000-0000-0000D1170000}"/>
    <cellStyle name="Normal 5 2 2 3 3 6 2 2" xfId="15301" xr:uid="{4A4D3E7D-7E4A-47EE-A907-25C76C619CBE}"/>
    <cellStyle name="Normal 5 2 2 3 3 6 3" xfId="11083" xr:uid="{9FCE9FFB-B3E1-4723-9A09-FE67A5FCC517}"/>
    <cellStyle name="Normal 5 2 2 3 3 7" xfId="4794" xr:uid="{00000000-0005-0000-0000-0000D2170000}"/>
    <cellStyle name="Normal 5 2 2 3 3 7 2" xfId="13236" xr:uid="{5D4C46DD-BBFB-4718-BD25-A10459F5BB7B}"/>
    <cellStyle name="Normal 5 2 2 3 3 8" xfId="9018" xr:uid="{8FC28D4C-4C81-4B5B-A401-FCA410F378ED}"/>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9AD662BC-7A41-48DA-855E-48B0E1101C4E}"/>
    <cellStyle name="Normal 5 2 2 3 4 2 3" xfId="11573" xr:uid="{BB3A526B-B2B4-49BC-A75F-6ECA882CD206}"/>
    <cellStyle name="Normal 5 2 2 3 4 3" xfId="5204" xr:uid="{00000000-0005-0000-0000-0000D6170000}"/>
    <cellStyle name="Normal 5 2 2 3 4 3 2" xfId="13646" xr:uid="{33A75A10-CAEF-4D66-9F8F-C9195483879B}"/>
    <cellStyle name="Normal 5 2 2 3 4 4" xfId="9428" xr:uid="{5CADF2C4-76A0-43B6-98EF-67B0FC36FE8F}"/>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3BE2C7B3-79DC-4C50-A1D5-3B760280E9E9}"/>
    <cellStyle name="Normal 5 2 2 3 5 2 3" xfId="11986" xr:uid="{E6447F0C-C8F0-4B9E-B41B-6F2A53DB7AC3}"/>
    <cellStyle name="Normal 5 2 2 3 5 3" xfId="5617" xr:uid="{00000000-0005-0000-0000-0000DA170000}"/>
    <cellStyle name="Normal 5 2 2 3 5 3 2" xfId="14059" xr:uid="{1D4EB01E-3649-47B1-9544-85F7FB0C055B}"/>
    <cellStyle name="Normal 5 2 2 3 5 4" xfId="9841" xr:uid="{06641143-5CDC-456C-A42F-CF96B8863035}"/>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7DDF8EC9-E528-4AC6-BE05-9663DC5D9FC6}"/>
    <cellStyle name="Normal 5 2 2 3 6 2 3" xfId="12399" xr:uid="{AC0A4C0E-A287-4192-BFE8-9A9E0DE513B2}"/>
    <cellStyle name="Normal 5 2 2 3 6 3" xfId="6030" xr:uid="{00000000-0005-0000-0000-0000DE170000}"/>
    <cellStyle name="Normal 5 2 2 3 6 3 2" xfId="14472" xr:uid="{273CB4DE-CC12-4B29-BEC4-9F175E6F5101}"/>
    <cellStyle name="Normal 5 2 2 3 6 4" xfId="10254" xr:uid="{42306567-26EE-4389-BC8D-7E2E46E390FD}"/>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9B2E8388-C2E1-4DCA-860C-C1767CFDE7DD}"/>
    <cellStyle name="Normal 5 2 2 3 7 2 3" xfId="12812" xr:uid="{4BCAC1C1-A01D-425C-82D6-895CA50D6EEB}"/>
    <cellStyle name="Normal 5 2 2 3 7 3" xfId="6443" xr:uid="{00000000-0005-0000-0000-0000E2170000}"/>
    <cellStyle name="Normal 5 2 2 3 7 3 2" xfId="14885" xr:uid="{139BCB1D-E125-4806-B594-4D216725021B}"/>
    <cellStyle name="Normal 5 2 2 3 7 4" xfId="10667" xr:uid="{4AE53E89-8CDB-4F1E-A202-C8094AB72D5B}"/>
    <cellStyle name="Normal 5 2 2 3 8" xfId="2572" xr:uid="{00000000-0005-0000-0000-0000E3170000}"/>
    <cellStyle name="Normal 5 2 2 3 8 2" xfId="6856" xr:uid="{00000000-0005-0000-0000-0000E4170000}"/>
    <cellStyle name="Normal 5 2 2 3 8 2 2" xfId="15298" xr:uid="{C20644FB-44D7-4F70-8A5C-5ACBB97744F9}"/>
    <cellStyle name="Normal 5 2 2 3 8 3" xfId="11080" xr:uid="{549215C5-BB44-41E2-A9F1-87F8803BC66A}"/>
    <cellStyle name="Normal 5 2 2 3 9" xfId="4791" xr:uid="{00000000-0005-0000-0000-0000E5170000}"/>
    <cellStyle name="Normal 5 2 2 3 9 2" xfId="13233" xr:uid="{4916017B-B061-48D4-BCDA-6E6417E67EFF}"/>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AF774135-3F5A-4D68-B413-4453B455CB69}"/>
    <cellStyle name="Normal 5 2 2 4 2 2 2 3" xfId="11578" xr:uid="{A7703233-6C6A-4C91-882D-1A63032E3815}"/>
    <cellStyle name="Normal 5 2 2 4 2 2 3" xfId="5209" xr:uid="{00000000-0005-0000-0000-0000EB170000}"/>
    <cellStyle name="Normal 5 2 2 4 2 2 3 2" xfId="13651" xr:uid="{E1AED329-4B35-44D1-892F-195FEEC273ED}"/>
    <cellStyle name="Normal 5 2 2 4 2 2 4" xfId="9433" xr:uid="{89A5F166-6711-45BE-9F86-80A39835091D}"/>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14CB94E0-3BC3-442A-8536-CE368A3523DF}"/>
    <cellStyle name="Normal 5 2 2 4 2 3 2 3" xfId="11991" xr:uid="{104293DC-8806-4216-A6D8-E43169354F71}"/>
    <cellStyle name="Normal 5 2 2 4 2 3 3" xfId="5622" xr:uid="{00000000-0005-0000-0000-0000EF170000}"/>
    <cellStyle name="Normal 5 2 2 4 2 3 3 2" xfId="14064" xr:uid="{36599F0D-1326-417C-8301-BD71A69E3776}"/>
    <cellStyle name="Normal 5 2 2 4 2 3 4" xfId="9846" xr:uid="{2CF465B0-CC4C-472C-9E82-F8D0EB91CAE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FE51BF84-06F9-4D1C-B090-37D016158FAD}"/>
    <cellStyle name="Normal 5 2 2 4 2 4 2 3" xfId="12404" xr:uid="{83992421-B0DE-4396-99EE-5007C5401AD5}"/>
    <cellStyle name="Normal 5 2 2 4 2 4 3" xfId="6035" xr:uid="{00000000-0005-0000-0000-0000F3170000}"/>
    <cellStyle name="Normal 5 2 2 4 2 4 3 2" xfId="14477" xr:uid="{9A9D0B1F-48E3-4302-988D-7F655401CF72}"/>
    <cellStyle name="Normal 5 2 2 4 2 4 4" xfId="10259" xr:uid="{11B6F21D-97D9-41D0-AB4C-FF5FB2FDBC7A}"/>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29E79690-83D9-438C-B54F-31DB6E419400}"/>
    <cellStyle name="Normal 5 2 2 4 2 5 2 3" xfId="12817" xr:uid="{DA435A9E-BEC1-4AFF-B57B-573A8C90FB37}"/>
    <cellStyle name="Normal 5 2 2 4 2 5 3" xfId="6448" xr:uid="{00000000-0005-0000-0000-0000F7170000}"/>
    <cellStyle name="Normal 5 2 2 4 2 5 3 2" xfId="14890" xr:uid="{3668E437-A326-49BC-938C-EAFAA1F46D78}"/>
    <cellStyle name="Normal 5 2 2 4 2 5 4" xfId="10672" xr:uid="{F40368D0-4A81-45CB-8B32-9F75A7697E1E}"/>
    <cellStyle name="Normal 5 2 2 4 2 6" xfId="2577" xr:uid="{00000000-0005-0000-0000-0000F8170000}"/>
    <cellStyle name="Normal 5 2 2 4 2 6 2" xfId="6861" xr:uid="{00000000-0005-0000-0000-0000F9170000}"/>
    <cellStyle name="Normal 5 2 2 4 2 6 2 2" xfId="15303" xr:uid="{219EEEF0-4AE5-469B-8C48-DA6EAB78EBEC}"/>
    <cellStyle name="Normal 5 2 2 4 2 6 3" xfId="11085" xr:uid="{065DA29B-0926-4B65-9317-0AD9C32D4456}"/>
    <cellStyle name="Normal 5 2 2 4 2 7" xfId="4796" xr:uid="{00000000-0005-0000-0000-0000FA170000}"/>
    <cellStyle name="Normal 5 2 2 4 2 7 2" xfId="13238" xr:uid="{AA85649B-A007-4E49-B771-BBDC93D65917}"/>
    <cellStyle name="Normal 5 2 2 4 2 8" xfId="9020" xr:uid="{BFDB7F9E-029A-46FD-A0AE-647F241C4DC6}"/>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83BE76B4-2A38-405D-86C1-E3F9E86D48AE}"/>
    <cellStyle name="Normal 5 2 2 4 3 2 3" xfId="11577" xr:uid="{182401B6-6AD4-46C9-97BA-A0ADA07F6F75}"/>
    <cellStyle name="Normal 5 2 2 4 3 3" xfId="5208" xr:uid="{00000000-0005-0000-0000-0000FE170000}"/>
    <cellStyle name="Normal 5 2 2 4 3 3 2" xfId="13650" xr:uid="{B826B83D-670B-4487-940D-51EF25221012}"/>
    <cellStyle name="Normal 5 2 2 4 3 4" xfId="9432" xr:uid="{76351EBB-97D2-4C0C-A77B-50C1BFCC54F0}"/>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9E18D469-0353-452E-A7B5-92D865E97BBB}"/>
    <cellStyle name="Normal 5 2 2 4 4 2 3" xfId="11990" xr:uid="{FCE9802B-A62F-4868-9506-A92D9BE4911B}"/>
    <cellStyle name="Normal 5 2 2 4 4 3" xfId="5621" xr:uid="{00000000-0005-0000-0000-000002180000}"/>
    <cellStyle name="Normal 5 2 2 4 4 3 2" xfId="14063" xr:uid="{9A570CBF-71A2-43CB-A263-68615A28C0AA}"/>
    <cellStyle name="Normal 5 2 2 4 4 4" xfId="9845" xr:uid="{24B7D252-6695-4A3A-8929-515C5939218D}"/>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BE9ED6DC-1FED-4DF8-AE19-5D942E7E4F73}"/>
    <cellStyle name="Normal 5 2 2 4 5 2 3" xfId="12403" xr:uid="{D3E41766-2EFC-4F64-97CC-11921953706E}"/>
    <cellStyle name="Normal 5 2 2 4 5 3" xfId="6034" xr:uid="{00000000-0005-0000-0000-000006180000}"/>
    <cellStyle name="Normal 5 2 2 4 5 3 2" xfId="14476" xr:uid="{E11D6C70-9B9A-4D22-AC80-01326F574646}"/>
    <cellStyle name="Normal 5 2 2 4 5 4" xfId="10258" xr:uid="{12B6DB1B-3682-41FB-9742-CEFC175CE71B}"/>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6CB76C7E-EAC6-486F-AD79-9BBADED925D8}"/>
    <cellStyle name="Normal 5 2 2 4 6 2 3" xfId="12816" xr:uid="{669496BC-A23F-4918-8632-5391C62BC56A}"/>
    <cellStyle name="Normal 5 2 2 4 6 3" xfId="6447" xr:uid="{00000000-0005-0000-0000-00000A180000}"/>
    <cellStyle name="Normal 5 2 2 4 6 3 2" xfId="14889" xr:uid="{8947CBEC-B634-4D3A-B334-BD4ED1053C11}"/>
    <cellStyle name="Normal 5 2 2 4 6 4" xfId="10671" xr:uid="{FD69F8EE-378E-4F6D-9BC4-E554F2F1D68B}"/>
    <cellStyle name="Normal 5 2 2 4 7" xfId="2576" xr:uid="{00000000-0005-0000-0000-00000B180000}"/>
    <cellStyle name="Normal 5 2 2 4 7 2" xfId="6860" xr:uid="{00000000-0005-0000-0000-00000C180000}"/>
    <cellStyle name="Normal 5 2 2 4 7 2 2" xfId="15302" xr:uid="{8213D584-21BC-4212-9816-63156B6DD177}"/>
    <cellStyle name="Normal 5 2 2 4 7 3" xfId="11084" xr:uid="{8840E6F3-F497-4A57-9066-7DD7887E9B16}"/>
    <cellStyle name="Normal 5 2 2 4 8" xfId="4795" xr:uid="{00000000-0005-0000-0000-00000D180000}"/>
    <cellStyle name="Normal 5 2 2 4 8 2" xfId="13237" xr:uid="{6196BB20-D3AD-4E00-9ECC-BC875D085351}"/>
    <cellStyle name="Normal 5 2 2 4 9" xfId="9019" xr:uid="{778222DD-F582-476F-B674-AD2553428358}"/>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C8532488-466A-4E08-A39A-A61135FE25CB}"/>
    <cellStyle name="Normal 5 2 2 5 2 2 3" xfId="11579" xr:uid="{84B1A078-8C6B-4F6A-8455-4DA7966D1C70}"/>
    <cellStyle name="Normal 5 2 2 5 2 3" xfId="5210" xr:uid="{00000000-0005-0000-0000-000012180000}"/>
    <cellStyle name="Normal 5 2 2 5 2 3 2" xfId="13652" xr:uid="{99085327-937D-44CD-ABFC-7D0F0120D94E}"/>
    <cellStyle name="Normal 5 2 2 5 2 4" xfId="9434" xr:uid="{DE1B485F-08D4-4943-BC46-7A3829AF2DEE}"/>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72777B36-2589-44ED-A312-106FA77B2BB5}"/>
    <cellStyle name="Normal 5 2 2 5 3 2 3" xfId="11992" xr:uid="{C14758D3-318D-4780-BEEE-77AB50263E06}"/>
    <cellStyle name="Normal 5 2 2 5 3 3" xfId="5623" xr:uid="{00000000-0005-0000-0000-000016180000}"/>
    <cellStyle name="Normal 5 2 2 5 3 3 2" xfId="14065" xr:uid="{23EF5DAC-451C-4689-95FE-7BADAE788792}"/>
    <cellStyle name="Normal 5 2 2 5 3 4" xfId="9847" xr:uid="{537301C0-BDF0-4BF0-A06C-A118B8C35FD1}"/>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CE995826-A7B2-4AB3-948E-7BDBBFEC0AA2}"/>
    <cellStyle name="Normal 5 2 2 5 4 2 3" xfId="12405" xr:uid="{B8336922-7495-4AD2-88D7-25FEC233E614}"/>
    <cellStyle name="Normal 5 2 2 5 4 3" xfId="6036" xr:uid="{00000000-0005-0000-0000-00001A180000}"/>
    <cellStyle name="Normal 5 2 2 5 4 3 2" xfId="14478" xr:uid="{0A93EE5B-ECE1-4D50-A0CD-65DAA1070E08}"/>
    <cellStyle name="Normal 5 2 2 5 4 4" xfId="10260" xr:uid="{4A00A3A4-CFCB-4E5D-8F8D-EB27B9583463}"/>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81145A84-D577-41BA-9A1C-750ED49A7176}"/>
    <cellStyle name="Normal 5 2 2 5 5 2 3" xfId="12818" xr:uid="{2FB8B4AD-D44B-45B4-BFAD-5C5118D4745D}"/>
    <cellStyle name="Normal 5 2 2 5 5 3" xfId="6449" xr:uid="{00000000-0005-0000-0000-00001E180000}"/>
    <cellStyle name="Normal 5 2 2 5 5 3 2" xfId="14891" xr:uid="{AA20A70D-E4A3-4B40-8710-47C9FA920C40}"/>
    <cellStyle name="Normal 5 2 2 5 5 4" xfId="10673" xr:uid="{67AD6E37-7432-4F94-B851-B9B1AF757A5C}"/>
    <cellStyle name="Normal 5 2 2 5 6" xfId="2578" xr:uid="{00000000-0005-0000-0000-00001F180000}"/>
    <cellStyle name="Normal 5 2 2 5 6 2" xfId="6862" xr:uid="{00000000-0005-0000-0000-000020180000}"/>
    <cellStyle name="Normal 5 2 2 5 6 2 2" xfId="15304" xr:uid="{84AA533C-DC21-44E0-9F8C-4E0473F9DA17}"/>
    <cellStyle name="Normal 5 2 2 5 6 3" xfId="11086" xr:uid="{2D8BE93F-526F-468A-87D6-CC64E314B386}"/>
    <cellStyle name="Normal 5 2 2 5 7" xfId="4797" xr:uid="{00000000-0005-0000-0000-000021180000}"/>
    <cellStyle name="Normal 5 2 2 5 7 2" xfId="13239" xr:uid="{454B7644-0393-41EE-B5EC-A146B7691799}"/>
    <cellStyle name="Normal 5 2 2 5 8" xfId="9021" xr:uid="{B9F8E62A-EDB1-4C19-A194-794680E959D7}"/>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0C03B6E3-C890-4482-88D7-2DA7C8E22511}"/>
    <cellStyle name="Normal 5 2 2 6 2 3" xfId="11564" xr:uid="{8B98050A-AADB-4F26-BCB6-7BAE1F902D0D}"/>
    <cellStyle name="Normal 5 2 2 6 3" xfId="5195" xr:uid="{00000000-0005-0000-0000-000025180000}"/>
    <cellStyle name="Normal 5 2 2 6 3 2" xfId="13637" xr:uid="{F9893116-4BAF-49BC-AD80-79F27F45A74C}"/>
    <cellStyle name="Normal 5 2 2 6 4" xfId="9419" xr:uid="{10377EE5-88CC-4190-BB3B-A5DB52BDF524}"/>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B5BEB81E-D4FE-4B80-8455-E566F5024883}"/>
    <cellStyle name="Normal 5 2 2 7 2 3" xfId="11977" xr:uid="{45550348-95B8-49D3-AA52-0E118C194F7A}"/>
    <cellStyle name="Normal 5 2 2 7 3" xfId="5608" xr:uid="{00000000-0005-0000-0000-000029180000}"/>
    <cellStyle name="Normal 5 2 2 7 3 2" xfId="14050" xr:uid="{4F65D8BD-E9DE-4787-B8BE-AC45DEEBC2AC}"/>
    <cellStyle name="Normal 5 2 2 7 4" xfId="9832" xr:uid="{D3D663A8-306A-41B0-9274-32593BF5B343}"/>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CB799283-60D9-478F-BBD2-4BF482EB329B}"/>
    <cellStyle name="Normal 5 2 2 8 2 3" xfId="12390" xr:uid="{DF64EE41-95CE-45EF-9D2D-62FD79C3ABD8}"/>
    <cellStyle name="Normal 5 2 2 8 3" xfId="6021" xr:uid="{00000000-0005-0000-0000-00002D180000}"/>
    <cellStyle name="Normal 5 2 2 8 3 2" xfId="14463" xr:uid="{068294A0-56A4-4318-BCA8-2EC0BE16CD25}"/>
    <cellStyle name="Normal 5 2 2 8 4" xfId="10245" xr:uid="{D7641D4C-9E47-41E4-9669-8ED21EB70215}"/>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B9856FB5-B5B4-44E5-9C22-147D343D62F6}"/>
    <cellStyle name="Normal 5 2 2 9 2 3" xfId="12803" xr:uid="{A18DD2AA-F4A6-4AE1-9F5C-2605C4A1722A}"/>
    <cellStyle name="Normal 5 2 2 9 3" xfId="6434" xr:uid="{00000000-0005-0000-0000-000031180000}"/>
    <cellStyle name="Normal 5 2 2 9 3 2" xfId="14876" xr:uid="{49C76AEF-3D34-4017-9883-8B16EE647F40}"/>
    <cellStyle name="Normal 5 2 2 9 4" xfId="10658" xr:uid="{877E976C-A8D9-47A8-82D3-6393FD87D0D2}"/>
    <cellStyle name="Normal 5 2 3" xfId="424" xr:uid="{00000000-0005-0000-0000-000032180000}"/>
    <cellStyle name="Normal 5 2 3 10" xfId="4798" xr:uid="{00000000-0005-0000-0000-000033180000}"/>
    <cellStyle name="Normal 5 2 3 10 2" xfId="13240" xr:uid="{91DF6AC6-2314-461C-9E60-747DDFDAD1FA}"/>
    <cellStyle name="Normal 5 2 3 11" xfId="9022" xr:uid="{33700412-7A6A-4015-B980-C891457BA1DC}"/>
    <cellStyle name="Normal 5 2 3 2" xfId="425" xr:uid="{00000000-0005-0000-0000-000034180000}"/>
    <cellStyle name="Normal 5 2 3 2 10" xfId="9023" xr:uid="{663D3798-23F0-4223-BD2A-7E1F3AE3A2D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B7C64A03-5652-406C-8645-085E1CDC3249}"/>
    <cellStyle name="Normal 5 2 3 2 2 2 2 2 3" xfId="11583" xr:uid="{DE552446-346E-4BAE-9849-B90330DC9D25}"/>
    <cellStyle name="Normal 5 2 3 2 2 2 2 3" xfId="5214" xr:uid="{00000000-0005-0000-0000-00003A180000}"/>
    <cellStyle name="Normal 5 2 3 2 2 2 2 3 2" xfId="13656" xr:uid="{1C7573FB-6C61-428A-8598-AC8EF081BFAA}"/>
    <cellStyle name="Normal 5 2 3 2 2 2 2 4" xfId="9438" xr:uid="{3F1CBCFD-782C-4B8C-B200-E56D365B14E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A70F8522-A5A6-4DC8-85BF-F68BCBE845B6}"/>
    <cellStyle name="Normal 5 2 3 2 2 2 3 2 3" xfId="11996" xr:uid="{D43688FF-ACE5-44A1-9EEB-377F13EF0B4E}"/>
    <cellStyle name="Normal 5 2 3 2 2 2 3 3" xfId="5627" xr:uid="{00000000-0005-0000-0000-00003E180000}"/>
    <cellStyle name="Normal 5 2 3 2 2 2 3 3 2" xfId="14069" xr:uid="{6AB36E20-9333-442F-9269-07B9F538A59A}"/>
    <cellStyle name="Normal 5 2 3 2 2 2 3 4" xfId="9851" xr:uid="{06CAD807-76B0-4385-9FFF-B083EC505E13}"/>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78942EE6-7723-459A-99C9-242971607222}"/>
    <cellStyle name="Normal 5 2 3 2 2 2 4 2 3" xfId="12409" xr:uid="{8FE37A2F-378A-45A8-B203-88D733A6AA94}"/>
    <cellStyle name="Normal 5 2 3 2 2 2 4 3" xfId="6040" xr:uid="{00000000-0005-0000-0000-000042180000}"/>
    <cellStyle name="Normal 5 2 3 2 2 2 4 3 2" xfId="14482" xr:uid="{300642A4-DBA1-4AC7-BB9D-E69F0BD4990D}"/>
    <cellStyle name="Normal 5 2 3 2 2 2 4 4" xfId="10264" xr:uid="{86C46C7D-F281-4B5A-B74C-C256F7B7E26F}"/>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0756B818-0F44-4511-B3C0-150668CD5251}"/>
    <cellStyle name="Normal 5 2 3 2 2 2 5 2 3" xfId="12822" xr:uid="{DC4E057C-91BA-4E21-84AA-9E094813C1DB}"/>
    <cellStyle name="Normal 5 2 3 2 2 2 5 3" xfId="6453" xr:uid="{00000000-0005-0000-0000-000046180000}"/>
    <cellStyle name="Normal 5 2 3 2 2 2 5 3 2" xfId="14895" xr:uid="{1F084CE1-4716-4A0D-9F11-CCD13C209B68}"/>
    <cellStyle name="Normal 5 2 3 2 2 2 5 4" xfId="10677" xr:uid="{87D58D82-9116-468B-99E0-9C25A7BC99D7}"/>
    <cellStyle name="Normal 5 2 3 2 2 2 6" xfId="2582" xr:uid="{00000000-0005-0000-0000-000047180000}"/>
    <cellStyle name="Normal 5 2 3 2 2 2 6 2" xfId="6866" xr:uid="{00000000-0005-0000-0000-000048180000}"/>
    <cellStyle name="Normal 5 2 3 2 2 2 6 2 2" xfId="15308" xr:uid="{45EB11FA-877E-4816-AA7A-597E40261CF0}"/>
    <cellStyle name="Normal 5 2 3 2 2 2 6 3" xfId="11090" xr:uid="{F17BAB24-2C1A-4659-A99E-1EE417708D5D}"/>
    <cellStyle name="Normal 5 2 3 2 2 2 7" xfId="4801" xr:uid="{00000000-0005-0000-0000-000049180000}"/>
    <cellStyle name="Normal 5 2 3 2 2 2 7 2" xfId="13243" xr:uid="{81DF5D76-C7A4-494A-B733-E103A3FAB4CA}"/>
    <cellStyle name="Normal 5 2 3 2 2 2 8" xfId="9025" xr:uid="{090D58F8-1A47-4DA0-A9C7-654653D253A9}"/>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B302456B-C2EE-4A28-9D51-FAE6552708B2}"/>
    <cellStyle name="Normal 5 2 3 2 2 3 2 3" xfId="11582" xr:uid="{8E5F80AF-FDBB-4AB6-8C83-F73956EFBE9E}"/>
    <cellStyle name="Normal 5 2 3 2 2 3 3" xfId="5213" xr:uid="{00000000-0005-0000-0000-00004D180000}"/>
    <cellStyle name="Normal 5 2 3 2 2 3 3 2" xfId="13655" xr:uid="{D41B2846-AC31-4D75-B5EE-E7FAA52D6B82}"/>
    <cellStyle name="Normal 5 2 3 2 2 3 4" xfId="9437" xr:uid="{D371119D-84DA-46E1-8FAE-33A0C5B0F122}"/>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532BF0DD-5815-4728-A24C-7694890599CA}"/>
    <cellStyle name="Normal 5 2 3 2 2 4 2 3" xfId="11995" xr:uid="{95D20020-BDF3-4743-BB67-F9CFC8004570}"/>
    <cellStyle name="Normal 5 2 3 2 2 4 3" xfId="5626" xr:uid="{00000000-0005-0000-0000-000051180000}"/>
    <cellStyle name="Normal 5 2 3 2 2 4 3 2" xfId="14068" xr:uid="{9A2E38A8-6806-48FC-94FF-B447C455F346}"/>
    <cellStyle name="Normal 5 2 3 2 2 4 4" xfId="9850" xr:uid="{CAB0D9F6-0DC2-4F92-B9F0-C2DBF072201F}"/>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1466F080-75A6-4965-9515-5F31F4BB0913}"/>
    <cellStyle name="Normal 5 2 3 2 2 5 2 3" xfId="12408" xr:uid="{7DCA5ED0-763E-414F-974F-BF0F5EA57A51}"/>
    <cellStyle name="Normal 5 2 3 2 2 5 3" xfId="6039" xr:uid="{00000000-0005-0000-0000-000055180000}"/>
    <cellStyle name="Normal 5 2 3 2 2 5 3 2" xfId="14481" xr:uid="{8FC1454A-AF17-4614-A54C-8AAB10A21718}"/>
    <cellStyle name="Normal 5 2 3 2 2 5 4" xfId="10263" xr:uid="{552B4C3A-D944-4B3E-AA22-2160D6DFEF5F}"/>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5820AC19-7ADA-4740-8EF7-1FAFA807A9A2}"/>
    <cellStyle name="Normal 5 2 3 2 2 6 2 3" xfId="12821" xr:uid="{A8EB3A93-9BD9-4A83-9E00-F96F6155354B}"/>
    <cellStyle name="Normal 5 2 3 2 2 6 3" xfId="6452" xr:uid="{00000000-0005-0000-0000-000059180000}"/>
    <cellStyle name="Normal 5 2 3 2 2 6 3 2" xfId="14894" xr:uid="{4888D7AF-0DC8-4C66-BB10-0924316E31DC}"/>
    <cellStyle name="Normal 5 2 3 2 2 6 4" xfId="10676" xr:uid="{955DD3AF-8F0C-4401-9FC3-B2F7AE6EBE44}"/>
    <cellStyle name="Normal 5 2 3 2 2 7" xfId="2581" xr:uid="{00000000-0005-0000-0000-00005A180000}"/>
    <cellStyle name="Normal 5 2 3 2 2 7 2" xfId="6865" xr:uid="{00000000-0005-0000-0000-00005B180000}"/>
    <cellStyle name="Normal 5 2 3 2 2 7 2 2" xfId="15307" xr:uid="{9E4F5396-6BE6-42CD-9C39-CA72E6C0E015}"/>
    <cellStyle name="Normal 5 2 3 2 2 7 3" xfId="11089" xr:uid="{DFDEFCFE-6D92-4AAF-8639-70AE89ED9E01}"/>
    <cellStyle name="Normal 5 2 3 2 2 8" xfId="4800" xr:uid="{00000000-0005-0000-0000-00005C180000}"/>
    <cellStyle name="Normal 5 2 3 2 2 8 2" xfId="13242" xr:uid="{D6E1827F-ECEF-4571-86D6-7276B2649BBA}"/>
    <cellStyle name="Normal 5 2 3 2 2 9" xfId="9024" xr:uid="{9DB68A38-58AF-4577-AB7E-D6B13974C41C}"/>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B250BD66-70F9-48FC-B9E8-3777D7EAABD9}"/>
    <cellStyle name="Normal 5 2 3 2 3 2 2 3" xfId="11584" xr:uid="{2D9F643D-235D-4CE8-9F31-3EE1E64549E9}"/>
    <cellStyle name="Normal 5 2 3 2 3 2 3" xfId="5215" xr:uid="{00000000-0005-0000-0000-000061180000}"/>
    <cellStyle name="Normal 5 2 3 2 3 2 3 2" xfId="13657" xr:uid="{CF9015FA-7C33-4A1D-A070-F243599D0376}"/>
    <cellStyle name="Normal 5 2 3 2 3 2 4" xfId="9439" xr:uid="{C29B4C7D-7DBC-4C07-9652-5D4B38E2A768}"/>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E60DEB1C-EDBE-404A-B8D5-994C2A9CF4CB}"/>
    <cellStyle name="Normal 5 2 3 2 3 3 2 3" xfId="11997" xr:uid="{ED33D435-40FF-4FBF-BFBD-52601B02DB27}"/>
    <cellStyle name="Normal 5 2 3 2 3 3 3" xfId="5628" xr:uid="{00000000-0005-0000-0000-000065180000}"/>
    <cellStyle name="Normal 5 2 3 2 3 3 3 2" xfId="14070" xr:uid="{7824ABCD-6B45-42E9-A9C8-6514F571EB6C}"/>
    <cellStyle name="Normal 5 2 3 2 3 3 4" xfId="9852" xr:uid="{4C83D94E-E72A-4EEE-98FF-5F64D9480B2D}"/>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D0D7891D-ADD2-4E52-8F61-BE996AFD612E}"/>
    <cellStyle name="Normal 5 2 3 2 3 4 2 3" xfId="12410" xr:uid="{025528B9-D91E-487D-BCFD-467F830EC7FC}"/>
    <cellStyle name="Normal 5 2 3 2 3 4 3" xfId="6041" xr:uid="{00000000-0005-0000-0000-000069180000}"/>
    <cellStyle name="Normal 5 2 3 2 3 4 3 2" xfId="14483" xr:uid="{D55801AC-CF6D-4BDF-B8D1-CA54CA0A5A1A}"/>
    <cellStyle name="Normal 5 2 3 2 3 4 4" xfId="10265" xr:uid="{B6F0C970-BBF8-4F1F-B10B-719A599C9F37}"/>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16066755-6556-4E93-9F7D-04B8C75FDDAA}"/>
    <cellStyle name="Normal 5 2 3 2 3 5 2 3" xfId="12823" xr:uid="{7F5E0CA7-5CEC-4623-BEF3-11D7C7B7874D}"/>
    <cellStyle name="Normal 5 2 3 2 3 5 3" xfId="6454" xr:uid="{00000000-0005-0000-0000-00006D180000}"/>
    <cellStyle name="Normal 5 2 3 2 3 5 3 2" xfId="14896" xr:uid="{D7391E1E-8576-453D-8047-196036A1C926}"/>
    <cellStyle name="Normal 5 2 3 2 3 5 4" xfId="10678" xr:uid="{3DB03AD3-8BB3-41AA-8AD9-2244BC552821}"/>
    <cellStyle name="Normal 5 2 3 2 3 6" xfId="2583" xr:uid="{00000000-0005-0000-0000-00006E180000}"/>
    <cellStyle name="Normal 5 2 3 2 3 6 2" xfId="6867" xr:uid="{00000000-0005-0000-0000-00006F180000}"/>
    <cellStyle name="Normal 5 2 3 2 3 6 2 2" xfId="15309" xr:uid="{BEDC5DF2-6694-4EF4-AA3C-BEE3EE4954AC}"/>
    <cellStyle name="Normal 5 2 3 2 3 6 3" xfId="11091" xr:uid="{02C0E378-0183-4F55-9765-306F43C72ED7}"/>
    <cellStyle name="Normal 5 2 3 2 3 7" xfId="4802" xr:uid="{00000000-0005-0000-0000-000070180000}"/>
    <cellStyle name="Normal 5 2 3 2 3 7 2" xfId="13244" xr:uid="{0C5455FD-119D-47CC-BEE1-E2A9F9C1ACEB}"/>
    <cellStyle name="Normal 5 2 3 2 3 8" xfId="9026" xr:uid="{EFC4B682-75A2-432D-A871-F8DDB5861179}"/>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1B003EFC-64AE-4EBD-AB14-27AA4E308F24}"/>
    <cellStyle name="Normal 5 2 3 2 4 2 3" xfId="11581" xr:uid="{3E2ED5C2-9C8C-440E-BEEF-D99944DF0076}"/>
    <cellStyle name="Normal 5 2 3 2 4 3" xfId="5212" xr:uid="{00000000-0005-0000-0000-000074180000}"/>
    <cellStyle name="Normal 5 2 3 2 4 3 2" xfId="13654" xr:uid="{A2B553A8-E4E2-44BE-8171-0EE20A5A9F44}"/>
    <cellStyle name="Normal 5 2 3 2 4 4" xfId="9436" xr:uid="{3F3C9C14-6822-40B1-A9EE-2431E5592D21}"/>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900EB1CB-F3E5-4534-962C-3791260AD7C5}"/>
    <cellStyle name="Normal 5 2 3 2 5 2 3" xfId="11994" xr:uid="{56BE5F1F-5FB3-4AE3-B53A-366BE7EB7033}"/>
    <cellStyle name="Normal 5 2 3 2 5 3" xfId="5625" xr:uid="{00000000-0005-0000-0000-000078180000}"/>
    <cellStyle name="Normal 5 2 3 2 5 3 2" xfId="14067" xr:uid="{1A9AF8BC-A6BB-458F-BB23-4947CFDB7930}"/>
    <cellStyle name="Normal 5 2 3 2 5 4" xfId="9849" xr:uid="{A06BB7C8-9947-4BD1-B746-99F78CDAD3FB}"/>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DB678098-0495-4E55-8890-1A4B97572BDA}"/>
    <cellStyle name="Normal 5 2 3 2 6 2 3" xfId="12407" xr:uid="{F09352F0-C8C8-47E4-B154-3DEC1DF40E16}"/>
    <cellStyle name="Normal 5 2 3 2 6 3" xfId="6038" xr:uid="{00000000-0005-0000-0000-00007C180000}"/>
    <cellStyle name="Normal 5 2 3 2 6 3 2" xfId="14480" xr:uid="{B03DD55E-BF3C-46F9-A4AF-B41CBA45A803}"/>
    <cellStyle name="Normal 5 2 3 2 6 4" xfId="10262" xr:uid="{3BDE37AD-245D-4A23-9FB6-85E861DAC572}"/>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A5C9847F-5551-4381-B314-ACF61B80ECAF}"/>
    <cellStyle name="Normal 5 2 3 2 7 2 3" xfId="12820" xr:uid="{BF9482E9-E377-4D86-B672-A68F0F4281A9}"/>
    <cellStyle name="Normal 5 2 3 2 7 3" xfId="6451" xr:uid="{00000000-0005-0000-0000-000080180000}"/>
    <cellStyle name="Normal 5 2 3 2 7 3 2" xfId="14893" xr:uid="{703F069B-58F6-44BA-BE24-31811BFA39E8}"/>
    <cellStyle name="Normal 5 2 3 2 7 4" xfId="10675" xr:uid="{49262C04-C14A-432B-B1BA-8D023F22185D}"/>
    <cellStyle name="Normal 5 2 3 2 8" xfId="2580" xr:uid="{00000000-0005-0000-0000-000081180000}"/>
    <cellStyle name="Normal 5 2 3 2 8 2" xfId="6864" xr:uid="{00000000-0005-0000-0000-000082180000}"/>
    <cellStyle name="Normal 5 2 3 2 8 2 2" xfId="15306" xr:uid="{B4DBAADC-0227-43C1-9875-FFA00F00A32B}"/>
    <cellStyle name="Normal 5 2 3 2 8 3" xfId="11088" xr:uid="{009263F6-308E-44DD-A991-FFFE0A914AED}"/>
    <cellStyle name="Normal 5 2 3 2 9" xfId="4799" xr:uid="{00000000-0005-0000-0000-000083180000}"/>
    <cellStyle name="Normal 5 2 3 2 9 2" xfId="13241" xr:uid="{223FA054-E976-4B41-BB69-FF7E0924B247}"/>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72475030-07E3-4277-93B3-2118D4C81BF4}"/>
    <cellStyle name="Normal 5 2 3 3 2 2 2 3" xfId="11586" xr:uid="{EA6E5598-985D-476A-81C9-9A763CD06DD8}"/>
    <cellStyle name="Normal 5 2 3 3 2 2 3" xfId="5217" xr:uid="{00000000-0005-0000-0000-000089180000}"/>
    <cellStyle name="Normal 5 2 3 3 2 2 3 2" xfId="13659" xr:uid="{59D7A6A7-459E-4264-B6B8-9B715E1D2F36}"/>
    <cellStyle name="Normal 5 2 3 3 2 2 4" xfId="9441" xr:uid="{66675BB8-EA0D-4CBC-B7B9-8466994B6B63}"/>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DA39D180-FF9B-46A4-93D6-0DB671123639}"/>
    <cellStyle name="Normal 5 2 3 3 2 3 2 3" xfId="11999" xr:uid="{97DC01F1-CD6D-42BE-97B7-359DC2A18BEB}"/>
    <cellStyle name="Normal 5 2 3 3 2 3 3" xfId="5630" xr:uid="{00000000-0005-0000-0000-00008D180000}"/>
    <cellStyle name="Normal 5 2 3 3 2 3 3 2" xfId="14072" xr:uid="{8769C325-E9C2-41A9-91F9-AA24EF70B142}"/>
    <cellStyle name="Normal 5 2 3 3 2 3 4" xfId="9854" xr:uid="{0AE00D92-0F48-4D8E-A99B-2A740CD6909C}"/>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B8EF9D84-B78F-41CE-B029-71F4E0E6AE09}"/>
    <cellStyle name="Normal 5 2 3 3 2 4 2 3" xfId="12412" xr:uid="{D08A5225-997E-495E-BD24-50CB5912A025}"/>
    <cellStyle name="Normal 5 2 3 3 2 4 3" xfId="6043" xr:uid="{00000000-0005-0000-0000-000091180000}"/>
    <cellStyle name="Normal 5 2 3 3 2 4 3 2" xfId="14485" xr:uid="{AD2EBE22-C081-4DA7-BF9F-CC2BAF7CC6D0}"/>
    <cellStyle name="Normal 5 2 3 3 2 4 4" xfId="10267" xr:uid="{70D94884-209D-43A9-90C9-022108622D23}"/>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2EFAE66B-A9DE-4C78-9AF2-9ABA5C8C5FD6}"/>
    <cellStyle name="Normal 5 2 3 3 2 5 2 3" xfId="12825" xr:uid="{224DFF2F-A378-41A8-BAEE-808E0BBD9EA0}"/>
    <cellStyle name="Normal 5 2 3 3 2 5 3" xfId="6456" xr:uid="{00000000-0005-0000-0000-000095180000}"/>
    <cellStyle name="Normal 5 2 3 3 2 5 3 2" xfId="14898" xr:uid="{FE23BCD2-D3E9-40E3-9808-4D84DDB38B4F}"/>
    <cellStyle name="Normal 5 2 3 3 2 5 4" xfId="10680" xr:uid="{7DB68DCC-2BBF-465A-BB64-7B740F4B007C}"/>
    <cellStyle name="Normal 5 2 3 3 2 6" xfId="2585" xr:uid="{00000000-0005-0000-0000-000096180000}"/>
    <cellStyle name="Normal 5 2 3 3 2 6 2" xfId="6869" xr:uid="{00000000-0005-0000-0000-000097180000}"/>
    <cellStyle name="Normal 5 2 3 3 2 6 2 2" xfId="15311" xr:uid="{9500EF4A-FAB3-4C20-87F0-5D4D9C3A417F}"/>
    <cellStyle name="Normal 5 2 3 3 2 6 3" xfId="11093" xr:uid="{FE25C0A1-747F-44F0-9763-789B81BB9D35}"/>
    <cellStyle name="Normal 5 2 3 3 2 7" xfId="4804" xr:uid="{00000000-0005-0000-0000-000098180000}"/>
    <cellStyle name="Normal 5 2 3 3 2 7 2" xfId="13246" xr:uid="{9964B7D6-F062-4F74-8FB7-CFF5B497816D}"/>
    <cellStyle name="Normal 5 2 3 3 2 8" xfId="9028" xr:uid="{791065B7-43AD-4C82-9373-C37D3D10E410}"/>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1992FD9F-9FB9-4A62-982E-B0B68D65A2C3}"/>
    <cellStyle name="Normal 5 2 3 3 3 2 3" xfId="11585" xr:uid="{341F5765-1BE7-4FCE-9FE4-56761C8FA691}"/>
    <cellStyle name="Normal 5 2 3 3 3 3" xfId="5216" xr:uid="{00000000-0005-0000-0000-00009C180000}"/>
    <cellStyle name="Normal 5 2 3 3 3 3 2" xfId="13658" xr:uid="{DA173F9A-C017-493D-BAE0-455718AC0147}"/>
    <cellStyle name="Normal 5 2 3 3 3 4" xfId="9440" xr:uid="{7A067D38-5404-470F-BD31-03B707C51873}"/>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24999D3A-38EA-4DD1-973B-DA0CC7791085}"/>
    <cellStyle name="Normal 5 2 3 3 4 2 3" xfId="11998" xr:uid="{F811BE81-67E9-4CE9-9768-9C26F313FE30}"/>
    <cellStyle name="Normal 5 2 3 3 4 3" xfId="5629" xr:uid="{00000000-0005-0000-0000-0000A0180000}"/>
    <cellStyle name="Normal 5 2 3 3 4 3 2" xfId="14071" xr:uid="{237A746A-9B79-456B-8FBA-AF4324E23364}"/>
    <cellStyle name="Normal 5 2 3 3 4 4" xfId="9853" xr:uid="{C30F9D5D-F33B-45A9-B9E1-EED7AEE70012}"/>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AA25B4EE-4A9B-46B8-AADD-BD9668DDE90F}"/>
    <cellStyle name="Normal 5 2 3 3 5 2 3" xfId="12411" xr:uid="{D8812BA8-7888-4C56-9AD2-66068C5D869E}"/>
    <cellStyle name="Normal 5 2 3 3 5 3" xfId="6042" xr:uid="{00000000-0005-0000-0000-0000A4180000}"/>
    <cellStyle name="Normal 5 2 3 3 5 3 2" xfId="14484" xr:uid="{A1A7E0BA-31F1-4947-9FFB-61F48A1A55DC}"/>
    <cellStyle name="Normal 5 2 3 3 5 4" xfId="10266" xr:uid="{EE7EB249-4DAA-4B25-8A34-22B7C222AC46}"/>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732A6908-101B-46D4-AF73-F100A61B65F1}"/>
    <cellStyle name="Normal 5 2 3 3 6 2 3" xfId="12824" xr:uid="{13DBB0C7-5161-49DE-A637-52A62E2FCF62}"/>
    <cellStyle name="Normal 5 2 3 3 6 3" xfId="6455" xr:uid="{00000000-0005-0000-0000-0000A8180000}"/>
    <cellStyle name="Normal 5 2 3 3 6 3 2" xfId="14897" xr:uid="{5708A2B8-EA02-47F6-B108-E07AC7E51A34}"/>
    <cellStyle name="Normal 5 2 3 3 6 4" xfId="10679" xr:uid="{0749912B-FAA6-4968-BBEF-260C4FB69C48}"/>
    <cellStyle name="Normal 5 2 3 3 7" xfId="2584" xr:uid="{00000000-0005-0000-0000-0000A9180000}"/>
    <cellStyle name="Normal 5 2 3 3 7 2" xfId="6868" xr:uid="{00000000-0005-0000-0000-0000AA180000}"/>
    <cellStyle name="Normal 5 2 3 3 7 2 2" xfId="15310" xr:uid="{33732102-3BD7-41D2-9FD6-A22BB3C86367}"/>
    <cellStyle name="Normal 5 2 3 3 7 3" xfId="11092" xr:uid="{12100D28-D1F4-4B03-9512-B5C17E6C9B7B}"/>
    <cellStyle name="Normal 5 2 3 3 8" xfId="4803" xr:uid="{00000000-0005-0000-0000-0000AB180000}"/>
    <cellStyle name="Normal 5 2 3 3 8 2" xfId="13245" xr:uid="{EEBD800D-A1DB-4AB0-860A-59F6D77B4E4B}"/>
    <cellStyle name="Normal 5 2 3 3 9" xfId="9027" xr:uid="{0D0260C8-954F-46B7-B9C8-49464AA38D24}"/>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D0B79DC9-6CFF-402A-B4BC-282FE4FC11DF}"/>
    <cellStyle name="Normal 5 2 3 4 2 2 3" xfId="11587" xr:uid="{38664808-8911-4FB2-8958-CA71B58B023C}"/>
    <cellStyle name="Normal 5 2 3 4 2 3" xfId="5218" xr:uid="{00000000-0005-0000-0000-0000B0180000}"/>
    <cellStyle name="Normal 5 2 3 4 2 3 2" xfId="13660" xr:uid="{D1CEA6E1-DDB2-4854-B2F9-C7B1F6EEF52A}"/>
    <cellStyle name="Normal 5 2 3 4 2 4" xfId="9442" xr:uid="{74B94C94-B2A2-4A16-A517-460CAB1A4A31}"/>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D6F462F0-71C2-4B56-B9BE-9C6DC20898F3}"/>
    <cellStyle name="Normal 5 2 3 4 3 2 3" xfId="12000" xr:uid="{7B780EA4-66FA-4D81-A21B-06091F5B4DF1}"/>
    <cellStyle name="Normal 5 2 3 4 3 3" xfId="5631" xr:uid="{00000000-0005-0000-0000-0000B4180000}"/>
    <cellStyle name="Normal 5 2 3 4 3 3 2" xfId="14073" xr:uid="{30BDF9F4-5FD6-4792-828E-12CF0EA767B2}"/>
    <cellStyle name="Normal 5 2 3 4 3 4" xfId="9855" xr:uid="{C7F46F01-B5EC-42C0-9993-CA6149DC1D6E}"/>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61DC7BAD-554A-426A-8822-8157391EA141}"/>
    <cellStyle name="Normal 5 2 3 4 4 2 3" xfId="12413" xr:uid="{CC81FFAA-6248-4DF2-8475-F1B8AF31204B}"/>
    <cellStyle name="Normal 5 2 3 4 4 3" xfId="6044" xr:uid="{00000000-0005-0000-0000-0000B8180000}"/>
    <cellStyle name="Normal 5 2 3 4 4 3 2" xfId="14486" xr:uid="{6B9F6CCE-963A-4A80-981A-93600ED37F1D}"/>
    <cellStyle name="Normal 5 2 3 4 4 4" xfId="10268" xr:uid="{895E136B-7D72-4DB2-A608-0A96EC5FF28B}"/>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CEBDD805-C599-4BC2-8ECC-B553B309D208}"/>
    <cellStyle name="Normal 5 2 3 4 5 2 3" xfId="12826" xr:uid="{01CBC7B1-F8F0-46E8-8968-4616E906FCCB}"/>
    <cellStyle name="Normal 5 2 3 4 5 3" xfId="6457" xr:uid="{00000000-0005-0000-0000-0000BC180000}"/>
    <cellStyle name="Normal 5 2 3 4 5 3 2" xfId="14899" xr:uid="{C420E001-C141-4554-AD94-4B6F582ED03B}"/>
    <cellStyle name="Normal 5 2 3 4 5 4" xfId="10681" xr:uid="{25CE51E4-5766-46EF-988F-50CB767BAC40}"/>
    <cellStyle name="Normal 5 2 3 4 6" xfId="2586" xr:uid="{00000000-0005-0000-0000-0000BD180000}"/>
    <cellStyle name="Normal 5 2 3 4 6 2" xfId="6870" xr:uid="{00000000-0005-0000-0000-0000BE180000}"/>
    <cellStyle name="Normal 5 2 3 4 6 2 2" xfId="15312" xr:uid="{2F52732D-66F3-43C8-8006-86066CEEC9C1}"/>
    <cellStyle name="Normal 5 2 3 4 6 3" xfId="11094" xr:uid="{2D8FC5DD-0E34-4430-9C9A-0BBBE7B24DAE}"/>
    <cellStyle name="Normal 5 2 3 4 7" xfId="4805" xr:uid="{00000000-0005-0000-0000-0000BF180000}"/>
    <cellStyle name="Normal 5 2 3 4 7 2" xfId="13247" xr:uid="{8858C740-946F-4072-A547-5E445E960CB8}"/>
    <cellStyle name="Normal 5 2 3 4 8" xfId="9029" xr:uid="{BE113849-92CA-4C87-8A99-BAC155DAFC44}"/>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5487B278-7314-4F9B-8E65-16E420243EC1}"/>
    <cellStyle name="Normal 5 2 3 5 2 3" xfId="11580" xr:uid="{6A1DAE54-9E26-4724-B9A5-A7DE12588A0F}"/>
    <cellStyle name="Normal 5 2 3 5 3" xfId="5211" xr:uid="{00000000-0005-0000-0000-0000C3180000}"/>
    <cellStyle name="Normal 5 2 3 5 3 2" xfId="13653" xr:uid="{42751628-1353-4DB5-8571-551AFEECE2E5}"/>
    <cellStyle name="Normal 5 2 3 5 4" xfId="9435" xr:uid="{3651C79F-8B9B-4305-9FD0-9B06567B2DF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7BF21B62-6130-4783-AA1D-9E75813D155F}"/>
    <cellStyle name="Normal 5 2 3 6 2 3" xfId="11993" xr:uid="{E6E7F486-0EA7-42C1-BC9F-CC6210EAFF0F}"/>
    <cellStyle name="Normal 5 2 3 6 3" xfId="5624" xr:uid="{00000000-0005-0000-0000-0000C7180000}"/>
    <cellStyle name="Normal 5 2 3 6 3 2" xfId="14066" xr:uid="{BEA13DFD-3CC9-461D-A155-B39254670F30}"/>
    <cellStyle name="Normal 5 2 3 6 4" xfId="9848" xr:uid="{8A8698EC-6B63-4759-AB74-127D15BB9368}"/>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1259CDB7-4C53-40BA-BBD3-AD20517C5CED}"/>
    <cellStyle name="Normal 5 2 3 7 2 3" xfId="12406" xr:uid="{359BF574-A555-40DB-8117-B51A4FBC6509}"/>
    <cellStyle name="Normal 5 2 3 7 3" xfId="6037" xr:uid="{00000000-0005-0000-0000-0000CB180000}"/>
    <cellStyle name="Normal 5 2 3 7 3 2" xfId="14479" xr:uid="{29BAFB2E-95F6-4AF4-997A-D576E1B9463D}"/>
    <cellStyle name="Normal 5 2 3 7 4" xfId="10261" xr:uid="{40D57AD3-8CA4-4796-9FF6-B8DB80C0B359}"/>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7C82ECA5-D68E-4651-9B4A-8E3D7190CAF2}"/>
    <cellStyle name="Normal 5 2 3 8 2 3" xfId="12819" xr:uid="{B0173F68-544A-4F60-95C8-F96804F4DF7E}"/>
    <cellStyle name="Normal 5 2 3 8 3" xfId="6450" xr:uid="{00000000-0005-0000-0000-0000CF180000}"/>
    <cellStyle name="Normal 5 2 3 8 3 2" xfId="14892" xr:uid="{679D1398-E012-4D0E-BA83-C3CEB5720DDF}"/>
    <cellStyle name="Normal 5 2 3 8 4" xfId="10674" xr:uid="{3C9B9292-3BBF-41F3-A22D-96A9EF1D9E25}"/>
    <cellStyle name="Normal 5 2 3 9" xfId="2579" xr:uid="{00000000-0005-0000-0000-0000D0180000}"/>
    <cellStyle name="Normal 5 2 3 9 2" xfId="6863" xr:uid="{00000000-0005-0000-0000-0000D1180000}"/>
    <cellStyle name="Normal 5 2 3 9 2 2" xfId="15305" xr:uid="{2B218162-7BD5-46BE-A2C6-57233A80E1E2}"/>
    <cellStyle name="Normal 5 2 3 9 3" xfId="11087" xr:uid="{73FFB60C-338D-4FC7-871F-A8C7AFAD97C2}"/>
    <cellStyle name="Normal 5 2 4" xfId="432" xr:uid="{00000000-0005-0000-0000-0000D2180000}"/>
    <cellStyle name="Normal 5 2 4 10" xfId="9030" xr:uid="{6716BA03-2B69-4D4E-9EFD-047B24CE97D8}"/>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6BC406D9-CBFF-48D3-B935-23E06E9A39EA}"/>
    <cellStyle name="Normal 5 2 4 2 2 2 2 3" xfId="11590" xr:uid="{D70D02CF-2DBB-4608-ACDD-8507C1CC1E94}"/>
    <cellStyle name="Normal 5 2 4 2 2 2 3" xfId="5221" xr:uid="{00000000-0005-0000-0000-0000D8180000}"/>
    <cellStyle name="Normal 5 2 4 2 2 2 3 2" xfId="13663" xr:uid="{F3AE1DA3-D7CF-4FCB-B169-A70E54F2FBD9}"/>
    <cellStyle name="Normal 5 2 4 2 2 2 4" xfId="9445" xr:uid="{66CC8733-91CF-4218-8278-B027BA59BBCB}"/>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826DB8BF-F144-4ECB-A76C-3741B29A7429}"/>
    <cellStyle name="Normal 5 2 4 2 2 3 2 3" xfId="12003" xr:uid="{63F71FA7-0AC4-4CA4-89C2-069C9CECD298}"/>
    <cellStyle name="Normal 5 2 4 2 2 3 3" xfId="5634" xr:uid="{00000000-0005-0000-0000-0000DC180000}"/>
    <cellStyle name="Normal 5 2 4 2 2 3 3 2" xfId="14076" xr:uid="{CD20333F-70A8-44F5-8F8D-690B912CEFD1}"/>
    <cellStyle name="Normal 5 2 4 2 2 3 4" xfId="9858" xr:uid="{51498635-9DD7-4194-81CE-B298E36AB302}"/>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B6BA7B68-757B-41B4-8A59-DA64FA1AFCEC}"/>
    <cellStyle name="Normal 5 2 4 2 2 4 2 3" xfId="12416" xr:uid="{767D41FC-E439-49BB-A4D7-85E3C188F685}"/>
    <cellStyle name="Normal 5 2 4 2 2 4 3" xfId="6047" xr:uid="{00000000-0005-0000-0000-0000E0180000}"/>
    <cellStyle name="Normal 5 2 4 2 2 4 3 2" xfId="14489" xr:uid="{6AD77BBF-D06B-46FF-99A7-A30BE4F4713F}"/>
    <cellStyle name="Normal 5 2 4 2 2 4 4" xfId="10271" xr:uid="{554D40AE-AE29-47B6-B485-DDA737B10C42}"/>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7716EE7D-31AE-49EF-B057-DE1894E53594}"/>
    <cellStyle name="Normal 5 2 4 2 2 5 2 3" xfId="12829" xr:uid="{4F9C4F13-352D-445B-8393-24DC549A3B1F}"/>
    <cellStyle name="Normal 5 2 4 2 2 5 3" xfId="6460" xr:uid="{00000000-0005-0000-0000-0000E4180000}"/>
    <cellStyle name="Normal 5 2 4 2 2 5 3 2" xfId="14902" xr:uid="{441D65AD-EDB5-42C6-8AA0-651E1ADD642B}"/>
    <cellStyle name="Normal 5 2 4 2 2 5 4" xfId="10684" xr:uid="{5A7CFE01-A1A4-4616-81AD-C509FB09A2E9}"/>
    <cellStyle name="Normal 5 2 4 2 2 6" xfId="2589" xr:uid="{00000000-0005-0000-0000-0000E5180000}"/>
    <cellStyle name="Normal 5 2 4 2 2 6 2" xfId="6873" xr:uid="{00000000-0005-0000-0000-0000E6180000}"/>
    <cellStyle name="Normal 5 2 4 2 2 6 2 2" xfId="15315" xr:uid="{FC472824-AE6F-4FDE-B1D4-61EE73A39028}"/>
    <cellStyle name="Normal 5 2 4 2 2 6 3" xfId="11097" xr:uid="{FF5483D8-B352-41BB-9980-203BC8FB50E1}"/>
    <cellStyle name="Normal 5 2 4 2 2 7" xfId="4808" xr:uid="{00000000-0005-0000-0000-0000E7180000}"/>
    <cellStyle name="Normal 5 2 4 2 2 7 2" xfId="13250" xr:uid="{9E344853-164F-4AB8-AC38-34CED4CEC8FB}"/>
    <cellStyle name="Normal 5 2 4 2 2 8" xfId="9032" xr:uid="{26AD2F47-1E46-4940-A336-194CA665C872}"/>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58ABF7CD-67A5-4060-8774-54CC01888FEC}"/>
    <cellStyle name="Normal 5 2 4 2 3 2 3" xfId="11589" xr:uid="{1F9757D2-84DB-4182-A922-610639C61BA7}"/>
    <cellStyle name="Normal 5 2 4 2 3 3" xfId="5220" xr:uid="{00000000-0005-0000-0000-0000EB180000}"/>
    <cellStyle name="Normal 5 2 4 2 3 3 2" xfId="13662" xr:uid="{1969529F-636C-4C20-A242-A2BD15BA055A}"/>
    <cellStyle name="Normal 5 2 4 2 3 4" xfId="9444" xr:uid="{B0B0B3FC-78DC-4FA2-A43D-FE70A36A5083}"/>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A8AC1383-8C26-4A24-B47D-0B6AFEFFBA43}"/>
    <cellStyle name="Normal 5 2 4 2 4 2 3" xfId="12002" xr:uid="{5652C739-4CBB-4266-8A86-C6E3347DF822}"/>
    <cellStyle name="Normal 5 2 4 2 4 3" xfId="5633" xr:uid="{00000000-0005-0000-0000-0000EF180000}"/>
    <cellStyle name="Normal 5 2 4 2 4 3 2" xfId="14075" xr:uid="{991916DB-E445-4EC7-8D32-8829F0C21200}"/>
    <cellStyle name="Normal 5 2 4 2 4 4" xfId="9857" xr:uid="{12E52A1B-3583-45EA-9EBC-ACA41CDE953E}"/>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79421E61-E7F0-49B7-9C81-5419C48AFC48}"/>
    <cellStyle name="Normal 5 2 4 2 5 2 3" xfId="12415" xr:uid="{FA59E663-0019-4DB5-9BE7-E04C78556DE4}"/>
    <cellStyle name="Normal 5 2 4 2 5 3" xfId="6046" xr:uid="{00000000-0005-0000-0000-0000F3180000}"/>
    <cellStyle name="Normal 5 2 4 2 5 3 2" xfId="14488" xr:uid="{0A42FC7B-D812-44CE-B9D1-BCE11C95C3F5}"/>
    <cellStyle name="Normal 5 2 4 2 5 4" xfId="10270" xr:uid="{53998EDE-0D65-4901-8832-4C1E2857D614}"/>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D0965A45-B37E-477F-88E4-485D7E7D02BF}"/>
    <cellStyle name="Normal 5 2 4 2 6 2 3" xfId="12828" xr:uid="{3235676C-5035-46D1-AA7B-4656B755970C}"/>
    <cellStyle name="Normal 5 2 4 2 6 3" xfId="6459" xr:uid="{00000000-0005-0000-0000-0000F7180000}"/>
    <cellStyle name="Normal 5 2 4 2 6 3 2" xfId="14901" xr:uid="{2F8F6089-7EB8-42CC-A5B7-2D2A3637DC1D}"/>
    <cellStyle name="Normal 5 2 4 2 6 4" xfId="10683" xr:uid="{D0F13C7D-5EFB-4E2D-A0BB-2F559BE95B88}"/>
    <cellStyle name="Normal 5 2 4 2 7" xfId="2588" xr:uid="{00000000-0005-0000-0000-0000F8180000}"/>
    <cellStyle name="Normal 5 2 4 2 7 2" xfId="6872" xr:uid="{00000000-0005-0000-0000-0000F9180000}"/>
    <cellStyle name="Normal 5 2 4 2 7 2 2" xfId="15314" xr:uid="{0D2CD873-444C-47F4-A9A9-A45D859DEF21}"/>
    <cellStyle name="Normal 5 2 4 2 7 3" xfId="11096" xr:uid="{17F10CB2-8C28-478C-AEB4-875BCDEC76D2}"/>
    <cellStyle name="Normal 5 2 4 2 8" xfId="4807" xr:uid="{00000000-0005-0000-0000-0000FA180000}"/>
    <cellStyle name="Normal 5 2 4 2 8 2" xfId="13249" xr:uid="{EBF63B4E-9F54-482F-AB56-5D9F4891C49A}"/>
    <cellStyle name="Normal 5 2 4 2 9" xfId="9031" xr:uid="{785FB2C0-4283-443D-9752-79CFE9E6296D}"/>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6C211ADC-C4E2-4ED3-8780-C692643DF52E}"/>
    <cellStyle name="Normal 5 2 4 3 2 2 3" xfId="11591" xr:uid="{D02A8887-5C1F-406D-A7DF-945AF79B0EBA}"/>
    <cellStyle name="Normal 5 2 4 3 2 3" xfId="5222" xr:uid="{00000000-0005-0000-0000-0000FF180000}"/>
    <cellStyle name="Normal 5 2 4 3 2 3 2" xfId="13664" xr:uid="{114F2F9A-BE1D-4082-89E5-120C0AD83925}"/>
    <cellStyle name="Normal 5 2 4 3 2 4" xfId="9446" xr:uid="{1C36AB6A-C46B-4216-9F7F-2E0010D2EB45}"/>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C932F298-C41F-46C9-B716-AF47E472D75C}"/>
    <cellStyle name="Normal 5 2 4 3 3 2 3" xfId="12004" xr:uid="{590D9384-5756-4405-BDD7-5E98275AFF68}"/>
    <cellStyle name="Normal 5 2 4 3 3 3" xfId="5635" xr:uid="{00000000-0005-0000-0000-000003190000}"/>
    <cellStyle name="Normal 5 2 4 3 3 3 2" xfId="14077" xr:uid="{48BB31EA-8073-4DD6-8D20-C660C9D99AD1}"/>
    <cellStyle name="Normal 5 2 4 3 3 4" xfId="9859" xr:uid="{71FD94DB-436B-49D7-91D4-F8E68CEA9965}"/>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E345CA8C-16E3-4FA0-A7CF-94AEA2F70EAB}"/>
    <cellStyle name="Normal 5 2 4 3 4 2 3" xfId="12417" xr:uid="{4BAB4EB0-0A53-4ED7-9B54-F311E0DA7832}"/>
    <cellStyle name="Normal 5 2 4 3 4 3" xfId="6048" xr:uid="{00000000-0005-0000-0000-000007190000}"/>
    <cellStyle name="Normal 5 2 4 3 4 3 2" xfId="14490" xr:uid="{87F05CFC-7C29-49D8-893B-114EBB43F9E1}"/>
    <cellStyle name="Normal 5 2 4 3 4 4" xfId="10272" xr:uid="{302EE782-FF72-44C7-8659-F15E9776368E}"/>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2802309A-E9B1-48F6-B23E-AB4B4370E213}"/>
    <cellStyle name="Normal 5 2 4 3 5 2 3" xfId="12830" xr:uid="{75A1F935-4633-46A4-8D2B-33422B52DC83}"/>
    <cellStyle name="Normal 5 2 4 3 5 3" xfId="6461" xr:uid="{00000000-0005-0000-0000-00000B190000}"/>
    <cellStyle name="Normal 5 2 4 3 5 3 2" xfId="14903" xr:uid="{09F7FCEC-9811-4529-851A-B6E625932099}"/>
    <cellStyle name="Normal 5 2 4 3 5 4" xfId="10685" xr:uid="{A55DB041-8A97-4258-ACD0-331555AFE35F}"/>
    <cellStyle name="Normal 5 2 4 3 6" xfId="2590" xr:uid="{00000000-0005-0000-0000-00000C190000}"/>
    <cellStyle name="Normal 5 2 4 3 6 2" xfId="6874" xr:uid="{00000000-0005-0000-0000-00000D190000}"/>
    <cellStyle name="Normal 5 2 4 3 6 2 2" xfId="15316" xr:uid="{2CE423D0-7AB7-4D75-A904-423B5CAB58AA}"/>
    <cellStyle name="Normal 5 2 4 3 6 3" xfId="11098" xr:uid="{1A7D8D40-C698-4CD1-AE19-59984EE40C52}"/>
    <cellStyle name="Normal 5 2 4 3 7" xfId="4809" xr:uid="{00000000-0005-0000-0000-00000E190000}"/>
    <cellStyle name="Normal 5 2 4 3 7 2" xfId="13251" xr:uid="{E78F7666-3F84-43CB-9A2F-F9B391544E77}"/>
    <cellStyle name="Normal 5 2 4 3 8" xfId="9033" xr:uid="{DE0A5636-4BCC-4B83-9FA8-5D34F757B8F7}"/>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2CBBDE2C-9F77-4CAA-BD3F-B574019492DC}"/>
    <cellStyle name="Normal 5 2 4 4 2 3" xfId="11588" xr:uid="{FDF4BFD2-16C5-4D0C-80EB-F3157E79B17F}"/>
    <cellStyle name="Normal 5 2 4 4 3" xfId="5219" xr:uid="{00000000-0005-0000-0000-000012190000}"/>
    <cellStyle name="Normal 5 2 4 4 3 2" xfId="13661" xr:uid="{BF0E515E-7AD5-4A9C-A565-45D404E71857}"/>
    <cellStyle name="Normal 5 2 4 4 4" xfId="9443" xr:uid="{5D88FE4E-1C6C-47FD-99FD-E7F772388BAE}"/>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93D8748D-A559-40CF-B303-D96612E9182E}"/>
    <cellStyle name="Normal 5 2 4 5 2 3" xfId="12001" xr:uid="{E57CF0C8-CC49-464D-8857-9AFA6C7FE0A9}"/>
    <cellStyle name="Normal 5 2 4 5 3" xfId="5632" xr:uid="{00000000-0005-0000-0000-000016190000}"/>
    <cellStyle name="Normal 5 2 4 5 3 2" xfId="14074" xr:uid="{8861D7B1-C511-4484-9B56-DCB1ECED5E98}"/>
    <cellStyle name="Normal 5 2 4 5 4" xfId="9856" xr:uid="{ADB9CF76-293B-4255-BFA3-D10DA53EE15A}"/>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FA0A4345-8A4D-48B7-8F57-E4CE7A48A781}"/>
    <cellStyle name="Normal 5 2 4 6 2 3" xfId="12414" xr:uid="{53690BF8-2DDF-4334-8B31-F1D45C74F0BF}"/>
    <cellStyle name="Normal 5 2 4 6 3" xfId="6045" xr:uid="{00000000-0005-0000-0000-00001A190000}"/>
    <cellStyle name="Normal 5 2 4 6 3 2" xfId="14487" xr:uid="{85E72B00-E911-461B-BCC0-C67FC3DE6F7A}"/>
    <cellStyle name="Normal 5 2 4 6 4" xfId="10269" xr:uid="{A0982BA3-C45A-4AAB-B736-D51B64FACB8A}"/>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828AA5DA-6874-40AB-9F01-8B1981B6C01A}"/>
    <cellStyle name="Normal 5 2 4 7 2 3" xfId="12827" xr:uid="{968C2579-542A-451A-B642-9F9A75C2A101}"/>
    <cellStyle name="Normal 5 2 4 7 3" xfId="6458" xr:uid="{00000000-0005-0000-0000-00001E190000}"/>
    <cellStyle name="Normal 5 2 4 7 3 2" xfId="14900" xr:uid="{D908F686-248E-4C01-9EDF-AFAED1476167}"/>
    <cellStyle name="Normal 5 2 4 7 4" xfId="10682" xr:uid="{11BE3890-3953-492C-A2F0-CA79C391FE2D}"/>
    <cellStyle name="Normal 5 2 4 8" xfId="2587" xr:uid="{00000000-0005-0000-0000-00001F190000}"/>
    <cellStyle name="Normal 5 2 4 8 2" xfId="6871" xr:uid="{00000000-0005-0000-0000-000020190000}"/>
    <cellStyle name="Normal 5 2 4 8 2 2" xfId="15313" xr:uid="{B22221BF-CDC2-4D0A-9F62-7FB6C643BCD1}"/>
    <cellStyle name="Normal 5 2 4 8 3" xfId="11095" xr:uid="{A33EAFA6-5FCB-4E14-9EE5-16AC2FA83671}"/>
    <cellStyle name="Normal 5 2 4 9" xfId="4806" xr:uid="{00000000-0005-0000-0000-000021190000}"/>
    <cellStyle name="Normal 5 2 4 9 2" xfId="13248" xr:uid="{4D7AD6DC-2300-4793-A05A-6198B2748A04}"/>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B21536F6-F8A3-47A2-844A-CC1570584683}"/>
    <cellStyle name="Normal 5 2 5 2 2 2 3" xfId="11593" xr:uid="{8C90A022-F014-442D-8DD7-38A25CDDB3CF}"/>
    <cellStyle name="Normal 5 2 5 2 2 3" xfId="5224" xr:uid="{00000000-0005-0000-0000-000027190000}"/>
    <cellStyle name="Normal 5 2 5 2 2 3 2" xfId="13666" xr:uid="{D85FBE87-D6C6-4530-8687-2E19443FEAB0}"/>
    <cellStyle name="Normal 5 2 5 2 2 4" xfId="9448" xr:uid="{2D937B3A-1EC1-4FCB-BD98-78439C9314BE}"/>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70E1FADA-E906-4735-9FA3-CB5A65FD36E4}"/>
    <cellStyle name="Normal 5 2 5 2 3 2 3" xfId="12006" xr:uid="{08BAE59B-70F2-4028-9FD0-612519D9D9B4}"/>
    <cellStyle name="Normal 5 2 5 2 3 3" xfId="5637" xr:uid="{00000000-0005-0000-0000-00002B190000}"/>
    <cellStyle name="Normal 5 2 5 2 3 3 2" xfId="14079" xr:uid="{0C112DE3-C725-42C5-BAF1-E12993C844C1}"/>
    <cellStyle name="Normal 5 2 5 2 3 4" xfId="9861" xr:uid="{309303A8-5DEB-49E6-88B0-920AA82BD052}"/>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54FCE9A0-9953-4E96-8480-E9CAF6E27E6B}"/>
    <cellStyle name="Normal 5 2 5 2 4 2 3" xfId="12419" xr:uid="{292141F2-CAFA-43F8-A334-0CDE7BFC7AAE}"/>
    <cellStyle name="Normal 5 2 5 2 4 3" xfId="6050" xr:uid="{00000000-0005-0000-0000-00002F190000}"/>
    <cellStyle name="Normal 5 2 5 2 4 3 2" xfId="14492" xr:uid="{E50E2DE2-9F03-40FC-8AF3-66290160ED54}"/>
    <cellStyle name="Normal 5 2 5 2 4 4" xfId="10274" xr:uid="{EB368F9F-2B9A-41C7-866E-DED9BBDD99BD}"/>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D3272086-DF6F-41D3-81D5-EB70F46A5826}"/>
    <cellStyle name="Normal 5 2 5 2 5 2 3" xfId="12832" xr:uid="{47BDBB6F-DAF1-447D-9083-DC16AA0901CE}"/>
    <cellStyle name="Normal 5 2 5 2 5 3" xfId="6463" xr:uid="{00000000-0005-0000-0000-000033190000}"/>
    <cellStyle name="Normal 5 2 5 2 5 3 2" xfId="14905" xr:uid="{F9FC84B1-0C11-4A94-BF9F-B5633CDA1B5B}"/>
    <cellStyle name="Normal 5 2 5 2 5 4" xfId="10687" xr:uid="{F000CE39-379F-4277-A15B-504CF4FB0D69}"/>
    <cellStyle name="Normal 5 2 5 2 6" xfId="2592" xr:uid="{00000000-0005-0000-0000-000034190000}"/>
    <cellStyle name="Normal 5 2 5 2 6 2" xfId="6876" xr:uid="{00000000-0005-0000-0000-000035190000}"/>
    <cellStyle name="Normal 5 2 5 2 6 2 2" xfId="15318" xr:uid="{A8663B65-78EF-4F54-A54B-9678BCC62F10}"/>
    <cellStyle name="Normal 5 2 5 2 6 3" xfId="11100" xr:uid="{D8400608-8D7E-4E86-9434-0FCB61BDA1F2}"/>
    <cellStyle name="Normal 5 2 5 2 7" xfId="4811" xr:uid="{00000000-0005-0000-0000-000036190000}"/>
    <cellStyle name="Normal 5 2 5 2 7 2" xfId="13253" xr:uid="{BE6FCF2C-0116-47B2-8489-6F8BE58EFBB3}"/>
    <cellStyle name="Normal 5 2 5 2 8" xfId="9035" xr:uid="{A293D1EB-F1BB-41C4-B52B-B370213B044A}"/>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A2ED43E9-0E92-48A7-9435-3739BDF3D2AA}"/>
    <cellStyle name="Normal 5 2 5 3 2 3" xfId="11592" xr:uid="{D7B41C4A-9ECF-4BF9-809B-DF35E6658561}"/>
    <cellStyle name="Normal 5 2 5 3 3" xfId="5223" xr:uid="{00000000-0005-0000-0000-00003A190000}"/>
    <cellStyle name="Normal 5 2 5 3 3 2" xfId="13665" xr:uid="{A4742F91-AB0F-4A8D-B3AF-9F298696295C}"/>
    <cellStyle name="Normal 5 2 5 3 4" xfId="9447" xr:uid="{32166E23-F0A1-473C-86D6-185CD3549827}"/>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AEB9C284-2621-421D-A6BF-8252C780AFFB}"/>
    <cellStyle name="Normal 5 2 5 4 2 3" xfId="12005" xr:uid="{B404C718-43AE-4D0A-8396-0DBBD82077C3}"/>
    <cellStyle name="Normal 5 2 5 4 3" xfId="5636" xr:uid="{00000000-0005-0000-0000-00003E190000}"/>
    <cellStyle name="Normal 5 2 5 4 3 2" xfId="14078" xr:uid="{4EB9E204-7740-482B-9CA7-B8279B3828D1}"/>
    <cellStyle name="Normal 5 2 5 4 4" xfId="9860" xr:uid="{2E277F66-C406-464B-A951-7E2A87C9BC44}"/>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D5EB4DCE-28D3-49C6-BAA1-83F49D179224}"/>
    <cellStyle name="Normal 5 2 5 5 2 3" xfId="12418" xr:uid="{9022792C-DA99-4073-832A-B841DCBF2BF4}"/>
    <cellStyle name="Normal 5 2 5 5 3" xfId="6049" xr:uid="{00000000-0005-0000-0000-000042190000}"/>
    <cellStyle name="Normal 5 2 5 5 3 2" xfId="14491" xr:uid="{E7535575-2154-4276-A4F5-17E5C29768E4}"/>
    <cellStyle name="Normal 5 2 5 5 4" xfId="10273" xr:uid="{1F5EF322-7416-4A0D-9DB3-3ED11D08FF71}"/>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BAE596E9-77AA-411F-B8E8-0AE711A7C712}"/>
    <cellStyle name="Normal 5 2 5 6 2 3" xfId="12831" xr:uid="{77D6490B-3306-4DA4-B4E1-140ADA33C46A}"/>
    <cellStyle name="Normal 5 2 5 6 3" xfId="6462" xr:uid="{00000000-0005-0000-0000-000046190000}"/>
    <cellStyle name="Normal 5 2 5 6 3 2" xfId="14904" xr:uid="{3D9EAB5F-43F6-4707-BD52-4417DC67D772}"/>
    <cellStyle name="Normal 5 2 5 6 4" xfId="10686" xr:uid="{6CB80023-F6BF-47B8-A4D8-A8190E45DBCB}"/>
    <cellStyle name="Normal 5 2 5 7" xfId="2591" xr:uid="{00000000-0005-0000-0000-000047190000}"/>
    <cellStyle name="Normal 5 2 5 7 2" xfId="6875" xr:uid="{00000000-0005-0000-0000-000048190000}"/>
    <cellStyle name="Normal 5 2 5 7 2 2" xfId="15317" xr:uid="{A2236E3C-4A5A-43D4-A50B-9AEB699E7301}"/>
    <cellStyle name="Normal 5 2 5 7 3" xfId="11099" xr:uid="{7E2B7521-D539-4EDF-8632-ED0BE691F145}"/>
    <cellStyle name="Normal 5 2 5 8" xfId="4810" xr:uid="{00000000-0005-0000-0000-000049190000}"/>
    <cellStyle name="Normal 5 2 5 8 2" xfId="13252" xr:uid="{0DAC9F57-A507-45A6-986E-0C19698A101E}"/>
    <cellStyle name="Normal 5 2 5 9" xfId="9034" xr:uid="{CC324F8B-48A8-476D-9609-03FACB081B72}"/>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6FBFE824-8573-443C-B522-BC201B0605CD}"/>
    <cellStyle name="Normal 5 2 6 2 2 3" xfId="11594" xr:uid="{6057579B-4C33-44F0-A5BF-522701B7F90C}"/>
    <cellStyle name="Normal 5 2 6 2 3" xfId="5225" xr:uid="{00000000-0005-0000-0000-00004E190000}"/>
    <cellStyle name="Normal 5 2 6 2 3 2" xfId="13667" xr:uid="{D36E60F5-08FC-4864-AF0A-88C7680DAA19}"/>
    <cellStyle name="Normal 5 2 6 2 4" xfId="9449" xr:uid="{3BDBA2BA-4362-4210-8862-7BB2051AF577}"/>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2C491B90-6E52-4FDC-94E7-FE7DD048FD96}"/>
    <cellStyle name="Normal 5 2 6 3 2 3" xfId="12007" xr:uid="{A6E1F55A-2F1B-418D-8B48-F0EBB5207F62}"/>
    <cellStyle name="Normal 5 2 6 3 3" xfId="5638" xr:uid="{00000000-0005-0000-0000-000052190000}"/>
    <cellStyle name="Normal 5 2 6 3 3 2" xfId="14080" xr:uid="{7254515B-7C41-495A-8D8C-3015C3D742E6}"/>
    <cellStyle name="Normal 5 2 6 3 4" xfId="9862" xr:uid="{1610B736-4BBA-4064-A4AF-82037DC2BBBD}"/>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D62103AC-01D5-4428-A828-FCC7632856C9}"/>
    <cellStyle name="Normal 5 2 6 4 2 3" xfId="12420" xr:uid="{689FA2CD-3135-4AED-8B15-2B3F4EEC31CA}"/>
    <cellStyle name="Normal 5 2 6 4 3" xfId="6051" xr:uid="{00000000-0005-0000-0000-000056190000}"/>
    <cellStyle name="Normal 5 2 6 4 3 2" xfId="14493" xr:uid="{F12B6E1E-7036-4FFB-9613-41C1251C34CC}"/>
    <cellStyle name="Normal 5 2 6 4 4" xfId="10275" xr:uid="{1DF3EFF8-2CAD-4D69-8DB2-BDBAE339B043}"/>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69CC94A6-AA32-4B76-BA0D-59EFFFAB122F}"/>
    <cellStyle name="Normal 5 2 6 5 2 3" xfId="12833" xr:uid="{5C55B3F2-B487-40BD-AC8B-C8CF8A2B149F}"/>
    <cellStyle name="Normal 5 2 6 5 3" xfId="6464" xr:uid="{00000000-0005-0000-0000-00005A190000}"/>
    <cellStyle name="Normal 5 2 6 5 3 2" xfId="14906" xr:uid="{656D4EF1-A3CF-42F2-9104-0047474FD4A4}"/>
    <cellStyle name="Normal 5 2 6 5 4" xfId="10688" xr:uid="{4653E4B6-F9CA-4549-BF24-B894255D0EE2}"/>
    <cellStyle name="Normal 5 2 6 6" xfId="2593" xr:uid="{00000000-0005-0000-0000-00005B190000}"/>
    <cellStyle name="Normal 5 2 6 6 2" xfId="6877" xr:uid="{00000000-0005-0000-0000-00005C190000}"/>
    <cellStyle name="Normal 5 2 6 6 2 2" xfId="15319" xr:uid="{D57BABFA-EA52-4554-B8F8-66D0ED1D4C63}"/>
    <cellStyle name="Normal 5 2 6 6 3" xfId="11101" xr:uid="{FCFDF309-9F18-4FC9-8989-766729F8B206}"/>
    <cellStyle name="Normal 5 2 6 7" xfId="4812" xr:uid="{00000000-0005-0000-0000-00005D190000}"/>
    <cellStyle name="Normal 5 2 6 7 2" xfId="13254" xr:uid="{FA85CFE7-5B78-4390-89D9-2C2A3BE2FBCC}"/>
    <cellStyle name="Normal 5 2 6 8" xfId="9036" xr:uid="{B88ECB5C-AF3F-4488-97DA-6E3F9567670F}"/>
    <cellStyle name="Normal 5 2 7" xfId="881" xr:uid="{00000000-0005-0000-0000-00005E190000}"/>
    <cellStyle name="Normal 5 2 7 2" xfId="3116" xr:uid="{00000000-0005-0000-0000-00005F190000}"/>
    <cellStyle name="Normal 5 2 7 2 2" xfId="7339" xr:uid="{00000000-0005-0000-0000-000060190000}"/>
    <cellStyle name="Normal 5 2 7 2 2 2" xfId="15781" xr:uid="{4B6B4C27-A3A5-4ED7-AD1E-01048A2D0BC3}"/>
    <cellStyle name="Normal 5 2 7 2 3" xfId="11563" xr:uid="{016FFCE6-DFF1-464A-A48A-E260D5C20124}"/>
    <cellStyle name="Normal 5 2 7 3" xfId="5194" xr:uid="{00000000-0005-0000-0000-000061190000}"/>
    <cellStyle name="Normal 5 2 7 3 2" xfId="13636" xr:uid="{267F80DB-B750-44A2-8E0B-6F9F3FC4F681}"/>
    <cellStyle name="Normal 5 2 7 4" xfId="9418" xr:uid="{B17CA2EC-0CB8-4909-8B33-A8435EA679C7}"/>
    <cellStyle name="Normal 5 2 8" xfId="1299" xr:uid="{00000000-0005-0000-0000-000062190000}"/>
    <cellStyle name="Normal 5 2 8 2" xfId="3529" xr:uid="{00000000-0005-0000-0000-000063190000}"/>
    <cellStyle name="Normal 5 2 8 2 2" xfId="7752" xr:uid="{00000000-0005-0000-0000-000064190000}"/>
    <cellStyle name="Normal 5 2 8 2 2 2" xfId="16194" xr:uid="{630F4C49-2511-48EE-A803-D8C7DB05CE7D}"/>
    <cellStyle name="Normal 5 2 8 2 3" xfId="11976" xr:uid="{D11033A5-619B-4552-99C6-F3E2988FC919}"/>
    <cellStyle name="Normal 5 2 8 3" xfId="5607" xr:uid="{00000000-0005-0000-0000-000065190000}"/>
    <cellStyle name="Normal 5 2 8 3 2" xfId="14049" xr:uid="{6D191FF4-D7B7-45B4-B7A7-C701A8446967}"/>
    <cellStyle name="Normal 5 2 8 4" xfId="9831" xr:uid="{AD48E6BD-FFE9-4882-B66E-528BC70546F1}"/>
    <cellStyle name="Normal 5 2 9" xfId="1712" xr:uid="{00000000-0005-0000-0000-000066190000}"/>
    <cellStyle name="Normal 5 2 9 2" xfId="3942" xr:uid="{00000000-0005-0000-0000-000067190000}"/>
    <cellStyle name="Normal 5 2 9 2 2" xfId="8165" xr:uid="{00000000-0005-0000-0000-000068190000}"/>
    <cellStyle name="Normal 5 2 9 2 2 2" xfId="16607" xr:uid="{A313297D-F632-43F3-9D69-BA608F97E708}"/>
    <cellStyle name="Normal 5 2 9 2 3" xfId="12389" xr:uid="{03CB952A-4EE1-49D0-B5DE-B47E04A34D82}"/>
    <cellStyle name="Normal 5 2 9 3" xfId="6020" xr:uid="{00000000-0005-0000-0000-000069190000}"/>
    <cellStyle name="Normal 5 2 9 3 2" xfId="14462" xr:uid="{CFA3E82F-B181-48FF-9F90-1ACA7DE01172}"/>
    <cellStyle name="Normal 5 2 9 4" xfId="10244" xr:uid="{BE89E3E1-F15A-43A5-8403-C49EE52C737D}"/>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39AD2B6E-4311-4F32-9F43-F0AEC9851755}"/>
    <cellStyle name="Normal 5 3 10 2 3" xfId="12834" xr:uid="{8B7D5BB5-6B98-4AE3-961D-17F574F08035}"/>
    <cellStyle name="Normal 5 3 10 3" xfId="6465" xr:uid="{00000000-0005-0000-0000-00006E190000}"/>
    <cellStyle name="Normal 5 3 10 3 2" xfId="14907" xr:uid="{30A85E72-FCAB-433C-BC81-285CAF1A109B}"/>
    <cellStyle name="Normal 5 3 10 4" xfId="10689" xr:uid="{F7916BDA-71D6-4CFE-A880-EFAECD49DAE9}"/>
    <cellStyle name="Normal 5 3 11" xfId="2594" xr:uid="{00000000-0005-0000-0000-00006F190000}"/>
    <cellStyle name="Normal 5 3 11 2" xfId="6878" xr:uid="{00000000-0005-0000-0000-000070190000}"/>
    <cellStyle name="Normal 5 3 11 2 2" xfId="15320" xr:uid="{8D1C75FC-DC05-4D2B-9F1F-A3FDE3906BCC}"/>
    <cellStyle name="Normal 5 3 11 3" xfId="11102" xr:uid="{1FD6C680-DD7E-42A7-87FE-D7891482D4A0}"/>
    <cellStyle name="Normal 5 3 12" xfId="4813" xr:uid="{00000000-0005-0000-0000-000071190000}"/>
    <cellStyle name="Normal 5 3 12 2" xfId="13255" xr:uid="{645D62BA-843B-42C5-A208-56FE12FBD4EB}"/>
    <cellStyle name="Normal 5 3 13" xfId="9037" xr:uid="{E1F7D037-8747-4354-A72F-3944F6B816DA}"/>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94DE93B8-0CE2-4678-B3FC-3FA5463E5CA9}"/>
    <cellStyle name="Normal 5 3 3 11" xfId="9038" xr:uid="{8BEB9671-7897-4623-96EA-5DE9D6EEA17E}"/>
    <cellStyle name="Normal 5 3 3 2" xfId="442" xr:uid="{00000000-0005-0000-0000-000076190000}"/>
    <cellStyle name="Normal 5 3 3 2 10" xfId="9039" xr:uid="{BA86A4FB-00E8-45C5-AA23-C5D535AB124B}"/>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F469F7C4-B3E8-4A1B-BD01-DB6F2E4A2C47}"/>
    <cellStyle name="Normal 5 3 3 2 2 2 2 2 3" xfId="11599" xr:uid="{CB5CA64E-5487-47AC-B3DE-AC40A0F037F1}"/>
    <cellStyle name="Normal 5 3 3 2 2 2 2 3" xfId="5230" xr:uid="{00000000-0005-0000-0000-00007C190000}"/>
    <cellStyle name="Normal 5 3 3 2 2 2 2 3 2" xfId="13672" xr:uid="{2E271CCC-6212-4615-A7A3-48F9505FBD4A}"/>
    <cellStyle name="Normal 5 3 3 2 2 2 2 4" xfId="9454" xr:uid="{1DDCED59-E4D4-4935-97E1-10A1086536C3}"/>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3447BC1D-FAE6-453D-BF57-A6617B9C8BBA}"/>
    <cellStyle name="Normal 5 3 3 2 2 2 3 2 3" xfId="12012" xr:uid="{C89369AD-DB2B-41E4-BF66-4534E3C2D796}"/>
    <cellStyle name="Normal 5 3 3 2 2 2 3 3" xfId="5643" xr:uid="{00000000-0005-0000-0000-000080190000}"/>
    <cellStyle name="Normal 5 3 3 2 2 2 3 3 2" xfId="14085" xr:uid="{1D4C3677-A375-43E1-9B45-BF459CD59993}"/>
    <cellStyle name="Normal 5 3 3 2 2 2 3 4" xfId="9867" xr:uid="{57F8BA7E-05E4-4DE8-8EFC-EC7E13ECBF45}"/>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721F795D-3A37-42E6-B3C4-263FA9EC67A6}"/>
    <cellStyle name="Normal 5 3 3 2 2 2 4 2 3" xfId="12425" xr:uid="{BDC61CA8-5975-463E-A147-FEAB8F3AF9C6}"/>
    <cellStyle name="Normal 5 3 3 2 2 2 4 3" xfId="6056" xr:uid="{00000000-0005-0000-0000-000084190000}"/>
    <cellStyle name="Normal 5 3 3 2 2 2 4 3 2" xfId="14498" xr:uid="{7AC1DCB6-3C21-4859-9E2D-14B739AC5502}"/>
    <cellStyle name="Normal 5 3 3 2 2 2 4 4" xfId="10280" xr:uid="{70B719E2-9248-46A2-AB2A-8C6F335D54B4}"/>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DA13405C-B94C-4606-8389-03ED017531D5}"/>
    <cellStyle name="Normal 5 3 3 2 2 2 5 2 3" xfId="12838" xr:uid="{476C20DB-A3A7-449D-ADB8-E9E71AA10D5E}"/>
    <cellStyle name="Normal 5 3 3 2 2 2 5 3" xfId="6469" xr:uid="{00000000-0005-0000-0000-000088190000}"/>
    <cellStyle name="Normal 5 3 3 2 2 2 5 3 2" xfId="14911" xr:uid="{36DC8E34-7D88-4BCA-9646-6BE22C7880E4}"/>
    <cellStyle name="Normal 5 3 3 2 2 2 5 4" xfId="10693" xr:uid="{8AED7413-0AB7-45E4-A068-17D1E7C1AB56}"/>
    <cellStyle name="Normal 5 3 3 2 2 2 6" xfId="2598" xr:uid="{00000000-0005-0000-0000-000089190000}"/>
    <cellStyle name="Normal 5 3 3 2 2 2 6 2" xfId="6882" xr:uid="{00000000-0005-0000-0000-00008A190000}"/>
    <cellStyle name="Normal 5 3 3 2 2 2 6 2 2" xfId="15324" xr:uid="{6680F703-C189-4354-8A38-48AECB46BFF1}"/>
    <cellStyle name="Normal 5 3 3 2 2 2 6 3" xfId="11106" xr:uid="{F4259F71-F55E-4FE0-A6CC-C156E691D5CF}"/>
    <cellStyle name="Normal 5 3 3 2 2 2 7" xfId="4817" xr:uid="{00000000-0005-0000-0000-00008B190000}"/>
    <cellStyle name="Normal 5 3 3 2 2 2 7 2" xfId="13259" xr:uid="{A39E10D2-19A1-445E-BB8F-D7C0E3DAF178}"/>
    <cellStyle name="Normal 5 3 3 2 2 2 8" xfId="9041" xr:uid="{0467AD4F-3024-4ECC-94C1-24D052D2C857}"/>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19C2AF85-A2D4-427E-BD3C-8E12A5A249F1}"/>
    <cellStyle name="Normal 5 3 3 2 2 3 2 3" xfId="11598" xr:uid="{440334BC-F37E-4E5B-8389-E43446B358A1}"/>
    <cellStyle name="Normal 5 3 3 2 2 3 3" xfId="5229" xr:uid="{00000000-0005-0000-0000-00008F190000}"/>
    <cellStyle name="Normal 5 3 3 2 2 3 3 2" xfId="13671" xr:uid="{A5EAE504-59FC-4E29-8F66-8A34CC9B934B}"/>
    <cellStyle name="Normal 5 3 3 2 2 3 4" xfId="9453" xr:uid="{B3ACB7E0-FC88-4EDE-942C-9DE526E24282}"/>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F3A09BDE-B106-4093-9275-073AA7046646}"/>
    <cellStyle name="Normal 5 3 3 2 2 4 2 3" xfId="12011" xr:uid="{EAACFC2D-4A38-4238-B429-6A37D8D13EF8}"/>
    <cellStyle name="Normal 5 3 3 2 2 4 3" xfId="5642" xr:uid="{00000000-0005-0000-0000-000093190000}"/>
    <cellStyle name="Normal 5 3 3 2 2 4 3 2" xfId="14084" xr:uid="{002EA7A7-141E-457F-A4B6-EB4256D349E1}"/>
    <cellStyle name="Normal 5 3 3 2 2 4 4" xfId="9866" xr:uid="{94451DC6-8AA8-42BF-A539-2F43FD16B20D}"/>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6AD6274F-EDCB-416C-B727-7E6BE6DF505C}"/>
    <cellStyle name="Normal 5 3 3 2 2 5 2 3" xfId="12424" xr:uid="{2A605426-4AF3-4F71-90DD-234C2152A5E8}"/>
    <cellStyle name="Normal 5 3 3 2 2 5 3" xfId="6055" xr:uid="{00000000-0005-0000-0000-000097190000}"/>
    <cellStyle name="Normal 5 3 3 2 2 5 3 2" xfId="14497" xr:uid="{5E90F530-2C30-467C-ABD8-53F94EB726BC}"/>
    <cellStyle name="Normal 5 3 3 2 2 5 4" xfId="10279" xr:uid="{CE014973-CD39-43EB-9411-3D58F0A41B76}"/>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2A39A3DD-BB4A-4023-B8DD-0C204CBA1B42}"/>
    <cellStyle name="Normal 5 3 3 2 2 6 2 3" xfId="12837" xr:uid="{80BE9C1D-BF43-4B06-AC6B-D0A71B08C388}"/>
    <cellStyle name="Normal 5 3 3 2 2 6 3" xfId="6468" xr:uid="{00000000-0005-0000-0000-00009B190000}"/>
    <cellStyle name="Normal 5 3 3 2 2 6 3 2" xfId="14910" xr:uid="{5DAF48EC-E987-4B59-92FB-D096140E8B4C}"/>
    <cellStyle name="Normal 5 3 3 2 2 6 4" xfId="10692" xr:uid="{2064A57F-541E-4224-9140-3304D10BAF1A}"/>
    <cellStyle name="Normal 5 3 3 2 2 7" xfId="2597" xr:uid="{00000000-0005-0000-0000-00009C190000}"/>
    <cellStyle name="Normal 5 3 3 2 2 7 2" xfId="6881" xr:uid="{00000000-0005-0000-0000-00009D190000}"/>
    <cellStyle name="Normal 5 3 3 2 2 7 2 2" xfId="15323" xr:uid="{E4567E9A-5E84-466A-9153-F8D4BB7B3450}"/>
    <cellStyle name="Normal 5 3 3 2 2 7 3" xfId="11105" xr:uid="{3BB1B60A-3A5F-45E7-BDE5-AD79F4E084D2}"/>
    <cellStyle name="Normal 5 3 3 2 2 8" xfId="4816" xr:uid="{00000000-0005-0000-0000-00009E190000}"/>
    <cellStyle name="Normal 5 3 3 2 2 8 2" xfId="13258" xr:uid="{765120D7-FB67-4868-80C1-358AADBC014B}"/>
    <cellStyle name="Normal 5 3 3 2 2 9" xfId="9040" xr:uid="{8A70EE44-045C-4C25-803B-AB58D282385C}"/>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AEF0432D-756E-4428-B228-DF33D0242529}"/>
    <cellStyle name="Normal 5 3 3 2 3 2 2 3" xfId="11600" xr:uid="{BC94CBAE-3E91-4552-B763-BC359239761A}"/>
    <cellStyle name="Normal 5 3 3 2 3 2 3" xfId="5231" xr:uid="{00000000-0005-0000-0000-0000A3190000}"/>
    <cellStyle name="Normal 5 3 3 2 3 2 3 2" xfId="13673" xr:uid="{A35FAB36-994E-4AB0-AB93-54CC1B54527A}"/>
    <cellStyle name="Normal 5 3 3 2 3 2 4" xfId="9455" xr:uid="{09C59C8A-3BC3-4015-94D7-93BB304A14F7}"/>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69407BCD-4553-43BA-8E4C-9F85C66A82EE}"/>
    <cellStyle name="Normal 5 3 3 2 3 3 2 3" xfId="12013" xr:uid="{03E776A7-109A-4FA4-9A39-3A1C07A9E896}"/>
    <cellStyle name="Normal 5 3 3 2 3 3 3" xfId="5644" xr:uid="{00000000-0005-0000-0000-0000A7190000}"/>
    <cellStyle name="Normal 5 3 3 2 3 3 3 2" xfId="14086" xr:uid="{A7474A9F-584B-4091-9424-9066151ED394}"/>
    <cellStyle name="Normal 5 3 3 2 3 3 4" xfId="9868" xr:uid="{31E8452E-5E62-47AF-88F3-077EE2CCBB06}"/>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1EEF83A1-A565-4EEA-A16C-269B2C239575}"/>
    <cellStyle name="Normal 5 3 3 2 3 4 2 3" xfId="12426" xr:uid="{4768B959-3275-4242-9467-60B5CE50A943}"/>
    <cellStyle name="Normal 5 3 3 2 3 4 3" xfId="6057" xr:uid="{00000000-0005-0000-0000-0000AB190000}"/>
    <cellStyle name="Normal 5 3 3 2 3 4 3 2" xfId="14499" xr:uid="{0E318A67-06CC-4A33-8CAF-42E21395F542}"/>
    <cellStyle name="Normal 5 3 3 2 3 4 4" xfId="10281" xr:uid="{83A8B67C-C59E-4EA0-BD10-2B0A63475F1B}"/>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0781A524-F86D-4CAB-BA0B-E4B1DCCAE975}"/>
    <cellStyle name="Normal 5 3 3 2 3 5 2 3" xfId="12839" xr:uid="{6A5DDA19-4C2B-426C-8C6B-F948E879CD83}"/>
    <cellStyle name="Normal 5 3 3 2 3 5 3" xfId="6470" xr:uid="{00000000-0005-0000-0000-0000AF190000}"/>
    <cellStyle name="Normal 5 3 3 2 3 5 3 2" xfId="14912" xr:uid="{F55CFDAA-2AAC-43E5-BFA6-3892707ACC59}"/>
    <cellStyle name="Normal 5 3 3 2 3 5 4" xfId="10694" xr:uid="{26401050-B374-4481-AABA-891A237C6DA4}"/>
    <cellStyle name="Normal 5 3 3 2 3 6" xfId="2599" xr:uid="{00000000-0005-0000-0000-0000B0190000}"/>
    <cellStyle name="Normal 5 3 3 2 3 6 2" xfId="6883" xr:uid="{00000000-0005-0000-0000-0000B1190000}"/>
    <cellStyle name="Normal 5 3 3 2 3 6 2 2" xfId="15325" xr:uid="{7CF87BC7-7424-4FA6-83AE-C8440CFB935C}"/>
    <cellStyle name="Normal 5 3 3 2 3 6 3" xfId="11107" xr:uid="{03B9FED8-1AB2-40C6-95E9-6DAB75DECF46}"/>
    <cellStyle name="Normal 5 3 3 2 3 7" xfId="4818" xr:uid="{00000000-0005-0000-0000-0000B2190000}"/>
    <cellStyle name="Normal 5 3 3 2 3 7 2" xfId="13260" xr:uid="{02F959D8-9C0A-461F-B47E-E0B196CADD6B}"/>
    <cellStyle name="Normal 5 3 3 2 3 8" xfId="9042" xr:uid="{B1DB73EC-FC8C-442C-93CE-5B6DAEDF62E4}"/>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ADB01785-01BF-4CB6-9050-A4D0C62FC935}"/>
    <cellStyle name="Normal 5 3 3 2 4 2 3" xfId="11597" xr:uid="{649D338D-A21D-4385-973F-10818887A011}"/>
    <cellStyle name="Normal 5 3 3 2 4 3" xfId="5228" xr:uid="{00000000-0005-0000-0000-0000B6190000}"/>
    <cellStyle name="Normal 5 3 3 2 4 3 2" xfId="13670" xr:uid="{CCBA6EFF-C510-410C-BB63-ED8594755437}"/>
    <cellStyle name="Normal 5 3 3 2 4 4" xfId="9452" xr:uid="{53CB3CD3-6870-43E5-98E1-AF3C41DD36C1}"/>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E100B3EA-4C24-482D-B326-EDCEDD58F91E}"/>
    <cellStyle name="Normal 5 3 3 2 5 2 3" xfId="12010" xr:uid="{C76E904D-8129-47FE-AA7C-05218BEEC51F}"/>
    <cellStyle name="Normal 5 3 3 2 5 3" xfId="5641" xr:uid="{00000000-0005-0000-0000-0000BA190000}"/>
    <cellStyle name="Normal 5 3 3 2 5 3 2" xfId="14083" xr:uid="{F3963D03-07DB-46E6-8E28-A8C3EBE69E69}"/>
    <cellStyle name="Normal 5 3 3 2 5 4" xfId="9865" xr:uid="{88BAD449-2E3F-412E-AB1F-8D2598E20FC3}"/>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1695D8F4-09A2-4A5E-8891-D548693E8CE2}"/>
    <cellStyle name="Normal 5 3 3 2 6 2 3" xfId="12423" xr:uid="{22097DE9-D60B-4D58-92D1-6F4AF303E66D}"/>
    <cellStyle name="Normal 5 3 3 2 6 3" xfId="6054" xr:uid="{00000000-0005-0000-0000-0000BE190000}"/>
    <cellStyle name="Normal 5 3 3 2 6 3 2" xfId="14496" xr:uid="{4E2D88D0-8CB4-4C3C-881C-56C710433BF6}"/>
    <cellStyle name="Normal 5 3 3 2 6 4" xfId="10278" xr:uid="{A8077F81-A159-4CC0-9903-235BDA75CCD3}"/>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FD91F68B-E39B-4C61-8EDB-ECEB8A187CEE}"/>
    <cellStyle name="Normal 5 3 3 2 7 2 3" xfId="12836" xr:uid="{DC9A671D-9500-41ED-8386-4CFF8CD31309}"/>
    <cellStyle name="Normal 5 3 3 2 7 3" xfId="6467" xr:uid="{00000000-0005-0000-0000-0000C2190000}"/>
    <cellStyle name="Normal 5 3 3 2 7 3 2" xfId="14909" xr:uid="{C1E7CD61-991F-42D1-9598-9409CA065626}"/>
    <cellStyle name="Normal 5 3 3 2 7 4" xfId="10691" xr:uid="{63884D1F-8578-48F7-A0E8-60417AD869D1}"/>
    <cellStyle name="Normal 5 3 3 2 8" xfId="2596" xr:uid="{00000000-0005-0000-0000-0000C3190000}"/>
    <cellStyle name="Normal 5 3 3 2 8 2" xfId="6880" xr:uid="{00000000-0005-0000-0000-0000C4190000}"/>
    <cellStyle name="Normal 5 3 3 2 8 2 2" xfId="15322" xr:uid="{75BEB41F-CCCE-41D0-B9C5-6EDE6F7A6E83}"/>
    <cellStyle name="Normal 5 3 3 2 8 3" xfId="11104" xr:uid="{B901BC67-0E15-47DE-B1C5-727722B62A2A}"/>
    <cellStyle name="Normal 5 3 3 2 9" xfId="4815" xr:uid="{00000000-0005-0000-0000-0000C5190000}"/>
    <cellStyle name="Normal 5 3 3 2 9 2" xfId="13257" xr:uid="{46DE3355-828C-4ABF-A53F-3E77F9B411E1}"/>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9CB2BD87-7B1C-4688-B2C6-766D10DC02F3}"/>
    <cellStyle name="Normal 5 3 3 3 2 2 2 3" xfId="11602" xr:uid="{B6CBF2B2-38D2-45B1-898D-6D9F54720CBD}"/>
    <cellStyle name="Normal 5 3 3 3 2 2 3" xfId="5233" xr:uid="{00000000-0005-0000-0000-0000CB190000}"/>
    <cellStyle name="Normal 5 3 3 3 2 2 3 2" xfId="13675" xr:uid="{C15E3C13-B897-4645-A77D-9A3B103EF0FD}"/>
    <cellStyle name="Normal 5 3 3 3 2 2 4" xfId="9457" xr:uid="{65A2168B-4881-40E0-9EA9-A34FAFCD5CD7}"/>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AF22A323-3382-4B33-9E78-7F7AC00DA992}"/>
    <cellStyle name="Normal 5 3 3 3 2 3 2 3" xfId="12015" xr:uid="{5FEAED29-12A4-41AE-8BB1-8ECC07901B37}"/>
    <cellStyle name="Normal 5 3 3 3 2 3 3" xfId="5646" xr:uid="{00000000-0005-0000-0000-0000CF190000}"/>
    <cellStyle name="Normal 5 3 3 3 2 3 3 2" xfId="14088" xr:uid="{3C22C217-4FF3-43E7-8767-6BACAF7A71EC}"/>
    <cellStyle name="Normal 5 3 3 3 2 3 4" xfId="9870" xr:uid="{8535F747-19E5-4C7D-BA76-0E6E817390B4}"/>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5B7B1682-C906-4FCC-B91D-08979BE523E9}"/>
    <cellStyle name="Normal 5 3 3 3 2 4 2 3" xfId="12428" xr:uid="{F16166A5-5A99-473A-A1E8-FAAA08F1B892}"/>
    <cellStyle name="Normal 5 3 3 3 2 4 3" xfId="6059" xr:uid="{00000000-0005-0000-0000-0000D3190000}"/>
    <cellStyle name="Normal 5 3 3 3 2 4 3 2" xfId="14501" xr:uid="{385E53E4-33CE-4C79-AABF-A6BD64EB649F}"/>
    <cellStyle name="Normal 5 3 3 3 2 4 4" xfId="10283" xr:uid="{AB6D417C-0C12-47FB-BB9A-9DBAA969D71B}"/>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5B1391CA-22EE-4787-B8CC-C7639DC62D34}"/>
    <cellStyle name="Normal 5 3 3 3 2 5 2 3" xfId="12841" xr:uid="{A9E44242-1514-468F-B2C0-5E91C6ECD443}"/>
    <cellStyle name="Normal 5 3 3 3 2 5 3" xfId="6472" xr:uid="{00000000-0005-0000-0000-0000D7190000}"/>
    <cellStyle name="Normal 5 3 3 3 2 5 3 2" xfId="14914" xr:uid="{FCA7E77B-6B9D-499E-8896-533343201122}"/>
    <cellStyle name="Normal 5 3 3 3 2 5 4" xfId="10696" xr:uid="{8F7771C2-73C7-4F81-8824-36A593FE5855}"/>
    <cellStyle name="Normal 5 3 3 3 2 6" xfId="2601" xr:uid="{00000000-0005-0000-0000-0000D8190000}"/>
    <cellStyle name="Normal 5 3 3 3 2 6 2" xfId="6885" xr:uid="{00000000-0005-0000-0000-0000D9190000}"/>
    <cellStyle name="Normal 5 3 3 3 2 6 2 2" xfId="15327" xr:uid="{92B690E2-B870-455B-B226-E4C2BB92D27E}"/>
    <cellStyle name="Normal 5 3 3 3 2 6 3" xfId="11109" xr:uid="{6B33334A-4973-4FFD-9267-89B94E56183A}"/>
    <cellStyle name="Normal 5 3 3 3 2 7" xfId="4820" xr:uid="{00000000-0005-0000-0000-0000DA190000}"/>
    <cellStyle name="Normal 5 3 3 3 2 7 2" xfId="13262" xr:uid="{63B489B9-869A-4A43-A4FA-7F132EBF5240}"/>
    <cellStyle name="Normal 5 3 3 3 2 8" xfId="9044" xr:uid="{EAD12E6D-53B9-4517-9BE0-AE05C8644577}"/>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0C395E37-EB0C-4CBF-B04E-BD11AEBD1BCA}"/>
    <cellStyle name="Normal 5 3 3 3 3 2 3" xfId="11601" xr:uid="{D46F1EF1-02D0-4E38-A2FC-D618C5EDD72F}"/>
    <cellStyle name="Normal 5 3 3 3 3 3" xfId="5232" xr:uid="{00000000-0005-0000-0000-0000DE190000}"/>
    <cellStyle name="Normal 5 3 3 3 3 3 2" xfId="13674" xr:uid="{C37948E7-8F79-4C28-A237-C2F331AB23B9}"/>
    <cellStyle name="Normal 5 3 3 3 3 4" xfId="9456" xr:uid="{5432A0D4-0DE8-439C-96B6-F8D94707B11A}"/>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8A061D3D-86C0-4BB8-994F-74854A880795}"/>
    <cellStyle name="Normal 5 3 3 3 4 2 3" xfId="12014" xr:uid="{36B4E2B1-B83C-47D9-AFD3-03AFC7BEAFEF}"/>
    <cellStyle name="Normal 5 3 3 3 4 3" xfId="5645" xr:uid="{00000000-0005-0000-0000-0000E2190000}"/>
    <cellStyle name="Normal 5 3 3 3 4 3 2" xfId="14087" xr:uid="{DB457A62-83EF-4E57-AB32-AB18ACF9BABC}"/>
    <cellStyle name="Normal 5 3 3 3 4 4" xfId="9869" xr:uid="{55ED34B3-3940-49D0-9654-338DAE3F05FA}"/>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11F889EA-62EC-427F-A05E-E9DB7EC440DD}"/>
    <cellStyle name="Normal 5 3 3 3 5 2 3" xfId="12427" xr:uid="{61B487D8-F54A-4463-9D78-C5E73C6270DA}"/>
    <cellStyle name="Normal 5 3 3 3 5 3" xfId="6058" xr:uid="{00000000-0005-0000-0000-0000E6190000}"/>
    <cellStyle name="Normal 5 3 3 3 5 3 2" xfId="14500" xr:uid="{A2655B0E-B0BB-424F-8CFB-C7DB3336CF77}"/>
    <cellStyle name="Normal 5 3 3 3 5 4" xfId="10282" xr:uid="{4A89E060-C6E7-486B-8105-0E8C593AE690}"/>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EF1B03D3-4D65-4EDE-BCA5-584025E52AD0}"/>
    <cellStyle name="Normal 5 3 3 3 6 2 3" xfId="12840" xr:uid="{25984319-A22A-4394-A97D-1D259BD41BFD}"/>
    <cellStyle name="Normal 5 3 3 3 6 3" xfId="6471" xr:uid="{00000000-0005-0000-0000-0000EA190000}"/>
    <cellStyle name="Normal 5 3 3 3 6 3 2" xfId="14913" xr:uid="{3A1E349D-CACA-4A0B-A8C5-A2AB9B998653}"/>
    <cellStyle name="Normal 5 3 3 3 6 4" xfId="10695" xr:uid="{20C4A949-C777-47DA-8EE0-E7E3BFD95F4D}"/>
    <cellStyle name="Normal 5 3 3 3 7" xfId="2600" xr:uid="{00000000-0005-0000-0000-0000EB190000}"/>
    <cellStyle name="Normal 5 3 3 3 7 2" xfId="6884" xr:uid="{00000000-0005-0000-0000-0000EC190000}"/>
    <cellStyle name="Normal 5 3 3 3 7 2 2" xfId="15326" xr:uid="{CD9CE26D-A57B-4952-AAEE-9F3134987AB5}"/>
    <cellStyle name="Normal 5 3 3 3 7 3" xfId="11108" xr:uid="{BEE883C3-6847-4E2B-A129-040ED7F65430}"/>
    <cellStyle name="Normal 5 3 3 3 8" xfId="4819" xr:uid="{00000000-0005-0000-0000-0000ED190000}"/>
    <cellStyle name="Normal 5 3 3 3 8 2" xfId="13261" xr:uid="{2C530256-B532-4D03-B0D0-588D7A2DBF8C}"/>
    <cellStyle name="Normal 5 3 3 3 9" xfId="9043" xr:uid="{48CAC8DA-D339-47F5-B83F-8EB22BBEC346}"/>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91A27844-BC8A-4128-ADAC-9DD964D83EAD}"/>
    <cellStyle name="Normal 5 3 3 4 2 2 3" xfId="11603" xr:uid="{FADA45F4-5323-4152-B2C7-F604330BDEE0}"/>
    <cellStyle name="Normal 5 3 3 4 2 3" xfId="5234" xr:uid="{00000000-0005-0000-0000-0000F2190000}"/>
    <cellStyle name="Normal 5 3 3 4 2 3 2" xfId="13676" xr:uid="{F3E8A220-82FD-4381-AA55-BECE8215F22E}"/>
    <cellStyle name="Normal 5 3 3 4 2 4" xfId="9458" xr:uid="{DB7E0A44-3FD7-4D39-AA6A-8C84BBDC8FA6}"/>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9DCC8C6D-6D0D-45B7-8A54-60CCAD1DF41C}"/>
    <cellStyle name="Normal 5 3 3 4 3 2 3" xfId="12016" xr:uid="{2245A968-8D8C-4402-8315-54192D22EF3A}"/>
    <cellStyle name="Normal 5 3 3 4 3 3" xfId="5647" xr:uid="{00000000-0005-0000-0000-0000F6190000}"/>
    <cellStyle name="Normal 5 3 3 4 3 3 2" xfId="14089" xr:uid="{584E6E41-0F66-4504-92F8-B24CBCA63E96}"/>
    <cellStyle name="Normal 5 3 3 4 3 4" xfId="9871" xr:uid="{50C7F53C-69F3-4222-9A42-4CCCED8F1439}"/>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0D6AC5A8-49D1-4837-81A5-B8894F47FE52}"/>
    <cellStyle name="Normal 5 3 3 4 4 2 3" xfId="12429" xr:uid="{754E25FE-131A-448F-812E-4A469537CF95}"/>
    <cellStyle name="Normal 5 3 3 4 4 3" xfId="6060" xr:uid="{00000000-0005-0000-0000-0000FA190000}"/>
    <cellStyle name="Normal 5 3 3 4 4 3 2" xfId="14502" xr:uid="{2D2DB8CE-0BBE-4C1A-9DDF-803660D7EE70}"/>
    <cellStyle name="Normal 5 3 3 4 4 4" xfId="10284" xr:uid="{D42880A3-BBCB-4307-8C99-E32D6E81CA1C}"/>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753E5E20-7A10-4C34-A41B-57DD51212FBD}"/>
    <cellStyle name="Normal 5 3 3 4 5 2 3" xfId="12842" xr:uid="{687CF9AE-2400-4C9C-82AD-B89DCBDBB02F}"/>
    <cellStyle name="Normal 5 3 3 4 5 3" xfId="6473" xr:uid="{00000000-0005-0000-0000-0000FE190000}"/>
    <cellStyle name="Normal 5 3 3 4 5 3 2" xfId="14915" xr:uid="{88E1BDB0-7290-469D-8726-1C26162FA5D6}"/>
    <cellStyle name="Normal 5 3 3 4 5 4" xfId="10697" xr:uid="{6B73DA0B-521F-4A84-A0D9-7E32F603D396}"/>
    <cellStyle name="Normal 5 3 3 4 6" xfId="2602" xr:uid="{00000000-0005-0000-0000-0000FF190000}"/>
    <cellStyle name="Normal 5 3 3 4 6 2" xfId="6886" xr:uid="{00000000-0005-0000-0000-0000001A0000}"/>
    <cellStyle name="Normal 5 3 3 4 6 2 2" xfId="15328" xr:uid="{5E5F510D-7630-4FAB-9B2F-8543BC026B58}"/>
    <cellStyle name="Normal 5 3 3 4 6 3" xfId="11110" xr:uid="{59B193DB-4CBF-4220-B4D9-707145574461}"/>
    <cellStyle name="Normal 5 3 3 4 7" xfId="4821" xr:uid="{00000000-0005-0000-0000-0000011A0000}"/>
    <cellStyle name="Normal 5 3 3 4 7 2" xfId="13263" xr:uid="{A45F229D-DB28-49A4-93D2-6F875D3D1462}"/>
    <cellStyle name="Normal 5 3 3 4 8" xfId="9045" xr:uid="{DFE7EB18-33D7-4DB9-BC1F-2093A76BA3C0}"/>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71487E48-8C89-42CC-83F4-D5425540FC38}"/>
    <cellStyle name="Normal 5 3 3 5 2 3" xfId="11596" xr:uid="{2567EDEA-10CC-491E-90EF-7F7121D4F41B}"/>
    <cellStyle name="Normal 5 3 3 5 3" xfId="5227" xr:uid="{00000000-0005-0000-0000-0000051A0000}"/>
    <cellStyle name="Normal 5 3 3 5 3 2" xfId="13669" xr:uid="{893678AF-5D72-467A-B062-4D7006285C84}"/>
    <cellStyle name="Normal 5 3 3 5 4" xfId="9451" xr:uid="{7BE715A8-BE12-4034-B1D0-DBCADE6A79E8}"/>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5C43031-D28E-42E5-9641-CD4CB1A8C5AD}"/>
    <cellStyle name="Normal 5 3 3 6 2 3" xfId="12009" xr:uid="{E3E95F87-DB88-4714-9C19-C889315CA173}"/>
    <cellStyle name="Normal 5 3 3 6 3" xfId="5640" xr:uid="{00000000-0005-0000-0000-0000091A0000}"/>
    <cellStyle name="Normal 5 3 3 6 3 2" xfId="14082" xr:uid="{85D267FA-21F7-4AB9-9600-E4C75B84E0C4}"/>
    <cellStyle name="Normal 5 3 3 6 4" xfId="9864" xr:uid="{337AC974-11FF-4DED-873D-89F7D3130689}"/>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7C76BFB7-350F-41C7-B2F8-D31C976B218D}"/>
    <cellStyle name="Normal 5 3 3 7 2 3" xfId="12422" xr:uid="{F93B17EB-5D05-441D-88FB-8C715BC500C8}"/>
    <cellStyle name="Normal 5 3 3 7 3" xfId="6053" xr:uid="{00000000-0005-0000-0000-00000D1A0000}"/>
    <cellStyle name="Normal 5 3 3 7 3 2" xfId="14495" xr:uid="{6C73077B-D7C9-4918-899B-A75A92C1EC5C}"/>
    <cellStyle name="Normal 5 3 3 7 4" xfId="10277" xr:uid="{15111A53-D890-4B5F-BD27-7DF03CF98C04}"/>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6ADF29C5-C7BC-409D-9E7C-D7226F69AAB4}"/>
    <cellStyle name="Normal 5 3 3 8 2 3" xfId="12835" xr:uid="{0B1AF157-79E3-4EAC-BAB2-420CD072A5AF}"/>
    <cellStyle name="Normal 5 3 3 8 3" xfId="6466" xr:uid="{00000000-0005-0000-0000-0000111A0000}"/>
    <cellStyle name="Normal 5 3 3 8 3 2" xfId="14908" xr:uid="{479E4B8F-D5F8-4164-8AD4-BC42A5F51DEA}"/>
    <cellStyle name="Normal 5 3 3 8 4" xfId="10690" xr:uid="{26668068-D0A0-4140-83B3-40D675197696}"/>
    <cellStyle name="Normal 5 3 3 9" xfId="2595" xr:uid="{00000000-0005-0000-0000-0000121A0000}"/>
    <cellStyle name="Normal 5 3 3 9 2" xfId="6879" xr:uid="{00000000-0005-0000-0000-0000131A0000}"/>
    <cellStyle name="Normal 5 3 3 9 2 2" xfId="15321" xr:uid="{80246253-CBCE-4E82-875E-FE1FBD41D56F}"/>
    <cellStyle name="Normal 5 3 3 9 3" xfId="11103" xr:uid="{0EE3CA8F-D14B-4FEB-954F-B6CB3EC32A46}"/>
    <cellStyle name="Normal 5 3 4" xfId="449" xr:uid="{00000000-0005-0000-0000-0000141A0000}"/>
    <cellStyle name="Normal 5 3 4 10" xfId="9046" xr:uid="{95A64A42-B214-42B1-9A89-0C4082B77A52}"/>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8247F5AB-26B8-417A-9ACE-D03C5E285F0C}"/>
    <cellStyle name="Normal 5 3 4 2 2 2 2 3" xfId="11606" xr:uid="{C7481F7A-02AA-4E27-A4B2-D61C1AF50226}"/>
    <cellStyle name="Normal 5 3 4 2 2 2 3" xfId="5237" xr:uid="{00000000-0005-0000-0000-00001A1A0000}"/>
    <cellStyle name="Normal 5 3 4 2 2 2 3 2" xfId="13679" xr:uid="{B83126CC-C418-4873-99D4-012C54326C38}"/>
    <cellStyle name="Normal 5 3 4 2 2 2 4" xfId="9461" xr:uid="{1B6B18F1-7344-4304-9911-81479E74F281}"/>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D23385AA-9DF4-4F69-B4BB-A1A403A1CF72}"/>
    <cellStyle name="Normal 5 3 4 2 2 3 2 3" xfId="12019" xr:uid="{6C88EF2D-C9D6-48BB-B32C-D2E46724E421}"/>
    <cellStyle name="Normal 5 3 4 2 2 3 3" xfId="5650" xr:uid="{00000000-0005-0000-0000-00001E1A0000}"/>
    <cellStyle name="Normal 5 3 4 2 2 3 3 2" xfId="14092" xr:uid="{C102A414-E921-41BB-A2F2-5F989546C922}"/>
    <cellStyle name="Normal 5 3 4 2 2 3 4" xfId="9874" xr:uid="{65901E07-E0C0-4B88-8F1A-DE0C4B02B20D}"/>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182B834A-E449-42E2-8E1F-451D5A03E018}"/>
    <cellStyle name="Normal 5 3 4 2 2 4 2 3" xfId="12432" xr:uid="{E91B29CE-CA37-4EDE-8D64-9E2D1A5E5E1C}"/>
    <cellStyle name="Normal 5 3 4 2 2 4 3" xfId="6063" xr:uid="{00000000-0005-0000-0000-0000221A0000}"/>
    <cellStyle name="Normal 5 3 4 2 2 4 3 2" xfId="14505" xr:uid="{5EB90A3B-DF02-43FF-A059-21CCCA1B61FD}"/>
    <cellStyle name="Normal 5 3 4 2 2 4 4" xfId="10287" xr:uid="{96BB1667-E8CA-4429-8F4F-4D21DD503954}"/>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FC544A02-C32B-4ECF-8306-1CD237F06802}"/>
    <cellStyle name="Normal 5 3 4 2 2 5 2 3" xfId="12845" xr:uid="{C114F97D-A916-485E-BA3A-B1FC8E4E04A3}"/>
    <cellStyle name="Normal 5 3 4 2 2 5 3" xfId="6476" xr:uid="{00000000-0005-0000-0000-0000261A0000}"/>
    <cellStyle name="Normal 5 3 4 2 2 5 3 2" xfId="14918" xr:uid="{58BC0000-B78B-484D-B7E2-4882A7745AA4}"/>
    <cellStyle name="Normal 5 3 4 2 2 5 4" xfId="10700" xr:uid="{5DAAA46A-71BB-4C66-A6EB-9E2ECD7C6108}"/>
    <cellStyle name="Normal 5 3 4 2 2 6" xfId="2605" xr:uid="{00000000-0005-0000-0000-0000271A0000}"/>
    <cellStyle name="Normal 5 3 4 2 2 6 2" xfId="6889" xr:uid="{00000000-0005-0000-0000-0000281A0000}"/>
    <cellStyle name="Normal 5 3 4 2 2 6 2 2" xfId="15331" xr:uid="{0911A60E-AF46-46C7-82A5-AAA873B263B0}"/>
    <cellStyle name="Normal 5 3 4 2 2 6 3" xfId="11113" xr:uid="{9E3AF138-338D-473F-AA13-4E006D8CDBC6}"/>
    <cellStyle name="Normal 5 3 4 2 2 7" xfId="4824" xr:uid="{00000000-0005-0000-0000-0000291A0000}"/>
    <cellStyle name="Normal 5 3 4 2 2 7 2" xfId="13266" xr:uid="{735BBCA3-133D-4491-9166-BEC1654A4451}"/>
    <cellStyle name="Normal 5 3 4 2 2 8" xfId="9048" xr:uid="{352F4EBB-175C-475D-8E1C-891633101332}"/>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0F0F8C33-097D-4B87-BB29-F2DAA842F9F3}"/>
    <cellStyle name="Normal 5 3 4 2 3 2 3" xfId="11605" xr:uid="{6FA2AD29-0C2D-4BB9-A153-3972865156C0}"/>
    <cellStyle name="Normal 5 3 4 2 3 3" xfId="5236" xr:uid="{00000000-0005-0000-0000-00002D1A0000}"/>
    <cellStyle name="Normal 5 3 4 2 3 3 2" xfId="13678" xr:uid="{A78A6BC5-F8FD-46E8-982F-C19FD75D52A4}"/>
    <cellStyle name="Normal 5 3 4 2 3 4" xfId="9460" xr:uid="{A8DD7180-4AC6-4D85-ABDA-1CDB5AF6AC31}"/>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7A4ABF70-D0BB-417A-A657-8B5357E1B376}"/>
    <cellStyle name="Normal 5 3 4 2 4 2 3" xfId="12018" xr:uid="{0DCFC3D6-6211-4DA3-AB6A-C13072F7713A}"/>
    <cellStyle name="Normal 5 3 4 2 4 3" xfId="5649" xr:uid="{00000000-0005-0000-0000-0000311A0000}"/>
    <cellStyle name="Normal 5 3 4 2 4 3 2" xfId="14091" xr:uid="{A4036547-88C8-432E-A4A9-43223D124715}"/>
    <cellStyle name="Normal 5 3 4 2 4 4" xfId="9873" xr:uid="{2655CF5E-E453-451A-B627-1167B6E1451A}"/>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F3F4D8D7-C7E1-4394-B5EB-79E0BB80E887}"/>
    <cellStyle name="Normal 5 3 4 2 5 2 3" xfId="12431" xr:uid="{6C2C6980-E266-4F44-937E-8E799434279A}"/>
    <cellStyle name="Normal 5 3 4 2 5 3" xfId="6062" xr:uid="{00000000-0005-0000-0000-0000351A0000}"/>
    <cellStyle name="Normal 5 3 4 2 5 3 2" xfId="14504" xr:uid="{C5DBF027-1B03-4632-95C7-4606467DE59B}"/>
    <cellStyle name="Normal 5 3 4 2 5 4" xfId="10286" xr:uid="{1821B576-43F9-4508-BEB4-5F710A229FD5}"/>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BF27C4D9-567E-43D1-B73B-DA1EE01E0C36}"/>
    <cellStyle name="Normal 5 3 4 2 6 2 3" xfId="12844" xr:uid="{BC13A84D-9B2A-413A-A682-371580737A6F}"/>
    <cellStyle name="Normal 5 3 4 2 6 3" xfId="6475" xr:uid="{00000000-0005-0000-0000-0000391A0000}"/>
    <cellStyle name="Normal 5 3 4 2 6 3 2" xfId="14917" xr:uid="{8DE3722C-E978-45A3-AB09-40CACA714678}"/>
    <cellStyle name="Normal 5 3 4 2 6 4" xfId="10699" xr:uid="{2560939A-BDAD-43A3-9E3B-67CAEF8EED09}"/>
    <cellStyle name="Normal 5 3 4 2 7" xfId="2604" xr:uid="{00000000-0005-0000-0000-00003A1A0000}"/>
    <cellStyle name="Normal 5 3 4 2 7 2" xfId="6888" xr:uid="{00000000-0005-0000-0000-00003B1A0000}"/>
    <cellStyle name="Normal 5 3 4 2 7 2 2" xfId="15330" xr:uid="{19F88EC8-89B0-4D61-9A02-3E3C23869B6F}"/>
    <cellStyle name="Normal 5 3 4 2 7 3" xfId="11112" xr:uid="{96EFE53F-7FB2-492E-BC8A-C359CC91EDF3}"/>
    <cellStyle name="Normal 5 3 4 2 8" xfId="4823" xr:uid="{00000000-0005-0000-0000-00003C1A0000}"/>
    <cellStyle name="Normal 5 3 4 2 8 2" xfId="13265" xr:uid="{5FBC99A0-D0D5-403B-A98B-98C766EB09CA}"/>
    <cellStyle name="Normal 5 3 4 2 9" xfId="9047" xr:uid="{D85D67AD-B712-4E66-B2C2-31E27D1F18D8}"/>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AD61018C-7F82-4E4B-8A7F-826423EF1E6F}"/>
    <cellStyle name="Normal 5 3 4 3 2 2 3" xfId="11607" xr:uid="{585AEB17-A3FB-44A8-938B-0E2A046263DE}"/>
    <cellStyle name="Normal 5 3 4 3 2 3" xfId="5238" xr:uid="{00000000-0005-0000-0000-0000411A0000}"/>
    <cellStyle name="Normal 5 3 4 3 2 3 2" xfId="13680" xr:uid="{9B8AE7E2-40CF-4282-BDFF-B4A11CB39E8D}"/>
    <cellStyle name="Normal 5 3 4 3 2 4" xfId="9462" xr:uid="{621F0783-6A03-414A-9ED1-A3456794BB54}"/>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29FFAB00-F3FA-438C-A96F-47189A1A4C3B}"/>
    <cellStyle name="Normal 5 3 4 3 3 2 3" xfId="12020" xr:uid="{3BA64791-D68C-478F-BE56-05453137B51B}"/>
    <cellStyle name="Normal 5 3 4 3 3 3" xfId="5651" xr:uid="{00000000-0005-0000-0000-0000451A0000}"/>
    <cellStyle name="Normal 5 3 4 3 3 3 2" xfId="14093" xr:uid="{653275AC-95F6-4A1E-A438-650F7FE6AEDD}"/>
    <cellStyle name="Normal 5 3 4 3 3 4" xfId="9875" xr:uid="{2F9C28C9-C75C-4367-98C9-91879066451D}"/>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BDEAFA37-DD7B-4004-A89D-2F3CFBC36E2D}"/>
    <cellStyle name="Normal 5 3 4 3 4 2 3" xfId="12433" xr:uid="{722AE383-F17B-4982-8746-60485457F7E2}"/>
    <cellStyle name="Normal 5 3 4 3 4 3" xfId="6064" xr:uid="{00000000-0005-0000-0000-0000491A0000}"/>
    <cellStyle name="Normal 5 3 4 3 4 3 2" xfId="14506" xr:uid="{FC9441EB-8ED7-4688-9A93-77825C41C3E0}"/>
    <cellStyle name="Normal 5 3 4 3 4 4" xfId="10288" xr:uid="{E506A561-6313-41E3-AB1A-A78667C31DA2}"/>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B5821AA9-15A5-4505-AC5D-CA711B6ACC7B}"/>
    <cellStyle name="Normal 5 3 4 3 5 2 3" xfId="12846" xr:uid="{4778AF46-13B4-4784-A4D2-2C2C23F6C816}"/>
    <cellStyle name="Normal 5 3 4 3 5 3" xfId="6477" xr:uid="{00000000-0005-0000-0000-00004D1A0000}"/>
    <cellStyle name="Normal 5 3 4 3 5 3 2" xfId="14919" xr:uid="{70A34A1A-BE77-49B0-8223-16D16D9E12AE}"/>
    <cellStyle name="Normal 5 3 4 3 5 4" xfId="10701" xr:uid="{073C6A27-3AA2-4A0C-9AB3-901409903598}"/>
    <cellStyle name="Normal 5 3 4 3 6" xfId="2606" xr:uid="{00000000-0005-0000-0000-00004E1A0000}"/>
    <cellStyle name="Normal 5 3 4 3 6 2" xfId="6890" xr:uid="{00000000-0005-0000-0000-00004F1A0000}"/>
    <cellStyle name="Normal 5 3 4 3 6 2 2" xfId="15332" xr:uid="{67C8FEDD-B2CA-4896-BC0F-CB01F856C50D}"/>
    <cellStyle name="Normal 5 3 4 3 6 3" xfId="11114" xr:uid="{C4285795-FFC9-4B4C-A408-5FF276F7D0A2}"/>
    <cellStyle name="Normal 5 3 4 3 7" xfId="4825" xr:uid="{00000000-0005-0000-0000-0000501A0000}"/>
    <cellStyle name="Normal 5 3 4 3 7 2" xfId="13267" xr:uid="{ABC80A69-5A65-4BFF-81C8-4BBD14FFBA91}"/>
    <cellStyle name="Normal 5 3 4 3 8" xfId="9049" xr:uid="{A485EBEE-8748-4043-8DFF-39A3AA9F7F8C}"/>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A67E5A54-AC02-48F4-B144-D862304FC553}"/>
    <cellStyle name="Normal 5 3 4 4 2 3" xfId="11604" xr:uid="{FDFCF929-BE76-43C4-9804-99C7252F2248}"/>
    <cellStyle name="Normal 5 3 4 4 3" xfId="5235" xr:uid="{00000000-0005-0000-0000-0000541A0000}"/>
    <cellStyle name="Normal 5 3 4 4 3 2" xfId="13677" xr:uid="{93460995-28CF-4FCB-813D-EFA9551D873F}"/>
    <cellStyle name="Normal 5 3 4 4 4" xfId="9459" xr:uid="{CB38FF56-FBCE-49D2-A40B-31C4F2BC48CC}"/>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2F4F84F5-51B2-458B-89D2-6CEE07728B8E}"/>
    <cellStyle name="Normal 5 3 4 5 2 3" xfId="12017" xr:uid="{36E6C1AB-2A32-433E-9D2D-D30F9D88EC0E}"/>
    <cellStyle name="Normal 5 3 4 5 3" xfId="5648" xr:uid="{00000000-0005-0000-0000-0000581A0000}"/>
    <cellStyle name="Normal 5 3 4 5 3 2" xfId="14090" xr:uid="{75EF771A-E5FB-4F50-B80F-0C5B76C7A6B0}"/>
    <cellStyle name="Normal 5 3 4 5 4" xfId="9872" xr:uid="{0059849A-9ACD-4438-A36F-8F9AE587D3A6}"/>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BA8299DD-39C2-4257-97F9-710E2F823898}"/>
    <cellStyle name="Normal 5 3 4 6 2 3" xfId="12430" xr:uid="{80E042B3-B45C-489C-940C-0FE83286F596}"/>
    <cellStyle name="Normal 5 3 4 6 3" xfId="6061" xr:uid="{00000000-0005-0000-0000-00005C1A0000}"/>
    <cellStyle name="Normal 5 3 4 6 3 2" xfId="14503" xr:uid="{C7EA72FA-C7F2-4220-8AE7-F82C4242DB02}"/>
    <cellStyle name="Normal 5 3 4 6 4" xfId="10285" xr:uid="{459FBB23-907D-4AA8-AC01-4FB729C0C0A0}"/>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23758AB5-5EC5-497F-810D-55F552109C03}"/>
    <cellStyle name="Normal 5 3 4 7 2 3" xfId="12843" xr:uid="{064A0F91-3ECB-45D3-9D4F-7416D292A816}"/>
    <cellStyle name="Normal 5 3 4 7 3" xfId="6474" xr:uid="{00000000-0005-0000-0000-0000601A0000}"/>
    <cellStyle name="Normal 5 3 4 7 3 2" xfId="14916" xr:uid="{742338D0-BBA3-4DBB-84AF-8D606263FABF}"/>
    <cellStyle name="Normal 5 3 4 7 4" xfId="10698" xr:uid="{BEF12A3B-47D2-4238-9A66-CDA68642BCF5}"/>
    <cellStyle name="Normal 5 3 4 8" xfId="2603" xr:uid="{00000000-0005-0000-0000-0000611A0000}"/>
    <cellStyle name="Normal 5 3 4 8 2" xfId="6887" xr:uid="{00000000-0005-0000-0000-0000621A0000}"/>
    <cellStyle name="Normal 5 3 4 8 2 2" xfId="15329" xr:uid="{295D3AD6-F2F6-4520-B29F-6D8D89D5F938}"/>
    <cellStyle name="Normal 5 3 4 8 3" xfId="11111" xr:uid="{83426925-CD5B-40FB-9AA0-3D97B44F8861}"/>
    <cellStyle name="Normal 5 3 4 9" xfId="4822" xr:uid="{00000000-0005-0000-0000-0000631A0000}"/>
    <cellStyle name="Normal 5 3 4 9 2" xfId="13264" xr:uid="{1B7BE64C-FB26-40B2-BB38-653F891BA491}"/>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6E7AD013-1914-46B0-B810-25444B1E401D}"/>
    <cellStyle name="Normal 5 3 5 2 2 2 3" xfId="11609" xr:uid="{896510A8-91F9-4838-84A9-4ED62F238F6C}"/>
    <cellStyle name="Normal 5 3 5 2 2 3" xfId="5240" xr:uid="{00000000-0005-0000-0000-0000691A0000}"/>
    <cellStyle name="Normal 5 3 5 2 2 3 2" xfId="13682" xr:uid="{F5FFC128-74C7-4D96-A8DB-21A31B38A666}"/>
    <cellStyle name="Normal 5 3 5 2 2 4" xfId="9464" xr:uid="{CA4482E4-8830-4F19-80A5-8E9F14787CD2}"/>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85D2F780-2C49-4250-AD32-3EF963F4D8F7}"/>
    <cellStyle name="Normal 5 3 5 2 3 2 3" xfId="12022" xr:uid="{6A04910D-65E2-4D74-85E4-5BBAD5A0492E}"/>
    <cellStyle name="Normal 5 3 5 2 3 3" xfId="5653" xr:uid="{00000000-0005-0000-0000-00006D1A0000}"/>
    <cellStyle name="Normal 5 3 5 2 3 3 2" xfId="14095" xr:uid="{A5CAB628-163A-46F4-ADEA-BE35B5124121}"/>
    <cellStyle name="Normal 5 3 5 2 3 4" xfId="9877" xr:uid="{1AD63EEE-D5E2-46C1-92CE-8680D899CE1F}"/>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083472E4-E7D3-41FF-9B75-E808A5B86335}"/>
    <cellStyle name="Normal 5 3 5 2 4 2 3" xfId="12435" xr:uid="{1ED557B1-B1BB-4E25-A108-9B1FDCD461C8}"/>
    <cellStyle name="Normal 5 3 5 2 4 3" xfId="6066" xr:uid="{00000000-0005-0000-0000-0000711A0000}"/>
    <cellStyle name="Normal 5 3 5 2 4 3 2" xfId="14508" xr:uid="{F2C9B2D1-6146-4F12-9EEA-97D73363BC1E}"/>
    <cellStyle name="Normal 5 3 5 2 4 4" xfId="10290" xr:uid="{1A08D7DB-4DD5-4F53-A1A3-1E87B60C135A}"/>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0CDCFCEF-3C5C-4773-9BD8-F3AF1661234E}"/>
    <cellStyle name="Normal 5 3 5 2 5 2 3" xfId="12848" xr:uid="{16994D38-7C90-493C-8A6A-BCCDB5A37F08}"/>
    <cellStyle name="Normal 5 3 5 2 5 3" xfId="6479" xr:uid="{00000000-0005-0000-0000-0000751A0000}"/>
    <cellStyle name="Normal 5 3 5 2 5 3 2" xfId="14921" xr:uid="{981784AC-289D-4E86-8341-EBA099F94A0F}"/>
    <cellStyle name="Normal 5 3 5 2 5 4" xfId="10703" xr:uid="{B52425C6-1154-49D4-9148-56917191205F}"/>
    <cellStyle name="Normal 5 3 5 2 6" xfId="2608" xr:uid="{00000000-0005-0000-0000-0000761A0000}"/>
    <cellStyle name="Normal 5 3 5 2 6 2" xfId="6892" xr:uid="{00000000-0005-0000-0000-0000771A0000}"/>
    <cellStyle name="Normal 5 3 5 2 6 2 2" xfId="15334" xr:uid="{602922FE-F7C4-44CD-A83C-F6AB97657A21}"/>
    <cellStyle name="Normal 5 3 5 2 6 3" xfId="11116" xr:uid="{2F00647F-6CDD-4F10-954C-44CEFF79C6B7}"/>
    <cellStyle name="Normal 5 3 5 2 7" xfId="4827" xr:uid="{00000000-0005-0000-0000-0000781A0000}"/>
    <cellStyle name="Normal 5 3 5 2 7 2" xfId="13269" xr:uid="{84E7BA59-9026-43A7-AA0E-3EC93E3DA467}"/>
    <cellStyle name="Normal 5 3 5 2 8" xfId="9051" xr:uid="{E53B94F3-CC74-4849-8A00-6FCF45B6D1AD}"/>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199801FB-568F-4658-B491-60FC787B51A0}"/>
    <cellStyle name="Normal 5 3 5 3 2 3" xfId="11608" xr:uid="{F86C1AB4-F182-433E-A3C8-10B30DE94EC1}"/>
    <cellStyle name="Normal 5 3 5 3 3" xfId="5239" xr:uid="{00000000-0005-0000-0000-00007C1A0000}"/>
    <cellStyle name="Normal 5 3 5 3 3 2" xfId="13681" xr:uid="{4F3DA1F2-1863-4584-A188-21CDF31008B2}"/>
    <cellStyle name="Normal 5 3 5 3 4" xfId="9463" xr:uid="{77E8CDB0-CB95-47D4-892D-EC17ECFE4B32}"/>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D1A4852F-3B30-4F39-B439-DE6418BB3A7B}"/>
    <cellStyle name="Normal 5 3 5 4 2 3" xfId="12021" xr:uid="{E2F2F1F8-C3E3-4A78-B89F-E5548D2DC0A7}"/>
    <cellStyle name="Normal 5 3 5 4 3" xfId="5652" xr:uid="{00000000-0005-0000-0000-0000801A0000}"/>
    <cellStyle name="Normal 5 3 5 4 3 2" xfId="14094" xr:uid="{05B95B98-6B63-4F5E-A882-AEE63A24C432}"/>
    <cellStyle name="Normal 5 3 5 4 4" xfId="9876" xr:uid="{FE534AF4-E880-4AAE-8E6A-4A7D7A0DFEE7}"/>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588DFF7C-EFB7-4DD0-86D2-173851784C41}"/>
    <cellStyle name="Normal 5 3 5 5 2 3" xfId="12434" xr:uid="{0E9C477E-2543-4302-9B81-2D8A1A511188}"/>
    <cellStyle name="Normal 5 3 5 5 3" xfId="6065" xr:uid="{00000000-0005-0000-0000-0000841A0000}"/>
    <cellStyle name="Normal 5 3 5 5 3 2" xfId="14507" xr:uid="{02A0F11F-055E-4937-A0C1-0344EFB94D04}"/>
    <cellStyle name="Normal 5 3 5 5 4" xfId="10289" xr:uid="{C42C1B36-AC55-4CB9-8823-B067F598ED7E}"/>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4B6FE858-1C11-4827-8123-5D7A23565072}"/>
    <cellStyle name="Normal 5 3 5 6 2 3" xfId="12847" xr:uid="{974945AC-28FA-400A-BE82-78A9CDFE0848}"/>
    <cellStyle name="Normal 5 3 5 6 3" xfId="6478" xr:uid="{00000000-0005-0000-0000-0000881A0000}"/>
    <cellStyle name="Normal 5 3 5 6 3 2" xfId="14920" xr:uid="{F5BC72E3-9BD6-4267-B812-29E3B334C7A9}"/>
    <cellStyle name="Normal 5 3 5 6 4" xfId="10702" xr:uid="{61885E9B-3282-4A78-806F-22789C522A17}"/>
    <cellStyle name="Normal 5 3 5 7" xfId="2607" xr:uid="{00000000-0005-0000-0000-0000891A0000}"/>
    <cellStyle name="Normal 5 3 5 7 2" xfId="6891" xr:uid="{00000000-0005-0000-0000-00008A1A0000}"/>
    <cellStyle name="Normal 5 3 5 7 2 2" xfId="15333" xr:uid="{EB132F7E-86B0-44C1-A750-6691B82AFBA3}"/>
    <cellStyle name="Normal 5 3 5 7 3" xfId="11115" xr:uid="{DCAAFD79-2515-4A91-B0DB-9216D96FC290}"/>
    <cellStyle name="Normal 5 3 5 8" xfId="4826" xr:uid="{00000000-0005-0000-0000-00008B1A0000}"/>
    <cellStyle name="Normal 5 3 5 8 2" xfId="13268" xr:uid="{B552EFF7-462F-439D-BD18-D9124575BF5B}"/>
    <cellStyle name="Normal 5 3 5 9" xfId="9050" xr:uid="{047C5C2F-5D8C-4FCC-8437-08468F01FA71}"/>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0C7582E9-654D-4718-9B41-C080B6A0BDAC}"/>
    <cellStyle name="Normal 5 3 6 2 2 3" xfId="11610" xr:uid="{9659CDF3-81B9-40D9-9119-4D98B1B22B3B}"/>
    <cellStyle name="Normal 5 3 6 2 3" xfId="5241" xr:uid="{00000000-0005-0000-0000-0000901A0000}"/>
    <cellStyle name="Normal 5 3 6 2 3 2" xfId="13683" xr:uid="{18CDB85B-BE4A-4BA6-950B-FA2A3C699E4E}"/>
    <cellStyle name="Normal 5 3 6 2 4" xfId="9465" xr:uid="{AD65621B-3601-4087-986C-C5DCF8C7B085}"/>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9E397A94-0315-4D96-A962-D98E80DDF5B2}"/>
    <cellStyle name="Normal 5 3 6 3 2 3" xfId="12023" xr:uid="{ABF390E8-4CDD-444C-A3B0-8A0126169CA7}"/>
    <cellStyle name="Normal 5 3 6 3 3" xfId="5654" xr:uid="{00000000-0005-0000-0000-0000941A0000}"/>
    <cellStyle name="Normal 5 3 6 3 3 2" xfId="14096" xr:uid="{A0461FD6-77F3-4C4B-B39F-2FD709264CD8}"/>
    <cellStyle name="Normal 5 3 6 3 4" xfId="9878" xr:uid="{EF5B0E45-5C0B-46C1-9E18-B0EA62CEF18C}"/>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0C4958CC-8C96-4F23-BD33-A77C1E1B869C}"/>
    <cellStyle name="Normal 5 3 6 4 2 3" xfId="12436" xr:uid="{73E07BEA-477A-4190-8695-1AE7CDFAE555}"/>
    <cellStyle name="Normal 5 3 6 4 3" xfId="6067" xr:uid="{00000000-0005-0000-0000-0000981A0000}"/>
    <cellStyle name="Normal 5 3 6 4 3 2" xfId="14509" xr:uid="{35756064-E9FC-4F44-8020-0EC3BCBB0C0E}"/>
    <cellStyle name="Normal 5 3 6 4 4" xfId="10291" xr:uid="{37AD817E-4463-4DE0-861B-CC50DBD5B7BF}"/>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7536B439-9492-41FA-AB86-8BBB891FA073}"/>
    <cellStyle name="Normal 5 3 6 5 2 3" xfId="12849" xr:uid="{473EABBB-018A-46F4-91C7-947507B80C38}"/>
    <cellStyle name="Normal 5 3 6 5 3" xfId="6480" xr:uid="{00000000-0005-0000-0000-00009C1A0000}"/>
    <cellStyle name="Normal 5 3 6 5 3 2" xfId="14922" xr:uid="{7D14D70D-8756-4C7F-8BE3-00AEA76D5330}"/>
    <cellStyle name="Normal 5 3 6 5 4" xfId="10704" xr:uid="{6A569155-A7D7-4D72-9AEA-E620D18ED814}"/>
    <cellStyle name="Normal 5 3 6 6" xfId="2609" xr:uid="{00000000-0005-0000-0000-00009D1A0000}"/>
    <cellStyle name="Normal 5 3 6 6 2" xfId="6893" xr:uid="{00000000-0005-0000-0000-00009E1A0000}"/>
    <cellStyle name="Normal 5 3 6 6 2 2" xfId="15335" xr:uid="{DB9BA554-19D1-4EFB-82E1-80A80AA9E387}"/>
    <cellStyle name="Normal 5 3 6 6 3" xfId="11117" xr:uid="{6E00A5C5-CCEE-455C-80F9-6DF43B7B4EDD}"/>
    <cellStyle name="Normal 5 3 6 7" xfId="4828" xr:uid="{00000000-0005-0000-0000-00009F1A0000}"/>
    <cellStyle name="Normal 5 3 6 7 2" xfId="13270" xr:uid="{07C24DCF-8C37-487D-A05B-47D5D34A59EE}"/>
    <cellStyle name="Normal 5 3 6 8" xfId="9052" xr:uid="{FBC8CA79-6B6A-41A5-A8F4-C6FD52F91B59}"/>
    <cellStyle name="Normal 5 3 7" xfId="913" xr:uid="{00000000-0005-0000-0000-0000A01A0000}"/>
    <cellStyle name="Normal 5 3 7 2" xfId="3148" xr:uid="{00000000-0005-0000-0000-0000A11A0000}"/>
    <cellStyle name="Normal 5 3 7 2 2" xfId="7371" xr:uid="{00000000-0005-0000-0000-0000A21A0000}"/>
    <cellStyle name="Normal 5 3 7 2 2 2" xfId="15813" xr:uid="{4A17E7C8-B803-4B83-9A77-EDAEB2F14544}"/>
    <cellStyle name="Normal 5 3 7 2 3" xfId="11595" xr:uid="{DF57A9D2-9284-49EE-9F57-160312B5750F}"/>
    <cellStyle name="Normal 5 3 7 3" xfId="5226" xr:uid="{00000000-0005-0000-0000-0000A31A0000}"/>
    <cellStyle name="Normal 5 3 7 3 2" xfId="13668" xr:uid="{AEF18323-8B0D-45CA-A4C6-7202447EC67B}"/>
    <cellStyle name="Normal 5 3 7 4" xfId="9450" xr:uid="{028EA570-D37B-4087-85F1-D898CFD2625F}"/>
    <cellStyle name="Normal 5 3 8" xfId="1331" xr:uid="{00000000-0005-0000-0000-0000A41A0000}"/>
    <cellStyle name="Normal 5 3 8 2" xfId="3561" xr:uid="{00000000-0005-0000-0000-0000A51A0000}"/>
    <cellStyle name="Normal 5 3 8 2 2" xfId="7784" xr:uid="{00000000-0005-0000-0000-0000A61A0000}"/>
    <cellStyle name="Normal 5 3 8 2 2 2" xfId="16226" xr:uid="{70C06EB1-031F-41DE-8456-0C22718F2831}"/>
    <cellStyle name="Normal 5 3 8 2 3" xfId="12008" xr:uid="{AED5DAD0-8AAA-4DF9-ACD8-BD84942D3566}"/>
    <cellStyle name="Normal 5 3 8 3" xfId="5639" xr:uid="{00000000-0005-0000-0000-0000A71A0000}"/>
    <cellStyle name="Normal 5 3 8 3 2" xfId="14081" xr:uid="{A6852528-BAED-42C6-BBF0-B8B40DA64E0B}"/>
    <cellStyle name="Normal 5 3 8 4" xfId="9863" xr:uid="{BE100125-6263-4199-A28E-9F0E3A4F842D}"/>
    <cellStyle name="Normal 5 3 9" xfId="1744" xr:uid="{00000000-0005-0000-0000-0000A81A0000}"/>
    <cellStyle name="Normal 5 3 9 2" xfId="3974" xr:uid="{00000000-0005-0000-0000-0000A91A0000}"/>
    <cellStyle name="Normal 5 3 9 2 2" xfId="8197" xr:uid="{00000000-0005-0000-0000-0000AA1A0000}"/>
    <cellStyle name="Normal 5 3 9 2 2 2" xfId="16639" xr:uid="{10D16662-0583-4E9E-8769-62C6847A14C0}"/>
    <cellStyle name="Normal 5 3 9 2 3" xfId="12421" xr:uid="{ED355488-7681-4D7B-A882-7DFCBBD1A631}"/>
    <cellStyle name="Normal 5 3 9 3" xfId="6052" xr:uid="{00000000-0005-0000-0000-0000AB1A0000}"/>
    <cellStyle name="Normal 5 3 9 3 2" xfId="14494" xr:uid="{D8C66B3A-9615-40BC-A336-ED53030E3212}"/>
    <cellStyle name="Normal 5 3 9 4" xfId="10276" xr:uid="{2CEB93BE-902D-44D7-AF60-2157CC1D4A21}"/>
    <cellStyle name="Normal 5 4" xfId="456" xr:uid="{00000000-0005-0000-0000-0000AC1A0000}"/>
    <cellStyle name="Normal 5 4 10" xfId="4829" xr:uid="{00000000-0005-0000-0000-0000AD1A0000}"/>
    <cellStyle name="Normal 5 4 10 2" xfId="13271" xr:uid="{7E3793F3-0C88-4C53-B278-5AC3A7F946F4}"/>
    <cellStyle name="Normal 5 4 11" xfId="9053" xr:uid="{14682AB4-6C58-4680-AE8A-589C86377424}"/>
    <cellStyle name="Normal 5 4 2" xfId="457" xr:uid="{00000000-0005-0000-0000-0000AE1A0000}"/>
    <cellStyle name="Normal 5 4 2 10" xfId="9054" xr:uid="{6C250700-BB77-4C9C-A5A9-CD4F9555C1B9}"/>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325F3874-C99F-45D8-833E-2A42E812CD63}"/>
    <cellStyle name="Normal 5 4 2 2 2 2 2 3" xfId="11614" xr:uid="{5E7D08F3-DE2A-42CD-97F2-21C2E774BB88}"/>
    <cellStyle name="Normal 5 4 2 2 2 2 3" xfId="5245" xr:uid="{00000000-0005-0000-0000-0000B41A0000}"/>
    <cellStyle name="Normal 5 4 2 2 2 2 3 2" xfId="13687" xr:uid="{DBAE9FE8-D9C4-4B83-88CF-23499E50E6F5}"/>
    <cellStyle name="Normal 5 4 2 2 2 2 4" xfId="9469" xr:uid="{BD96818E-0517-4193-B38E-BA4FC44C7521}"/>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9F179511-58D6-4FEE-BFE8-8D76FFEAAA9D}"/>
    <cellStyle name="Normal 5 4 2 2 2 3 2 3" xfId="12027" xr:uid="{D919C1D1-6A33-4F27-85A0-DC7E79528B0B}"/>
    <cellStyle name="Normal 5 4 2 2 2 3 3" xfId="5658" xr:uid="{00000000-0005-0000-0000-0000B81A0000}"/>
    <cellStyle name="Normal 5 4 2 2 2 3 3 2" xfId="14100" xr:uid="{011E740A-D5D5-407B-A6BB-81E4B47408BC}"/>
    <cellStyle name="Normal 5 4 2 2 2 3 4" xfId="9882" xr:uid="{1461F6CA-27A0-405B-A5F8-47EABC860A71}"/>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63F80FBD-B6AA-4861-9013-66A6EC2780A6}"/>
    <cellStyle name="Normal 5 4 2 2 2 4 2 3" xfId="12440" xr:uid="{C97DC97E-9064-4637-B4E5-DE4257FE5CD8}"/>
    <cellStyle name="Normal 5 4 2 2 2 4 3" xfId="6071" xr:uid="{00000000-0005-0000-0000-0000BC1A0000}"/>
    <cellStyle name="Normal 5 4 2 2 2 4 3 2" xfId="14513" xr:uid="{1B95C42B-2A86-4E80-AD08-44CC309519C4}"/>
    <cellStyle name="Normal 5 4 2 2 2 4 4" xfId="10295" xr:uid="{D3D3519D-7F19-423B-BD03-A6676FA6C334}"/>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3777AD6B-A0DD-43B6-8AA5-C6DE61E8A2F2}"/>
    <cellStyle name="Normal 5 4 2 2 2 5 2 3" xfId="12853" xr:uid="{2915C592-8C28-4C62-93AD-AB98CF2D1429}"/>
    <cellStyle name="Normal 5 4 2 2 2 5 3" xfId="6484" xr:uid="{00000000-0005-0000-0000-0000C01A0000}"/>
    <cellStyle name="Normal 5 4 2 2 2 5 3 2" xfId="14926" xr:uid="{0D0E3358-592A-4919-AB0B-EF5CC99FA82E}"/>
    <cellStyle name="Normal 5 4 2 2 2 5 4" xfId="10708" xr:uid="{02D3E6F3-9947-428A-B221-FF846E23D710}"/>
    <cellStyle name="Normal 5 4 2 2 2 6" xfId="2613" xr:uid="{00000000-0005-0000-0000-0000C11A0000}"/>
    <cellStyle name="Normal 5 4 2 2 2 6 2" xfId="6897" xr:uid="{00000000-0005-0000-0000-0000C21A0000}"/>
    <cellStyle name="Normal 5 4 2 2 2 6 2 2" xfId="15339" xr:uid="{D51A3EAB-1D1F-4FE3-88F0-C40FBB495742}"/>
    <cellStyle name="Normal 5 4 2 2 2 6 3" xfId="11121" xr:uid="{47D44416-F76C-4CE7-ACC2-F9C4FE652CA5}"/>
    <cellStyle name="Normal 5 4 2 2 2 7" xfId="4832" xr:uid="{00000000-0005-0000-0000-0000C31A0000}"/>
    <cellStyle name="Normal 5 4 2 2 2 7 2" xfId="13274" xr:uid="{915B11D1-F1F3-461E-B2D1-DEC92AE26E5E}"/>
    <cellStyle name="Normal 5 4 2 2 2 8" xfId="9056" xr:uid="{F617D82A-3BAD-4238-AF3F-3FC03879D186}"/>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75A693AA-8AD5-4F1D-9E06-0AF06D8ED23B}"/>
    <cellStyle name="Normal 5 4 2 2 3 2 3" xfId="11613" xr:uid="{99231038-7352-4B5C-9B86-57CAC814B842}"/>
    <cellStyle name="Normal 5 4 2 2 3 3" xfId="5244" xr:uid="{00000000-0005-0000-0000-0000C71A0000}"/>
    <cellStyle name="Normal 5 4 2 2 3 3 2" xfId="13686" xr:uid="{9ABAE4B1-888C-4E53-A4DF-6C25DA05B81F}"/>
    <cellStyle name="Normal 5 4 2 2 3 4" xfId="9468" xr:uid="{F45C5F41-A5A2-4ABA-8E9D-58E298D82ED3}"/>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B2ECC334-B016-42B3-896B-A1B00BF74FC8}"/>
    <cellStyle name="Normal 5 4 2 2 4 2 3" xfId="12026" xr:uid="{05523838-6563-4B22-8DD6-78C5C254EF90}"/>
    <cellStyle name="Normal 5 4 2 2 4 3" xfId="5657" xr:uid="{00000000-0005-0000-0000-0000CB1A0000}"/>
    <cellStyle name="Normal 5 4 2 2 4 3 2" xfId="14099" xr:uid="{BE9AF8D6-8692-49B6-A31F-E15820FE0522}"/>
    <cellStyle name="Normal 5 4 2 2 4 4" xfId="9881" xr:uid="{66437C58-95B1-4756-A188-9D2DAA1F7CEB}"/>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6F6EAADB-BF30-418C-913D-E9604FF5C9B2}"/>
    <cellStyle name="Normal 5 4 2 2 5 2 3" xfId="12439" xr:uid="{377D935A-55DB-4560-AC92-0C0289D4404E}"/>
    <cellStyle name="Normal 5 4 2 2 5 3" xfId="6070" xr:uid="{00000000-0005-0000-0000-0000CF1A0000}"/>
    <cellStyle name="Normal 5 4 2 2 5 3 2" xfId="14512" xr:uid="{A8CFF648-1077-4493-8C9B-04EAA6F087F4}"/>
    <cellStyle name="Normal 5 4 2 2 5 4" xfId="10294" xr:uid="{92AD5E27-9D29-4E52-8813-75BC982EC26F}"/>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5B89EB48-FF8F-4D07-A817-9168B706C0A3}"/>
    <cellStyle name="Normal 5 4 2 2 6 2 3" xfId="12852" xr:uid="{C2EC299C-151A-4C4B-87D2-EFC0C2F141EB}"/>
    <cellStyle name="Normal 5 4 2 2 6 3" xfId="6483" xr:uid="{00000000-0005-0000-0000-0000D31A0000}"/>
    <cellStyle name="Normal 5 4 2 2 6 3 2" xfId="14925" xr:uid="{3C682942-77DF-4C86-B3CD-707C27D98DD2}"/>
    <cellStyle name="Normal 5 4 2 2 6 4" xfId="10707" xr:uid="{F710B61E-0272-4D8D-8AA4-88A8CB11AD8D}"/>
    <cellStyle name="Normal 5 4 2 2 7" xfId="2612" xr:uid="{00000000-0005-0000-0000-0000D41A0000}"/>
    <cellStyle name="Normal 5 4 2 2 7 2" xfId="6896" xr:uid="{00000000-0005-0000-0000-0000D51A0000}"/>
    <cellStyle name="Normal 5 4 2 2 7 2 2" xfId="15338" xr:uid="{75E42D9D-9EAF-476B-BC37-8B3A1C74CF6D}"/>
    <cellStyle name="Normal 5 4 2 2 7 3" xfId="11120" xr:uid="{C4E870EE-AACB-49EB-92D5-3D737674D8F6}"/>
    <cellStyle name="Normal 5 4 2 2 8" xfId="4831" xr:uid="{00000000-0005-0000-0000-0000D61A0000}"/>
    <cellStyle name="Normal 5 4 2 2 8 2" xfId="13273" xr:uid="{A6910684-D760-4422-8C26-EEC5CE677B50}"/>
    <cellStyle name="Normal 5 4 2 2 9" xfId="9055" xr:uid="{BFA23CFF-4C13-4B2D-BDE9-ABAFA3C3158D}"/>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16B663EC-214A-4AFD-B0E3-E87F168DA46E}"/>
    <cellStyle name="Normal 5 4 2 3 2 2 3" xfId="11615" xr:uid="{320473A4-F2A2-470B-98D1-74E135D55A01}"/>
    <cellStyle name="Normal 5 4 2 3 2 3" xfId="5246" xr:uid="{00000000-0005-0000-0000-0000DB1A0000}"/>
    <cellStyle name="Normal 5 4 2 3 2 3 2" xfId="13688" xr:uid="{4E8AEEED-E0A4-4F42-BFE8-72FAA026B8D7}"/>
    <cellStyle name="Normal 5 4 2 3 2 4" xfId="9470" xr:uid="{7D4A02E0-ECF1-428D-A577-85467E414BBC}"/>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A3B97DFA-3676-4AD9-916F-8D3C9F2731B6}"/>
    <cellStyle name="Normal 5 4 2 3 3 2 3" xfId="12028" xr:uid="{5D9F04CC-3A6D-4537-AB28-97B82EEC3A04}"/>
    <cellStyle name="Normal 5 4 2 3 3 3" xfId="5659" xr:uid="{00000000-0005-0000-0000-0000DF1A0000}"/>
    <cellStyle name="Normal 5 4 2 3 3 3 2" xfId="14101" xr:uid="{86B199FB-47AF-4672-BBA6-F583D7178093}"/>
    <cellStyle name="Normal 5 4 2 3 3 4" xfId="9883" xr:uid="{55B79ADB-AAE6-42B9-A634-6B65020AE220}"/>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0A9EFF32-C38B-4F68-938F-175BB99A50F4}"/>
    <cellStyle name="Normal 5 4 2 3 4 2 3" xfId="12441" xr:uid="{AD3E69DE-7471-4324-9CBC-3BF16D4A541F}"/>
    <cellStyle name="Normal 5 4 2 3 4 3" xfId="6072" xr:uid="{00000000-0005-0000-0000-0000E31A0000}"/>
    <cellStyle name="Normal 5 4 2 3 4 3 2" xfId="14514" xr:uid="{BB2E0E4C-8C31-4F9E-A56F-1FB992268F40}"/>
    <cellStyle name="Normal 5 4 2 3 4 4" xfId="10296" xr:uid="{5671286E-E612-4578-A469-A90265EDB6E0}"/>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8353E431-BF78-435D-9C0E-A37B2E8083F2}"/>
    <cellStyle name="Normal 5 4 2 3 5 2 3" xfId="12854" xr:uid="{BB892A68-D23A-458D-8A47-6B87EAD9EB15}"/>
    <cellStyle name="Normal 5 4 2 3 5 3" xfId="6485" xr:uid="{00000000-0005-0000-0000-0000E71A0000}"/>
    <cellStyle name="Normal 5 4 2 3 5 3 2" xfId="14927" xr:uid="{B096CC5C-218E-4932-8B8F-0F9DD504D12C}"/>
    <cellStyle name="Normal 5 4 2 3 5 4" xfId="10709" xr:uid="{EB934A84-0A87-407D-A3B5-8F6D24C5B1B6}"/>
    <cellStyle name="Normal 5 4 2 3 6" xfId="2614" xr:uid="{00000000-0005-0000-0000-0000E81A0000}"/>
    <cellStyle name="Normal 5 4 2 3 6 2" xfId="6898" xr:uid="{00000000-0005-0000-0000-0000E91A0000}"/>
    <cellStyle name="Normal 5 4 2 3 6 2 2" xfId="15340" xr:uid="{812D4D8A-02C2-41E8-BCE9-E0CE1813371E}"/>
    <cellStyle name="Normal 5 4 2 3 6 3" xfId="11122" xr:uid="{4921A3CD-56C0-4BC4-850A-D3F7DA099C27}"/>
    <cellStyle name="Normal 5 4 2 3 7" xfId="4833" xr:uid="{00000000-0005-0000-0000-0000EA1A0000}"/>
    <cellStyle name="Normal 5 4 2 3 7 2" xfId="13275" xr:uid="{9AAF4CCA-45FB-4A7D-AB1F-CBEFBDE241FC}"/>
    <cellStyle name="Normal 5 4 2 3 8" xfId="9057" xr:uid="{ED12F7B8-9A27-4E24-B689-BA462C6F23DF}"/>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5CB34A4A-CF75-4031-87D8-ED35749FDEE4}"/>
    <cellStyle name="Normal 5 4 2 4 2 3" xfId="11612" xr:uid="{EF2B6F13-7AFA-4F91-A089-DE7074FC2FAD}"/>
    <cellStyle name="Normal 5 4 2 4 3" xfId="5243" xr:uid="{00000000-0005-0000-0000-0000EE1A0000}"/>
    <cellStyle name="Normal 5 4 2 4 3 2" xfId="13685" xr:uid="{4175F107-01F4-48EB-84FC-851954B198B4}"/>
    <cellStyle name="Normal 5 4 2 4 4" xfId="9467" xr:uid="{A6CAA923-F952-4216-B7C8-F2CE71C3BD6E}"/>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60982CE4-7EA3-4E0D-9879-582BE1EF6455}"/>
    <cellStyle name="Normal 5 4 2 5 2 3" xfId="12025" xr:uid="{388E516A-063C-4007-BC2A-EDB38177E40A}"/>
    <cellStyle name="Normal 5 4 2 5 3" xfId="5656" xr:uid="{00000000-0005-0000-0000-0000F21A0000}"/>
    <cellStyle name="Normal 5 4 2 5 3 2" xfId="14098" xr:uid="{CF57CFDE-3F7B-49CC-9E7D-7E3D3C0768AC}"/>
    <cellStyle name="Normal 5 4 2 5 4" xfId="9880" xr:uid="{B15B7C1D-0277-418C-B0B8-41E6F86112B8}"/>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95B0969B-9C7E-4319-B7EA-1F949168CE6F}"/>
    <cellStyle name="Normal 5 4 2 6 2 3" xfId="12438" xr:uid="{80889C32-F3BA-4F4E-AFB5-D4685AAD884E}"/>
    <cellStyle name="Normal 5 4 2 6 3" xfId="6069" xr:uid="{00000000-0005-0000-0000-0000F61A0000}"/>
    <cellStyle name="Normal 5 4 2 6 3 2" xfId="14511" xr:uid="{5E99E862-1086-48A6-B610-B5B4DFE8FD86}"/>
    <cellStyle name="Normal 5 4 2 6 4" xfId="10293" xr:uid="{0CBA2DF3-B8D2-476C-A2F8-1408B54BB7AC}"/>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8B333195-886D-43F4-92FD-E7E3831643B5}"/>
    <cellStyle name="Normal 5 4 2 7 2 3" xfId="12851" xr:uid="{13BA6AEF-40CD-41A9-B1E2-644C1DD1AA33}"/>
    <cellStyle name="Normal 5 4 2 7 3" xfId="6482" xr:uid="{00000000-0005-0000-0000-0000FA1A0000}"/>
    <cellStyle name="Normal 5 4 2 7 3 2" xfId="14924" xr:uid="{7A398764-78C9-4752-B545-5383AAC53614}"/>
    <cellStyle name="Normal 5 4 2 7 4" xfId="10706" xr:uid="{41635704-3B7F-4C67-8E79-2D8F85C93749}"/>
    <cellStyle name="Normal 5 4 2 8" xfId="2611" xr:uid="{00000000-0005-0000-0000-0000FB1A0000}"/>
    <cellStyle name="Normal 5 4 2 8 2" xfId="6895" xr:uid="{00000000-0005-0000-0000-0000FC1A0000}"/>
    <cellStyle name="Normal 5 4 2 8 2 2" xfId="15337" xr:uid="{F36FCD2D-A89C-48CF-943C-4B6ADF616197}"/>
    <cellStyle name="Normal 5 4 2 8 3" xfId="11119" xr:uid="{737A1CFE-81FE-4780-AA03-2CC37C36734B}"/>
    <cellStyle name="Normal 5 4 2 9" xfId="4830" xr:uid="{00000000-0005-0000-0000-0000FD1A0000}"/>
    <cellStyle name="Normal 5 4 2 9 2" xfId="13272" xr:uid="{FA5667DF-12A6-4F89-8810-D6DCD5EF6983}"/>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EC3419B7-6CB6-4155-80F7-3716D2ED574F}"/>
    <cellStyle name="Normal 5 4 3 2 2 2 3" xfId="11617" xr:uid="{0042A76D-C67B-4937-8281-5966F240D8CF}"/>
    <cellStyle name="Normal 5 4 3 2 2 3" xfId="5248" xr:uid="{00000000-0005-0000-0000-0000031B0000}"/>
    <cellStyle name="Normal 5 4 3 2 2 3 2" xfId="13690" xr:uid="{799639D8-A2E5-4A9A-AE2C-C8FBF25D2F7D}"/>
    <cellStyle name="Normal 5 4 3 2 2 4" xfId="9472" xr:uid="{73C77140-B8D8-4AA7-9D1D-F57D7F3C014B}"/>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0F8C6B00-38DB-40F7-939E-1CB9FCA429A5}"/>
    <cellStyle name="Normal 5 4 3 2 3 2 3" xfId="12030" xr:uid="{7B407245-2434-419B-B67A-41FBC8656EF6}"/>
    <cellStyle name="Normal 5 4 3 2 3 3" xfId="5661" xr:uid="{00000000-0005-0000-0000-0000071B0000}"/>
    <cellStyle name="Normal 5 4 3 2 3 3 2" xfId="14103" xr:uid="{118291BC-00A3-4542-8ECD-FF2EE028263E}"/>
    <cellStyle name="Normal 5 4 3 2 3 4" xfId="9885" xr:uid="{247C5716-DDAA-4A34-8512-D7A02E371F1B}"/>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5F460CBB-99BB-40F6-83A0-F139897738FC}"/>
    <cellStyle name="Normal 5 4 3 2 4 2 3" xfId="12443" xr:uid="{93C224BF-8027-4B95-B5F7-4D32B0FFC29B}"/>
    <cellStyle name="Normal 5 4 3 2 4 3" xfId="6074" xr:uid="{00000000-0005-0000-0000-00000B1B0000}"/>
    <cellStyle name="Normal 5 4 3 2 4 3 2" xfId="14516" xr:uid="{17AF5151-9B91-472F-B3B5-A0C032710A25}"/>
    <cellStyle name="Normal 5 4 3 2 4 4" xfId="10298" xr:uid="{FFB2E8FE-3C1B-473F-90F0-AFEB8D25127F}"/>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AEE2DC6C-E099-4958-B685-BB5A3BAA4D59}"/>
    <cellStyle name="Normal 5 4 3 2 5 2 3" xfId="12856" xr:uid="{937F29CB-ED31-4C33-AF7A-971B408A5926}"/>
    <cellStyle name="Normal 5 4 3 2 5 3" xfId="6487" xr:uid="{00000000-0005-0000-0000-00000F1B0000}"/>
    <cellStyle name="Normal 5 4 3 2 5 3 2" xfId="14929" xr:uid="{FBAB14BC-8F7F-4426-BB97-7BF0EA9780BC}"/>
    <cellStyle name="Normal 5 4 3 2 5 4" xfId="10711" xr:uid="{E0D253EA-CAF8-4428-BD55-31923E120564}"/>
    <cellStyle name="Normal 5 4 3 2 6" xfId="2616" xr:uid="{00000000-0005-0000-0000-0000101B0000}"/>
    <cellStyle name="Normal 5 4 3 2 6 2" xfId="6900" xr:uid="{00000000-0005-0000-0000-0000111B0000}"/>
    <cellStyle name="Normal 5 4 3 2 6 2 2" xfId="15342" xr:uid="{D2FFC98D-37DA-4ABC-901C-CFDFA8937756}"/>
    <cellStyle name="Normal 5 4 3 2 6 3" xfId="11124" xr:uid="{E6BAFB64-F700-4C9A-A1EB-C0FB1CE54D95}"/>
    <cellStyle name="Normal 5 4 3 2 7" xfId="4835" xr:uid="{00000000-0005-0000-0000-0000121B0000}"/>
    <cellStyle name="Normal 5 4 3 2 7 2" xfId="13277" xr:uid="{196736AB-8AC0-46BD-9BC0-F46CFAC8DA6C}"/>
    <cellStyle name="Normal 5 4 3 2 8" xfId="9059" xr:uid="{54B9CFB0-5521-40B8-9D01-84B204E94CFC}"/>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E83EEAA2-BFA2-4492-B590-7F47423A77D9}"/>
    <cellStyle name="Normal 5 4 3 3 2 3" xfId="11616" xr:uid="{0B1C9CDF-1150-47E2-BD51-AF5069AFCA59}"/>
    <cellStyle name="Normal 5 4 3 3 3" xfId="5247" xr:uid="{00000000-0005-0000-0000-0000161B0000}"/>
    <cellStyle name="Normal 5 4 3 3 3 2" xfId="13689" xr:uid="{5B8EED39-41B3-4D20-BD61-C3A02C23FBC0}"/>
    <cellStyle name="Normal 5 4 3 3 4" xfId="9471" xr:uid="{46C5F5B3-8EA8-4B97-9507-6954C7F658CB}"/>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34B66B3F-5C61-49BA-968D-5CB02CDB88B2}"/>
    <cellStyle name="Normal 5 4 3 4 2 3" xfId="12029" xr:uid="{3967B587-FB8C-46D3-A5F0-07D3B6E1EDFA}"/>
    <cellStyle name="Normal 5 4 3 4 3" xfId="5660" xr:uid="{00000000-0005-0000-0000-00001A1B0000}"/>
    <cellStyle name="Normal 5 4 3 4 3 2" xfId="14102" xr:uid="{00062EC6-E1B3-461D-B674-BCBCCCFDD181}"/>
    <cellStyle name="Normal 5 4 3 4 4" xfId="9884" xr:uid="{529072F0-0164-43A6-B761-BF5555594A8C}"/>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659C5245-4029-44F3-BF8E-FCE1E1B88BFF}"/>
    <cellStyle name="Normal 5 4 3 5 2 3" xfId="12442" xr:uid="{958EB41A-C832-40E9-8A56-F76E54680B2E}"/>
    <cellStyle name="Normal 5 4 3 5 3" xfId="6073" xr:uid="{00000000-0005-0000-0000-00001E1B0000}"/>
    <cellStyle name="Normal 5 4 3 5 3 2" xfId="14515" xr:uid="{BFFD3BB3-98E8-4F09-A040-F454262E9EFB}"/>
    <cellStyle name="Normal 5 4 3 5 4" xfId="10297" xr:uid="{FE5FDC7D-5442-4C00-9A36-2E23240B8BF1}"/>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945FCA7A-8C2C-4AB1-9076-6ECF72162DC3}"/>
    <cellStyle name="Normal 5 4 3 6 2 3" xfId="12855" xr:uid="{4F178934-740A-424E-8D92-271B7517EFAD}"/>
    <cellStyle name="Normal 5 4 3 6 3" xfId="6486" xr:uid="{00000000-0005-0000-0000-0000221B0000}"/>
    <cellStyle name="Normal 5 4 3 6 3 2" xfId="14928" xr:uid="{445D9EF1-FC19-4AC2-A634-48F9C258B0D0}"/>
    <cellStyle name="Normal 5 4 3 6 4" xfId="10710" xr:uid="{17BD5903-2E4E-4B0B-884E-E132D7FF38A5}"/>
    <cellStyle name="Normal 5 4 3 7" xfId="2615" xr:uid="{00000000-0005-0000-0000-0000231B0000}"/>
    <cellStyle name="Normal 5 4 3 7 2" xfId="6899" xr:uid="{00000000-0005-0000-0000-0000241B0000}"/>
    <cellStyle name="Normal 5 4 3 7 2 2" xfId="15341" xr:uid="{6E0E3DEF-A939-4148-AA2B-3E9023C665E9}"/>
    <cellStyle name="Normal 5 4 3 7 3" xfId="11123" xr:uid="{EA320D0C-E13A-4834-ABF6-951A95C90D0D}"/>
    <cellStyle name="Normal 5 4 3 8" xfId="4834" xr:uid="{00000000-0005-0000-0000-0000251B0000}"/>
    <cellStyle name="Normal 5 4 3 8 2" xfId="13276" xr:uid="{52BF19AD-BE9A-4B2F-9F32-4528BB197D1A}"/>
    <cellStyle name="Normal 5 4 3 9" xfId="9058" xr:uid="{AA9FE3FC-7993-4E1D-B6EA-5233ADFEF0D4}"/>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E64724D8-BBD5-41E7-82C3-6E6267FAB6E8}"/>
    <cellStyle name="Normal 5 4 4 2 2 3" xfId="11618" xr:uid="{7BA03A33-9093-4922-B2B6-E558F81ED276}"/>
    <cellStyle name="Normal 5 4 4 2 3" xfId="5249" xr:uid="{00000000-0005-0000-0000-00002A1B0000}"/>
    <cellStyle name="Normal 5 4 4 2 3 2" xfId="13691" xr:uid="{19525DD2-03C2-4727-B2DF-6189160F380E}"/>
    <cellStyle name="Normal 5 4 4 2 4" xfId="9473" xr:uid="{1181AB1B-FBE3-489E-92A5-E32B2962CF46}"/>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448FF723-C21B-467C-9B31-81E53345FD97}"/>
    <cellStyle name="Normal 5 4 4 3 2 3" xfId="12031" xr:uid="{62AA241E-2040-41BF-B4E5-6BEC11367206}"/>
    <cellStyle name="Normal 5 4 4 3 3" xfId="5662" xr:uid="{00000000-0005-0000-0000-00002E1B0000}"/>
    <cellStyle name="Normal 5 4 4 3 3 2" xfId="14104" xr:uid="{7DE6E9BF-EA43-4AEE-8026-C67006325218}"/>
    <cellStyle name="Normal 5 4 4 3 4" xfId="9886" xr:uid="{A15AE1B8-6C19-4FCE-9520-89B3754A9E0A}"/>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C4A7A513-9F6F-46D6-AFC9-58F13352D080}"/>
    <cellStyle name="Normal 5 4 4 4 2 3" xfId="12444" xr:uid="{2A444D74-BC0C-4574-9529-C67FF5ABCCD2}"/>
    <cellStyle name="Normal 5 4 4 4 3" xfId="6075" xr:uid="{00000000-0005-0000-0000-0000321B0000}"/>
    <cellStyle name="Normal 5 4 4 4 3 2" xfId="14517" xr:uid="{F116A88F-B82B-44BA-9F3E-5EB1B7754D9D}"/>
    <cellStyle name="Normal 5 4 4 4 4" xfId="10299" xr:uid="{910496E2-F9E2-4821-99F6-59F593C2DD2A}"/>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CA252AD4-ADCA-461E-B15F-6F701F6D5A2C}"/>
    <cellStyle name="Normal 5 4 4 5 2 3" xfId="12857" xr:uid="{E9671A1D-3901-408B-903A-AB359C3B6160}"/>
    <cellStyle name="Normal 5 4 4 5 3" xfId="6488" xr:uid="{00000000-0005-0000-0000-0000361B0000}"/>
    <cellStyle name="Normal 5 4 4 5 3 2" xfId="14930" xr:uid="{D923C635-DA34-4DCD-A65A-702DB082AB7C}"/>
    <cellStyle name="Normal 5 4 4 5 4" xfId="10712" xr:uid="{58E1356F-8174-4643-A7DA-D5B93052A0D2}"/>
    <cellStyle name="Normal 5 4 4 6" xfId="2617" xr:uid="{00000000-0005-0000-0000-0000371B0000}"/>
    <cellStyle name="Normal 5 4 4 6 2" xfId="6901" xr:uid="{00000000-0005-0000-0000-0000381B0000}"/>
    <cellStyle name="Normal 5 4 4 6 2 2" xfId="15343" xr:uid="{87A30E99-B7CE-4F80-8881-6A1489EE1D8D}"/>
    <cellStyle name="Normal 5 4 4 6 3" xfId="11125" xr:uid="{3B7E154B-487C-456A-9DD9-DF4D19641E65}"/>
    <cellStyle name="Normal 5 4 4 7" xfId="4836" xr:uid="{00000000-0005-0000-0000-0000391B0000}"/>
    <cellStyle name="Normal 5 4 4 7 2" xfId="13278" xr:uid="{7D350E87-17F4-4AF6-B916-FB8124E75E59}"/>
    <cellStyle name="Normal 5 4 4 8" xfId="9060" xr:uid="{48F36BE1-1959-4B77-9DAE-1FAF2F05BD32}"/>
    <cellStyle name="Normal 5 4 5" xfId="930" xr:uid="{00000000-0005-0000-0000-00003A1B0000}"/>
    <cellStyle name="Normal 5 4 5 2" xfId="3164" xr:uid="{00000000-0005-0000-0000-00003B1B0000}"/>
    <cellStyle name="Normal 5 4 5 2 2" xfId="7387" xr:uid="{00000000-0005-0000-0000-00003C1B0000}"/>
    <cellStyle name="Normal 5 4 5 2 2 2" xfId="15829" xr:uid="{CF61EFFD-6D23-45B2-A543-1CC790138535}"/>
    <cellStyle name="Normal 5 4 5 2 3" xfId="11611" xr:uid="{6855044C-0653-470F-A753-A6D6D42E641D}"/>
    <cellStyle name="Normal 5 4 5 3" xfId="5242" xr:uid="{00000000-0005-0000-0000-00003D1B0000}"/>
    <cellStyle name="Normal 5 4 5 3 2" xfId="13684" xr:uid="{D6B49031-5F85-4C51-8D82-E2F2E2551619}"/>
    <cellStyle name="Normal 5 4 5 4" xfId="9466" xr:uid="{6CD36591-BEE7-4A60-9BFC-57CFFCB86FB1}"/>
    <cellStyle name="Normal 5 4 6" xfId="1347" xr:uid="{00000000-0005-0000-0000-00003E1B0000}"/>
    <cellStyle name="Normal 5 4 6 2" xfId="3577" xr:uid="{00000000-0005-0000-0000-00003F1B0000}"/>
    <cellStyle name="Normal 5 4 6 2 2" xfId="7800" xr:uid="{00000000-0005-0000-0000-0000401B0000}"/>
    <cellStyle name="Normal 5 4 6 2 2 2" xfId="16242" xr:uid="{D363DB99-DF96-42CE-AD7F-BA798250FC3B}"/>
    <cellStyle name="Normal 5 4 6 2 3" xfId="12024" xr:uid="{FA78B395-2633-483F-8EBA-5F4965DF11A2}"/>
    <cellStyle name="Normal 5 4 6 3" xfId="5655" xr:uid="{00000000-0005-0000-0000-0000411B0000}"/>
    <cellStyle name="Normal 5 4 6 3 2" xfId="14097" xr:uid="{D303557A-CDB3-4514-8096-EDCBE0592CC1}"/>
    <cellStyle name="Normal 5 4 6 4" xfId="9879" xr:uid="{6FD81B2F-5034-4D85-8F3A-8232A9EBC0E0}"/>
    <cellStyle name="Normal 5 4 7" xfId="1760" xr:uid="{00000000-0005-0000-0000-0000421B0000}"/>
    <cellStyle name="Normal 5 4 7 2" xfId="3990" xr:uid="{00000000-0005-0000-0000-0000431B0000}"/>
    <cellStyle name="Normal 5 4 7 2 2" xfId="8213" xr:uid="{00000000-0005-0000-0000-0000441B0000}"/>
    <cellStyle name="Normal 5 4 7 2 2 2" xfId="16655" xr:uid="{ADD8AB93-95E9-4DDE-BD40-8C46A37A30CB}"/>
    <cellStyle name="Normal 5 4 7 2 3" xfId="12437" xr:uid="{C0A5A592-4CB3-4435-9BD0-9074178B65C7}"/>
    <cellStyle name="Normal 5 4 7 3" xfId="6068" xr:uid="{00000000-0005-0000-0000-0000451B0000}"/>
    <cellStyle name="Normal 5 4 7 3 2" xfId="14510" xr:uid="{553A6382-5C90-4D9B-865D-9E345529D859}"/>
    <cellStyle name="Normal 5 4 7 4" xfId="10292" xr:uid="{91A7401F-7D5F-420C-A4EA-C3BD484BF4C1}"/>
    <cellStyle name="Normal 5 4 8" xfId="2174" xr:uid="{00000000-0005-0000-0000-0000461B0000}"/>
    <cellStyle name="Normal 5 4 8 2" xfId="4403" xr:uid="{00000000-0005-0000-0000-0000471B0000}"/>
    <cellStyle name="Normal 5 4 8 2 2" xfId="8626" xr:uid="{00000000-0005-0000-0000-0000481B0000}"/>
    <cellStyle name="Normal 5 4 8 2 2 2" xfId="17068" xr:uid="{4D91D798-0F51-4412-8CAF-D35A0457CE5B}"/>
    <cellStyle name="Normal 5 4 8 2 3" xfId="12850" xr:uid="{8EE14E49-DEEA-4890-87F3-CCD6DAD5E520}"/>
    <cellStyle name="Normal 5 4 8 3" xfId="6481" xr:uid="{00000000-0005-0000-0000-0000491B0000}"/>
    <cellStyle name="Normal 5 4 8 3 2" xfId="14923" xr:uid="{26D57EE1-0BA7-4D6B-ADED-FFF05A356E01}"/>
    <cellStyle name="Normal 5 4 8 4" xfId="10705" xr:uid="{1A9D025E-6D8C-4139-BD10-AB6E40876AC0}"/>
    <cellStyle name="Normal 5 4 9" xfId="2610" xr:uid="{00000000-0005-0000-0000-00004A1B0000}"/>
    <cellStyle name="Normal 5 4 9 2" xfId="6894" xr:uid="{00000000-0005-0000-0000-00004B1B0000}"/>
    <cellStyle name="Normal 5 4 9 2 2" xfId="15336" xr:uid="{E3DE1C09-6810-47C7-A942-8A32DB44A848}"/>
    <cellStyle name="Normal 5 4 9 3" xfId="11118" xr:uid="{F7ACD6E6-C99F-4520-93D4-31DAA2539F5E}"/>
    <cellStyle name="Normal 5 5" xfId="464" xr:uid="{00000000-0005-0000-0000-00004C1B0000}"/>
    <cellStyle name="Normal 5 5 10" xfId="9061" xr:uid="{69D6930F-35AB-479C-9291-23AAFB882961}"/>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E532C695-81DB-47C9-8EBF-468D06992B69}"/>
    <cellStyle name="Normal 5 5 2 2 2 2 3" xfId="11621" xr:uid="{46341E9F-CC8B-4B6E-BB8C-B50EB6975A79}"/>
    <cellStyle name="Normal 5 5 2 2 2 3" xfId="5252" xr:uid="{00000000-0005-0000-0000-0000521B0000}"/>
    <cellStyle name="Normal 5 5 2 2 2 3 2" xfId="13694" xr:uid="{C2F9C097-EE03-40A7-B0C1-3FC71410E5C4}"/>
    <cellStyle name="Normal 5 5 2 2 2 4" xfId="9476" xr:uid="{4C73E97F-D04F-4EE3-9ED0-109C7E8C6E6E}"/>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DA857A7C-A295-4602-8CB5-8E8B97B46A2F}"/>
    <cellStyle name="Normal 5 5 2 2 3 2 3" xfId="12034" xr:uid="{DEBECBA5-AC25-406D-B501-1B43F26CF12E}"/>
    <cellStyle name="Normal 5 5 2 2 3 3" xfId="5665" xr:uid="{00000000-0005-0000-0000-0000561B0000}"/>
    <cellStyle name="Normal 5 5 2 2 3 3 2" xfId="14107" xr:uid="{3F111F46-943D-4A66-B982-3BC4C755C4F0}"/>
    <cellStyle name="Normal 5 5 2 2 3 4" xfId="9889" xr:uid="{0728FCC2-2CAE-4757-8D39-8ADF102A53B9}"/>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77A50A96-77B7-41B2-9CD5-83D9D0FAD6B2}"/>
    <cellStyle name="Normal 5 5 2 2 4 2 3" xfId="12447" xr:uid="{480D226C-8D82-46D5-8DDB-2D4C7E2CCBD4}"/>
    <cellStyle name="Normal 5 5 2 2 4 3" xfId="6078" xr:uid="{00000000-0005-0000-0000-00005A1B0000}"/>
    <cellStyle name="Normal 5 5 2 2 4 3 2" xfId="14520" xr:uid="{FF0434D6-51CE-411F-8FBB-28422DC29C5B}"/>
    <cellStyle name="Normal 5 5 2 2 4 4" xfId="10302" xr:uid="{B6BD9938-F07E-4EB4-A171-95050034B1DB}"/>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BC901CFB-DBF6-468A-A8DE-CA42E132C5C5}"/>
    <cellStyle name="Normal 5 5 2 2 5 2 3" xfId="12860" xr:uid="{3EEE3A6A-0391-41BA-9C47-1E51139CF5AF}"/>
    <cellStyle name="Normal 5 5 2 2 5 3" xfId="6491" xr:uid="{00000000-0005-0000-0000-00005E1B0000}"/>
    <cellStyle name="Normal 5 5 2 2 5 3 2" xfId="14933" xr:uid="{ADF98AD5-C5C4-4A37-98B9-36228FF37E7D}"/>
    <cellStyle name="Normal 5 5 2 2 5 4" xfId="10715" xr:uid="{09E29C86-29A0-4F27-BE68-95BBDD53A877}"/>
    <cellStyle name="Normal 5 5 2 2 6" xfId="2620" xr:uid="{00000000-0005-0000-0000-00005F1B0000}"/>
    <cellStyle name="Normal 5 5 2 2 6 2" xfId="6904" xr:uid="{00000000-0005-0000-0000-0000601B0000}"/>
    <cellStyle name="Normal 5 5 2 2 6 2 2" xfId="15346" xr:uid="{AAD3E51E-7B6D-44DD-B2E9-C140E9E5B18D}"/>
    <cellStyle name="Normal 5 5 2 2 6 3" xfId="11128" xr:uid="{F0992883-6238-4629-9CC2-53E801788630}"/>
    <cellStyle name="Normal 5 5 2 2 7" xfId="4839" xr:uid="{00000000-0005-0000-0000-0000611B0000}"/>
    <cellStyle name="Normal 5 5 2 2 7 2" xfId="13281" xr:uid="{B02F72DE-8ED1-4781-A3A8-1B595F669FD0}"/>
    <cellStyle name="Normal 5 5 2 2 8" xfId="9063" xr:uid="{D69EB5A0-7134-4D35-83C2-9177DBE5839F}"/>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24D43C5B-8327-461D-9B4F-90303F38D2D6}"/>
    <cellStyle name="Normal 5 5 2 3 2 3" xfId="11620" xr:uid="{D8EEFE62-990A-4D54-89A1-3F00BBD486B7}"/>
    <cellStyle name="Normal 5 5 2 3 3" xfId="5251" xr:uid="{00000000-0005-0000-0000-0000651B0000}"/>
    <cellStyle name="Normal 5 5 2 3 3 2" xfId="13693" xr:uid="{7E438DE3-A76F-4784-9338-BE7CAC9CD8A3}"/>
    <cellStyle name="Normal 5 5 2 3 4" xfId="9475" xr:uid="{FE7E62A4-CE8A-4605-ABCA-F350E84E3B2E}"/>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B6AADAA4-9AAE-48E8-AD6B-398F381D26AC}"/>
    <cellStyle name="Normal 5 5 2 4 2 3" xfId="12033" xr:uid="{A4C4598E-E031-4DF1-B413-38BC059DA32D}"/>
    <cellStyle name="Normal 5 5 2 4 3" xfId="5664" xr:uid="{00000000-0005-0000-0000-0000691B0000}"/>
    <cellStyle name="Normal 5 5 2 4 3 2" xfId="14106" xr:uid="{7CBA48F6-68DC-4CC2-90A8-FA0F17568094}"/>
    <cellStyle name="Normal 5 5 2 4 4" xfId="9888" xr:uid="{10669B82-B7CB-43F3-B0AD-988AB0AB6070}"/>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A8A435D9-F208-472C-AD77-32DB14234D66}"/>
    <cellStyle name="Normal 5 5 2 5 2 3" xfId="12446" xr:uid="{3DEC9EFE-0C5C-4A1E-811B-E2EF522671A7}"/>
    <cellStyle name="Normal 5 5 2 5 3" xfId="6077" xr:uid="{00000000-0005-0000-0000-00006D1B0000}"/>
    <cellStyle name="Normal 5 5 2 5 3 2" xfId="14519" xr:uid="{59F7DBF1-C8AF-413B-A52F-48917E7DB55E}"/>
    <cellStyle name="Normal 5 5 2 5 4" xfId="10301" xr:uid="{08F40CD4-70B6-46DC-8A3F-7C8FB1249D67}"/>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4EF8BA72-A655-4A0D-8FB5-87DC714C413C}"/>
    <cellStyle name="Normal 5 5 2 6 2 3" xfId="12859" xr:uid="{A8F2FFB3-E504-4C98-8FDE-08732B622121}"/>
    <cellStyle name="Normal 5 5 2 6 3" xfId="6490" xr:uid="{00000000-0005-0000-0000-0000711B0000}"/>
    <cellStyle name="Normal 5 5 2 6 3 2" xfId="14932" xr:uid="{EF3E40B5-79AD-4F22-92D7-E044936442D7}"/>
    <cellStyle name="Normal 5 5 2 6 4" xfId="10714" xr:uid="{6B1C9BCE-5338-423C-B4EE-1A18DDA0C363}"/>
    <cellStyle name="Normal 5 5 2 7" xfId="2619" xr:uid="{00000000-0005-0000-0000-0000721B0000}"/>
    <cellStyle name="Normal 5 5 2 7 2" xfId="6903" xr:uid="{00000000-0005-0000-0000-0000731B0000}"/>
    <cellStyle name="Normal 5 5 2 7 2 2" xfId="15345" xr:uid="{A3D031F2-5FFD-499D-BD07-B94046196654}"/>
    <cellStyle name="Normal 5 5 2 7 3" xfId="11127" xr:uid="{A30529D8-97CA-40EA-A2D6-B8B7F0739C92}"/>
    <cellStyle name="Normal 5 5 2 8" xfId="4838" xr:uid="{00000000-0005-0000-0000-0000741B0000}"/>
    <cellStyle name="Normal 5 5 2 8 2" xfId="13280" xr:uid="{4CA204A2-2F35-4FD5-AF3C-496153549B57}"/>
    <cellStyle name="Normal 5 5 2 9" xfId="9062" xr:uid="{23700709-8ED7-44F4-B0DF-873EC4394B81}"/>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AB8F32CB-7A12-4322-ACFC-8E9BBB5C1D0B}"/>
    <cellStyle name="Normal 5 5 3 2 2 3" xfId="11622" xr:uid="{0482C41A-E73D-4886-BA49-DBEED1D3E316}"/>
    <cellStyle name="Normal 5 5 3 2 3" xfId="5253" xr:uid="{00000000-0005-0000-0000-0000791B0000}"/>
    <cellStyle name="Normal 5 5 3 2 3 2" xfId="13695" xr:uid="{EE5489DA-8B76-4E16-8222-26B23DE844FC}"/>
    <cellStyle name="Normal 5 5 3 2 4" xfId="9477" xr:uid="{52507D40-CF64-4088-B646-A23CD995E4D8}"/>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C4396E6C-C274-4B09-B5A3-9304AE3B1EB9}"/>
    <cellStyle name="Normal 5 5 3 3 2 3" xfId="12035" xr:uid="{E8B602AC-69FB-453D-A8AB-0A56C95D2B62}"/>
    <cellStyle name="Normal 5 5 3 3 3" xfId="5666" xr:uid="{00000000-0005-0000-0000-00007D1B0000}"/>
    <cellStyle name="Normal 5 5 3 3 3 2" xfId="14108" xr:uid="{75E80ABF-44DD-40CC-B661-D437DDE9588F}"/>
    <cellStyle name="Normal 5 5 3 3 4" xfId="9890" xr:uid="{9E7D1A22-F3A4-4544-87D9-6880F8776144}"/>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1210F26B-4001-4684-BD9B-CEB56F40823C}"/>
    <cellStyle name="Normal 5 5 3 4 2 3" xfId="12448" xr:uid="{A02B048B-BEE7-44FB-B501-D0719052EFA5}"/>
    <cellStyle name="Normal 5 5 3 4 3" xfId="6079" xr:uid="{00000000-0005-0000-0000-0000811B0000}"/>
    <cellStyle name="Normal 5 5 3 4 3 2" xfId="14521" xr:uid="{1056417E-D2A5-4AB1-956F-DE5B50E3E78E}"/>
    <cellStyle name="Normal 5 5 3 4 4" xfId="10303" xr:uid="{642264AF-1065-449D-B0F5-B3EEB6CE976C}"/>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4E3CE4C0-B6EF-46D7-AFA0-2D7A6A0ED0B2}"/>
    <cellStyle name="Normal 5 5 3 5 2 3" xfId="12861" xr:uid="{506DEBE0-7768-412A-9B06-6F42B3036793}"/>
    <cellStyle name="Normal 5 5 3 5 3" xfId="6492" xr:uid="{00000000-0005-0000-0000-0000851B0000}"/>
    <cellStyle name="Normal 5 5 3 5 3 2" xfId="14934" xr:uid="{C83C2921-23A6-4F14-A14E-5F2DAEA99CF9}"/>
    <cellStyle name="Normal 5 5 3 5 4" xfId="10716" xr:uid="{0911350C-2700-49A1-8F86-4A007036D08F}"/>
    <cellStyle name="Normal 5 5 3 6" xfId="2621" xr:uid="{00000000-0005-0000-0000-0000861B0000}"/>
    <cellStyle name="Normal 5 5 3 6 2" xfId="6905" xr:uid="{00000000-0005-0000-0000-0000871B0000}"/>
    <cellStyle name="Normal 5 5 3 6 2 2" xfId="15347" xr:uid="{A05333F6-49D7-454F-9DB2-5C16AA70AE37}"/>
    <cellStyle name="Normal 5 5 3 6 3" xfId="11129" xr:uid="{844CE5E5-09B9-4C2F-892B-6ACDEAE44680}"/>
    <cellStyle name="Normal 5 5 3 7" xfId="4840" xr:uid="{00000000-0005-0000-0000-0000881B0000}"/>
    <cellStyle name="Normal 5 5 3 7 2" xfId="13282" xr:uid="{9567CF8A-B950-40FB-9CE1-AADC008323A2}"/>
    <cellStyle name="Normal 5 5 3 8" xfId="9064" xr:uid="{6D9B7EE0-4505-4D9B-8294-7EB293834DA4}"/>
    <cellStyle name="Normal 5 5 4" xfId="938" xr:uid="{00000000-0005-0000-0000-0000891B0000}"/>
    <cellStyle name="Normal 5 5 4 2" xfId="3172" xr:uid="{00000000-0005-0000-0000-00008A1B0000}"/>
    <cellStyle name="Normal 5 5 4 2 2" xfId="7395" xr:uid="{00000000-0005-0000-0000-00008B1B0000}"/>
    <cellStyle name="Normal 5 5 4 2 2 2" xfId="15837" xr:uid="{B06DD495-AE83-4618-A621-E5F5AB9D157A}"/>
    <cellStyle name="Normal 5 5 4 2 3" xfId="11619" xr:uid="{1017F909-9FB6-4A96-8852-CC414A353BAF}"/>
    <cellStyle name="Normal 5 5 4 3" xfId="5250" xr:uid="{00000000-0005-0000-0000-00008C1B0000}"/>
    <cellStyle name="Normal 5 5 4 3 2" xfId="13692" xr:uid="{01223A3D-9B2E-4CF2-8CD2-DEC11B8F4659}"/>
    <cellStyle name="Normal 5 5 4 4" xfId="9474" xr:uid="{637E7EAE-BEC8-4A17-8DF7-16760F8168F7}"/>
    <cellStyle name="Normal 5 5 5" xfId="1355" xr:uid="{00000000-0005-0000-0000-00008D1B0000}"/>
    <cellStyle name="Normal 5 5 5 2" xfId="3585" xr:uid="{00000000-0005-0000-0000-00008E1B0000}"/>
    <cellStyle name="Normal 5 5 5 2 2" xfId="7808" xr:uid="{00000000-0005-0000-0000-00008F1B0000}"/>
    <cellStyle name="Normal 5 5 5 2 2 2" xfId="16250" xr:uid="{B8954BF5-B206-4AC4-AA08-A2BA32700590}"/>
    <cellStyle name="Normal 5 5 5 2 3" xfId="12032" xr:uid="{19ED2B5A-C0AB-4390-943F-81761211E0BC}"/>
    <cellStyle name="Normal 5 5 5 3" xfId="5663" xr:uid="{00000000-0005-0000-0000-0000901B0000}"/>
    <cellStyle name="Normal 5 5 5 3 2" xfId="14105" xr:uid="{7E0BB3FC-0203-4029-8596-B722BA18DE91}"/>
    <cellStyle name="Normal 5 5 5 4" xfId="9887" xr:uid="{6F0CD663-8C61-4E31-A110-F0803829A25D}"/>
    <cellStyle name="Normal 5 5 6" xfId="1768" xr:uid="{00000000-0005-0000-0000-0000911B0000}"/>
    <cellStyle name="Normal 5 5 6 2" xfId="3998" xr:uid="{00000000-0005-0000-0000-0000921B0000}"/>
    <cellStyle name="Normal 5 5 6 2 2" xfId="8221" xr:uid="{00000000-0005-0000-0000-0000931B0000}"/>
    <cellStyle name="Normal 5 5 6 2 2 2" xfId="16663" xr:uid="{69A25F5C-2602-4C1C-891D-9142BF25EE55}"/>
    <cellStyle name="Normal 5 5 6 2 3" xfId="12445" xr:uid="{6B1CA977-0CCB-42A3-A2F1-B03B892368EF}"/>
    <cellStyle name="Normal 5 5 6 3" xfId="6076" xr:uid="{00000000-0005-0000-0000-0000941B0000}"/>
    <cellStyle name="Normal 5 5 6 3 2" xfId="14518" xr:uid="{63AF3832-DCE7-4555-A984-9548836D4A48}"/>
    <cellStyle name="Normal 5 5 6 4" xfId="10300" xr:uid="{8BB6E97A-A3CC-4DF9-B0CB-7D956FE66B15}"/>
    <cellStyle name="Normal 5 5 7" xfId="2182" xr:uid="{00000000-0005-0000-0000-0000951B0000}"/>
    <cellStyle name="Normal 5 5 7 2" xfId="4411" xr:uid="{00000000-0005-0000-0000-0000961B0000}"/>
    <cellStyle name="Normal 5 5 7 2 2" xfId="8634" xr:uid="{00000000-0005-0000-0000-0000971B0000}"/>
    <cellStyle name="Normal 5 5 7 2 2 2" xfId="17076" xr:uid="{D6319464-26BE-4604-9DDA-412373C2117B}"/>
    <cellStyle name="Normal 5 5 7 2 3" xfId="12858" xr:uid="{7F27C2C4-BBA6-4D40-9944-99BADA02ABD7}"/>
    <cellStyle name="Normal 5 5 7 3" xfId="6489" xr:uid="{00000000-0005-0000-0000-0000981B0000}"/>
    <cellStyle name="Normal 5 5 7 3 2" xfId="14931" xr:uid="{A051E1E4-AD06-46ED-B0D4-752691502A9A}"/>
    <cellStyle name="Normal 5 5 7 4" xfId="10713" xr:uid="{24FDE04D-8778-42AE-95D4-EBB9647F72C4}"/>
    <cellStyle name="Normal 5 5 8" xfId="2618" xr:uid="{00000000-0005-0000-0000-0000991B0000}"/>
    <cellStyle name="Normal 5 5 8 2" xfId="6902" xr:uid="{00000000-0005-0000-0000-00009A1B0000}"/>
    <cellStyle name="Normal 5 5 8 2 2" xfId="15344" xr:uid="{082B67A0-72AE-47BC-B426-F3A3FC49E260}"/>
    <cellStyle name="Normal 5 5 8 3" xfId="11126" xr:uid="{58A8BD02-8A98-49FA-A8A0-26EE7AC0C460}"/>
    <cellStyle name="Normal 5 5 9" xfId="4837" xr:uid="{00000000-0005-0000-0000-00009B1B0000}"/>
    <cellStyle name="Normal 5 5 9 2" xfId="13279" xr:uid="{AD0C4BA3-B98C-4019-967A-38F22BAA12D4}"/>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61DC6626-C859-457D-AD13-669A1E44BF8C}"/>
    <cellStyle name="Normal 5 6 2 2 2 3" xfId="11624" xr:uid="{56F1E0CC-6441-49E7-BF36-CD98E7AB6223}"/>
    <cellStyle name="Normal 5 6 2 2 3" xfId="5255" xr:uid="{00000000-0005-0000-0000-0000A11B0000}"/>
    <cellStyle name="Normal 5 6 2 2 3 2" xfId="13697" xr:uid="{116E2E9E-68DA-435F-BD03-26A80F0BDA77}"/>
    <cellStyle name="Normal 5 6 2 2 4" xfId="9479" xr:uid="{8993CC03-7E83-4BFF-95AB-842518532A90}"/>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16FE3941-8757-493A-BAC4-A815A6124776}"/>
    <cellStyle name="Normal 5 6 2 3 2 3" xfId="12037" xr:uid="{7870A9E7-481A-4C5B-B918-410D4420D7DC}"/>
    <cellStyle name="Normal 5 6 2 3 3" xfId="5668" xr:uid="{00000000-0005-0000-0000-0000A51B0000}"/>
    <cellStyle name="Normal 5 6 2 3 3 2" xfId="14110" xr:uid="{BF0A7998-78B6-4FD0-B031-0BD5111E7E54}"/>
    <cellStyle name="Normal 5 6 2 3 4" xfId="9892" xr:uid="{ED47AF06-1929-4BEE-B89D-23C8BA6B3EAB}"/>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2FEEC15E-AA1C-4EDD-9B98-AA4781B36912}"/>
    <cellStyle name="Normal 5 6 2 4 2 3" xfId="12450" xr:uid="{85174E60-ED9C-4DCA-B0A4-1D61095C4B30}"/>
    <cellStyle name="Normal 5 6 2 4 3" xfId="6081" xr:uid="{00000000-0005-0000-0000-0000A91B0000}"/>
    <cellStyle name="Normal 5 6 2 4 3 2" xfId="14523" xr:uid="{276334C9-824D-4459-8CD2-21CA57AE3F33}"/>
    <cellStyle name="Normal 5 6 2 4 4" xfId="10305" xr:uid="{4A9EF513-FFB9-44E0-8F5A-6ED4ED599F48}"/>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51DAA860-BAD4-4AC6-8411-6BEE0A14905F}"/>
    <cellStyle name="Normal 5 6 2 5 2 3" xfId="12863" xr:uid="{E146280A-6B53-4445-8F6F-9F4D9E5FB29D}"/>
    <cellStyle name="Normal 5 6 2 5 3" xfId="6494" xr:uid="{00000000-0005-0000-0000-0000AD1B0000}"/>
    <cellStyle name="Normal 5 6 2 5 3 2" xfId="14936" xr:uid="{D0BC0750-AAC2-4A84-AE6F-74C96B158D52}"/>
    <cellStyle name="Normal 5 6 2 5 4" xfId="10718" xr:uid="{BA5A63E2-9EC6-4840-9487-14339238F91B}"/>
    <cellStyle name="Normal 5 6 2 6" xfId="2623" xr:uid="{00000000-0005-0000-0000-0000AE1B0000}"/>
    <cellStyle name="Normal 5 6 2 6 2" xfId="6907" xr:uid="{00000000-0005-0000-0000-0000AF1B0000}"/>
    <cellStyle name="Normal 5 6 2 6 2 2" xfId="15349" xr:uid="{3219390D-D360-4D6E-81CB-6ADB2B9DDA30}"/>
    <cellStyle name="Normal 5 6 2 6 3" xfId="11131" xr:uid="{428EEA12-1B65-45F9-A982-F83CFDFCA481}"/>
    <cellStyle name="Normal 5 6 2 7" xfId="4842" xr:uid="{00000000-0005-0000-0000-0000B01B0000}"/>
    <cellStyle name="Normal 5 6 2 7 2" xfId="13284" xr:uid="{C7DB8326-EC13-4437-9914-7147C4DF5885}"/>
    <cellStyle name="Normal 5 6 2 8" xfId="9066" xr:uid="{56DFAC44-0272-4862-A3BE-7DA3155A4C41}"/>
    <cellStyle name="Normal 5 6 3" xfId="942" xr:uid="{00000000-0005-0000-0000-0000B11B0000}"/>
    <cellStyle name="Normal 5 6 3 2" xfId="3176" xr:uid="{00000000-0005-0000-0000-0000B21B0000}"/>
    <cellStyle name="Normal 5 6 3 2 2" xfId="7399" xr:uid="{00000000-0005-0000-0000-0000B31B0000}"/>
    <cellStyle name="Normal 5 6 3 2 2 2" xfId="15841" xr:uid="{3E04A242-71D0-448D-AA1A-BA6340B98C52}"/>
    <cellStyle name="Normal 5 6 3 2 3" xfId="11623" xr:uid="{A5D84E3B-6B06-4914-AC1B-A48D64C1951D}"/>
    <cellStyle name="Normal 5 6 3 3" xfId="5254" xr:uid="{00000000-0005-0000-0000-0000B41B0000}"/>
    <cellStyle name="Normal 5 6 3 3 2" xfId="13696" xr:uid="{89D1C029-DA0F-4359-9003-95490FAB6A30}"/>
    <cellStyle name="Normal 5 6 3 4" xfId="9478" xr:uid="{43A50560-14FA-461E-8318-815327FB103D}"/>
    <cellStyle name="Normal 5 6 4" xfId="1359" xr:uid="{00000000-0005-0000-0000-0000B51B0000}"/>
    <cellStyle name="Normal 5 6 4 2" xfId="3589" xr:uid="{00000000-0005-0000-0000-0000B61B0000}"/>
    <cellStyle name="Normal 5 6 4 2 2" xfId="7812" xr:uid="{00000000-0005-0000-0000-0000B71B0000}"/>
    <cellStyle name="Normal 5 6 4 2 2 2" xfId="16254" xr:uid="{3F981072-7C8F-4BBF-AD55-DB71B43F0CDC}"/>
    <cellStyle name="Normal 5 6 4 2 3" xfId="12036" xr:uid="{4B975578-5F3E-4C19-A191-F5677BD5EC9B}"/>
    <cellStyle name="Normal 5 6 4 3" xfId="5667" xr:uid="{00000000-0005-0000-0000-0000B81B0000}"/>
    <cellStyle name="Normal 5 6 4 3 2" xfId="14109" xr:uid="{8D98B192-A89C-4D2A-AAA6-A142858B1DF6}"/>
    <cellStyle name="Normal 5 6 4 4" xfId="9891" xr:uid="{B5352EFA-9A49-4599-BCD1-F5A71EDBF9E4}"/>
    <cellStyle name="Normal 5 6 5" xfId="1772" xr:uid="{00000000-0005-0000-0000-0000B91B0000}"/>
    <cellStyle name="Normal 5 6 5 2" xfId="4002" xr:uid="{00000000-0005-0000-0000-0000BA1B0000}"/>
    <cellStyle name="Normal 5 6 5 2 2" xfId="8225" xr:uid="{00000000-0005-0000-0000-0000BB1B0000}"/>
    <cellStyle name="Normal 5 6 5 2 2 2" xfId="16667" xr:uid="{3749642E-019F-4A15-8E74-54D9F8BEA732}"/>
    <cellStyle name="Normal 5 6 5 2 3" xfId="12449" xr:uid="{C745C347-9230-44F0-88EE-E90C21CA3B45}"/>
    <cellStyle name="Normal 5 6 5 3" xfId="6080" xr:uid="{00000000-0005-0000-0000-0000BC1B0000}"/>
    <cellStyle name="Normal 5 6 5 3 2" xfId="14522" xr:uid="{33B15A2C-E31B-4C5B-BD46-E4C45DE12F2E}"/>
    <cellStyle name="Normal 5 6 5 4" xfId="10304" xr:uid="{C8800230-B1D5-4B65-BA3F-6F888C7C2A61}"/>
    <cellStyle name="Normal 5 6 6" xfId="2186" xr:uid="{00000000-0005-0000-0000-0000BD1B0000}"/>
    <cellStyle name="Normal 5 6 6 2" xfId="4415" xr:uid="{00000000-0005-0000-0000-0000BE1B0000}"/>
    <cellStyle name="Normal 5 6 6 2 2" xfId="8638" xr:uid="{00000000-0005-0000-0000-0000BF1B0000}"/>
    <cellStyle name="Normal 5 6 6 2 2 2" xfId="17080" xr:uid="{5F8BE1DE-B96D-43D2-8469-55CF79127E7B}"/>
    <cellStyle name="Normal 5 6 6 2 3" xfId="12862" xr:uid="{98949209-A3E0-41F8-9F46-C143B54430AF}"/>
    <cellStyle name="Normal 5 6 6 3" xfId="6493" xr:uid="{00000000-0005-0000-0000-0000C01B0000}"/>
    <cellStyle name="Normal 5 6 6 3 2" xfId="14935" xr:uid="{9B11AA0B-742F-4701-B3F6-0402006C890C}"/>
    <cellStyle name="Normal 5 6 6 4" xfId="10717" xr:uid="{57641EA2-8A36-4F42-B4DF-6D43068DB70E}"/>
    <cellStyle name="Normal 5 6 7" xfId="2622" xr:uid="{00000000-0005-0000-0000-0000C11B0000}"/>
    <cellStyle name="Normal 5 6 7 2" xfId="6906" xr:uid="{00000000-0005-0000-0000-0000C21B0000}"/>
    <cellStyle name="Normal 5 6 7 2 2" xfId="15348" xr:uid="{E5E439D3-D428-48CB-89D7-0F80AA6CC60A}"/>
    <cellStyle name="Normal 5 6 7 3" xfId="11130" xr:uid="{E3D9644F-199F-4A33-A22B-62AE9FF86385}"/>
    <cellStyle name="Normal 5 6 8" xfId="4841" xr:uid="{00000000-0005-0000-0000-0000C31B0000}"/>
    <cellStyle name="Normal 5 6 8 2" xfId="13283" xr:uid="{16DAF3B1-39B2-43A5-8046-5212B07E56A2}"/>
    <cellStyle name="Normal 5 6 9" xfId="9065" xr:uid="{69351C8A-F5F0-44C2-B2C0-27F6AD1037EE}"/>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0E63EAD1-7680-4C9D-8A4D-14D79E818075}"/>
    <cellStyle name="Normal 5 7 2 2 3" xfId="11625" xr:uid="{7A178B7A-11B9-4205-8412-D9D27C091C27}"/>
    <cellStyle name="Normal 5 7 2 3" xfId="5256" xr:uid="{00000000-0005-0000-0000-0000C81B0000}"/>
    <cellStyle name="Normal 5 7 2 3 2" xfId="13698" xr:uid="{FAE0341D-6B64-400C-BC06-A96D29DF427C}"/>
    <cellStyle name="Normal 5 7 2 4" xfId="9480" xr:uid="{83974674-A6CF-4573-AE6F-50F530CF0672}"/>
    <cellStyle name="Normal 5 7 3" xfId="1361" xr:uid="{00000000-0005-0000-0000-0000C91B0000}"/>
    <cellStyle name="Normal 5 7 3 2" xfId="3591" xr:uid="{00000000-0005-0000-0000-0000CA1B0000}"/>
    <cellStyle name="Normal 5 7 3 2 2" xfId="7814" xr:uid="{00000000-0005-0000-0000-0000CB1B0000}"/>
    <cellStyle name="Normal 5 7 3 2 2 2" xfId="16256" xr:uid="{992E1607-BEAA-4E7D-9DCB-9DD9FAA1446B}"/>
    <cellStyle name="Normal 5 7 3 2 3" xfId="12038" xr:uid="{039D61DC-6D5D-4B60-9E30-D371FBCC3061}"/>
    <cellStyle name="Normal 5 7 3 3" xfId="5669" xr:uid="{00000000-0005-0000-0000-0000CC1B0000}"/>
    <cellStyle name="Normal 5 7 3 3 2" xfId="14111" xr:uid="{5B7C5E9D-F7E8-4FE1-B6CD-6F4B5EC0E7C5}"/>
    <cellStyle name="Normal 5 7 3 4" xfId="9893" xr:uid="{E7ACA15E-688C-4B73-B620-6A22F2EEEC4D}"/>
    <cellStyle name="Normal 5 7 4" xfId="1774" xr:uid="{00000000-0005-0000-0000-0000CD1B0000}"/>
    <cellStyle name="Normal 5 7 4 2" xfId="4004" xr:uid="{00000000-0005-0000-0000-0000CE1B0000}"/>
    <cellStyle name="Normal 5 7 4 2 2" xfId="8227" xr:uid="{00000000-0005-0000-0000-0000CF1B0000}"/>
    <cellStyle name="Normal 5 7 4 2 2 2" xfId="16669" xr:uid="{142A659B-8694-4B30-B20F-DA6D46A27B61}"/>
    <cellStyle name="Normal 5 7 4 2 3" xfId="12451" xr:uid="{A12455AE-2E4B-4D30-A618-482A75A2DEC1}"/>
    <cellStyle name="Normal 5 7 4 3" xfId="6082" xr:uid="{00000000-0005-0000-0000-0000D01B0000}"/>
    <cellStyle name="Normal 5 7 4 3 2" xfId="14524" xr:uid="{B8C1C331-2E37-49EB-836C-361D7DDD281D}"/>
    <cellStyle name="Normal 5 7 4 4" xfId="10306" xr:uid="{1C78427E-D72A-418C-8080-07EC0AD18442}"/>
    <cellStyle name="Normal 5 7 5" xfId="2188" xr:uid="{00000000-0005-0000-0000-0000D11B0000}"/>
    <cellStyle name="Normal 5 7 5 2" xfId="4417" xr:uid="{00000000-0005-0000-0000-0000D21B0000}"/>
    <cellStyle name="Normal 5 7 5 2 2" xfId="8640" xr:uid="{00000000-0005-0000-0000-0000D31B0000}"/>
    <cellStyle name="Normal 5 7 5 2 2 2" xfId="17082" xr:uid="{2BEF3A3B-8BA4-4432-B565-BD508E6C7981}"/>
    <cellStyle name="Normal 5 7 5 2 3" xfId="12864" xr:uid="{4C532942-3613-43EF-AC97-56DFC95E9EE0}"/>
    <cellStyle name="Normal 5 7 5 3" xfId="6495" xr:uid="{00000000-0005-0000-0000-0000D41B0000}"/>
    <cellStyle name="Normal 5 7 5 3 2" xfId="14937" xr:uid="{53F72028-12BF-4ED8-BF57-AE03689A5CB4}"/>
    <cellStyle name="Normal 5 7 5 4" xfId="10719" xr:uid="{3D4AD6B7-D007-4CCE-ADEC-6D97B56B9735}"/>
    <cellStyle name="Normal 5 7 6" xfId="2624" xr:uid="{00000000-0005-0000-0000-0000D51B0000}"/>
    <cellStyle name="Normal 5 7 6 2" xfId="6908" xr:uid="{00000000-0005-0000-0000-0000D61B0000}"/>
    <cellStyle name="Normal 5 7 6 2 2" xfId="15350" xr:uid="{71D4E319-4507-440B-96A0-33AF4B6890B5}"/>
    <cellStyle name="Normal 5 7 6 3" xfId="11132" xr:uid="{0D89F2F1-B5BB-45CE-98D8-A0BE396913F0}"/>
    <cellStyle name="Normal 5 7 7" xfId="4843" xr:uid="{00000000-0005-0000-0000-0000D71B0000}"/>
    <cellStyle name="Normal 5 7 7 2" xfId="13285" xr:uid="{7E8C446B-26DA-4B06-BEEE-3D270049D0A4}"/>
    <cellStyle name="Normal 5 7 8" xfId="9067" xr:uid="{D8A4B262-DBB6-4819-92CD-B047F5B8F3F2}"/>
    <cellStyle name="Normal 5 8" xfId="880" xr:uid="{00000000-0005-0000-0000-0000D81B0000}"/>
    <cellStyle name="Normal 5 8 2" xfId="3115" xr:uid="{00000000-0005-0000-0000-0000D91B0000}"/>
    <cellStyle name="Normal 5 8 2 2" xfId="7338" xr:uid="{00000000-0005-0000-0000-0000DA1B0000}"/>
    <cellStyle name="Normal 5 8 2 2 2" xfId="15780" xr:uid="{92A0E438-0E0D-458F-833D-34B020792C79}"/>
    <cellStyle name="Normal 5 8 2 3" xfId="11562" xr:uid="{E467DFAB-0FB9-4B61-9A14-9F5E1CE8905B}"/>
    <cellStyle name="Normal 5 8 3" xfId="5193" xr:uid="{00000000-0005-0000-0000-0000DB1B0000}"/>
    <cellStyle name="Normal 5 8 3 2" xfId="13635" xr:uid="{036B021E-F81C-4251-B905-CBA22AA35604}"/>
    <cellStyle name="Normal 5 8 4" xfId="9417" xr:uid="{71D1B463-3007-4E44-B3AA-FC5E60B76D60}"/>
    <cellStyle name="Normal 5 9" xfId="1298" xr:uid="{00000000-0005-0000-0000-0000DC1B0000}"/>
    <cellStyle name="Normal 5 9 2" xfId="3528" xr:uid="{00000000-0005-0000-0000-0000DD1B0000}"/>
    <cellStyle name="Normal 5 9 2 2" xfId="7751" xr:uid="{00000000-0005-0000-0000-0000DE1B0000}"/>
    <cellStyle name="Normal 5 9 2 2 2" xfId="16193" xr:uid="{285B7103-F408-4467-9323-1E974488A2AE}"/>
    <cellStyle name="Normal 5 9 2 3" xfId="11975" xr:uid="{A6173131-9319-4177-B290-D8CCA731BC4A}"/>
    <cellStyle name="Normal 5 9 3" xfId="5606" xr:uid="{00000000-0005-0000-0000-0000DF1B0000}"/>
    <cellStyle name="Normal 5 9 3 2" xfId="14048" xr:uid="{C2B34E56-AD8A-416C-A2DE-252ADCF7275D}"/>
    <cellStyle name="Normal 5 9 4" xfId="9830" xr:uid="{254BBEB4-37B1-4BD0-8D8B-AE49346F8A24}"/>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E72BC71B-B2BA-4C0E-BCEC-F979329050D0}"/>
    <cellStyle name="Normal 8 10 2 3" xfId="12865" xr:uid="{BBA2AC4C-F0C4-42C3-A789-716FD04C0336}"/>
    <cellStyle name="Normal 8 10 3" xfId="6496" xr:uid="{00000000-0005-0000-0000-0000EB1B0000}"/>
    <cellStyle name="Normal 8 10 3 2" xfId="14938" xr:uid="{9F85A1A9-61F0-4144-A125-89877ED7F2F1}"/>
    <cellStyle name="Normal 8 10 4" xfId="10720" xr:uid="{390126BA-0906-4141-9403-89F1FFBADAC0}"/>
    <cellStyle name="Normal 8 11" xfId="2625" xr:uid="{00000000-0005-0000-0000-0000EC1B0000}"/>
    <cellStyle name="Normal 8 11 2" xfId="6909" xr:uid="{00000000-0005-0000-0000-0000ED1B0000}"/>
    <cellStyle name="Normal 8 11 2 2" xfId="15351" xr:uid="{4E25FA1F-BC3D-4F45-8F5C-8B31651254FC}"/>
    <cellStyle name="Normal 8 11 3" xfId="11133" xr:uid="{C2A9CEC2-C86F-4919-A27F-526AA0EA27B4}"/>
    <cellStyle name="Normal 8 12" xfId="4844" xr:uid="{00000000-0005-0000-0000-0000EE1B0000}"/>
    <cellStyle name="Normal 8 12 2" xfId="13286" xr:uid="{840CC7EA-37D3-4D1F-9208-AAA301C29F6F}"/>
    <cellStyle name="Normal 8 13" xfId="9068" xr:uid="{3EF3EB5F-DBCC-4502-8458-9D6C42069CE1}"/>
    <cellStyle name="Normal 8 2" xfId="479" xr:uid="{00000000-0005-0000-0000-0000EF1B0000}"/>
    <cellStyle name="Normal 8 2 10" xfId="2626" xr:uid="{00000000-0005-0000-0000-0000F01B0000}"/>
    <cellStyle name="Normal 8 2 10 2" xfId="6910" xr:uid="{00000000-0005-0000-0000-0000F11B0000}"/>
    <cellStyle name="Normal 8 2 10 2 2" xfId="15352" xr:uid="{9C0D0733-34DA-4992-9A76-66C29D606566}"/>
    <cellStyle name="Normal 8 2 10 3" xfId="11134" xr:uid="{445C413D-0EEB-4446-8675-8D4454C3C126}"/>
    <cellStyle name="Normal 8 2 11" xfId="4845" xr:uid="{00000000-0005-0000-0000-0000F21B0000}"/>
    <cellStyle name="Normal 8 2 11 2" xfId="13287" xr:uid="{05576207-EBD0-419E-8CC8-5A3D1A255AE1}"/>
    <cellStyle name="Normal 8 2 12" xfId="9069" xr:uid="{59717065-6F5D-49EF-A6E8-B8C97D46D4E0}"/>
    <cellStyle name="Normal 8 2 2" xfId="480" xr:uid="{00000000-0005-0000-0000-0000F31B0000}"/>
    <cellStyle name="Normal 8 2 2 10" xfId="4846" xr:uid="{00000000-0005-0000-0000-0000F41B0000}"/>
    <cellStyle name="Normal 8 2 2 10 2" xfId="13288" xr:uid="{F1362DC6-CA26-47C1-9F3D-2EDC3F6DAEEE}"/>
    <cellStyle name="Normal 8 2 2 11" xfId="9070" xr:uid="{73FEBFFF-4E91-4303-9C27-19CB33ABA5B1}"/>
    <cellStyle name="Normal 8 2 2 2" xfId="481" xr:uid="{00000000-0005-0000-0000-0000F51B0000}"/>
    <cellStyle name="Normal 8 2 2 2 10" xfId="9071" xr:uid="{75C8A2E3-0EB6-46F8-B018-97A5EC31F3D1}"/>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5178B848-2034-442C-A6AF-5BD6B422FB13}"/>
    <cellStyle name="Normal 8 2 2 2 2 2 2 2 3" xfId="11631" xr:uid="{F4DFD9EA-D55F-45FC-A505-31FDAAFA8864}"/>
    <cellStyle name="Normal 8 2 2 2 2 2 2 3" xfId="5262" xr:uid="{00000000-0005-0000-0000-0000FB1B0000}"/>
    <cellStyle name="Normal 8 2 2 2 2 2 2 3 2" xfId="13704" xr:uid="{5422F80D-7A44-41B3-926C-C2DEA91E21ED}"/>
    <cellStyle name="Normal 8 2 2 2 2 2 2 4" xfId="9486" xr:uid="{FDCE201B-FAC6-4699-B795-FE58F6F9B51A}"/>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20BB8005-96C5-4158-AD56-3CF3467B192B}"/>
    <cellStyle name="Normal 8 2 2 2 2 2 3 2 3" xfId="12044" xr:uid="{86D89CCF-FE5E-4238-9BEE-32E2B636675A}"/>
    <cellStyle name="Normal 8 2 2 2 2 2 3 3" xfId="5675" xr:uid="{00000000-0005-0000-0000-0000FF1B0000}"/>
    <cellStyle name="Normal 8 2 2 2 2 2 3 3 2" xfId="14117" xr:uid="{59E680E8-EE65-4770-B90D-16147E0281BE}"/>
    <cellStyle name="Normal 8 2 2 2 2 2 3 4" xfId="9899" xr:uid="{3BBC807A-08EE-48AF-AEE7-72C828AA1574}"/>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9A28B3A2-6BBA-43B8-BB0A-9B6C2F3D20BC}"/>
    <cellStyle name="Normal 8 2 2 2 2 2 4 2 3" xfId="12457" xr:uid="{C480C015-E3A9-4B37-B0F7-E621713CDE3F}"/>
    <cellStyle name="Normal 8 2 2 2 2 2 4 3" xfId="6088" xr:uid="{00000000-0005-0000-0000-0000031C0000}"/>
    <cellStyle name="Normal 8 2 2 2 2 2 4 3 2" xfId="14530" xr:uid="{585AF5DB-9A0E-460E-8CA5-3617A441EB80}"/>
    <cellStyle name="Normal 8 2 2 2 2 2 4 4" xfId="10312" xr:uid="{8632FFA4-AA33-4FA9-A3D4-E1F1B1FC73B1}"/>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530560FC-DDD8-4088-8392-D213A3FBC5E0}"/>
    <cellStyle name="Normal 8 2 2 2 2 2 5 2 3" xfId="12870" xr:uid="{D678704F-64C2-400B-A531-66436ECE39B0}"/>
    <cellStyle name="Normal 8 2 2 2 2 2 5 3" xfId="6501" xr:uid="{00000000-0005-0000-0000-0000071C0000}"/>
    <cellStyle name="Normal 8 2 2 2 2 2 5 3 2" xfId="14943" xr:uid="{EEC12712-429F-41B2-A345-E0F0E9D2CE08}"/>
    <cellStyle name="Normal 8 2 2 2 2 2 5 4" xfId="10725" xr:uid="{C1E9DE98-B643-4B19-BD32-E4602EB230EE}"/>
    <cellStyle name="Normal 8 2 2 2 2 2 6" xfId="2630" xr:uid="{00000000-0005-0000-0000-0000081C0000}"/>
    <cellStyle name="Normal 8 2 2 2 2 2 6 2" xfId="6914" xr:uid="{00000000-0005-0000-0000-0000091C0000}"/>
    <cellStyle name="Normal 8 2 2 2 2 2 6 2 2" xfId="15356" xr:uid="{53325C63-8EEA-4288-BD21-727E6177B912}"/>
    <cellStyle name="Normal 8 2 2 2 2 2 6 3" xfId="11138" xr:uid="{1109B6E8-ED45-4616-96C0-F71052A7BED9}"/>
    <cellStyle name="Normal 8 2 2 2 2 2 7" xfId="4849" xr:uid="{00000000-0005-0000-0000-00000A1C0000}"/>
    <cellStyle name="Normal 8 2 2 2 2 2 7 2" xfId="13291" xr:uid="{B505F9B1-B2B0-42A8-AEA1-053C286A0A8B}"/>
    <cellStyle name="Normal 8 2 2 2 2 2 8" xfId="9073" xr:uid="{4E528975-BD59-4B29-A8E9-91C3BD6E99E8}"/>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0A6BE6F8-78F0-4CF6-95CD-006653621BBC}"/>
    <cellStyle name="Normal 8 2 2 2 2 3 2 3" xfId="11630" xr:uid="{F8FAE9A3-ACBE-4068-B557-14FB74997523}"/>
    <cellStyle name="Normal 8 2 2 2 2 3 3" xfId="5261" xr:uid="{00000000-0005-0000-0000-00000E1C0000}"/>
    <cellStyle name="Normal 8 2 2 2 2 3 3 2" xfId="13703" xr:uid="{2A9A4832-2196-442C-B25F-E10CAD6A2EFF}"/>
    <cellStyle name="Normal 8 2 2 2 2 3 4" xfId="9485" xr:uid="{F625E7DD-CD45-46AD-8F33-3F1ACEEA4CCA}"/>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BB2DF588-F374-47C1-93E3-10889798C83E}"/>
    <cellStyle name="Normal 8 2 2 2 2 4 2 3" xfId="12043" xr:uid="{4610D2A6-FD4D-4349-A2FA-650CA90DC7B2}"/>
    <cellStyle name="Normal 8 2 2 2 2 4 3" xfId="5674" xr:uid="{00000000-0005-0000-0000-0000121C0000}"/>
    <cellStyle name="Normal 8 2 2 2 2 4 3 2" xfId="14116" xr:uid="{86609A17-2D62-4E37-83DA-AE1BF1CEF8EE}"/>
    <cellStyle name="Normal 8 2 2 2 2 4 4" xfId="9898" xr:uid="{6B8FDC42-43D9-4CB4-8446-081E5DB090D1}"/>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1CC53342-B93A-43C9-AAEA-29BF90E0069D}"/>
    <cellStyle name="Normal 8 2 2 2 2 5 2 3" xfId="12456" xr:uid="{F8FD0C60-AC30-4C15-8228-D30FC673A3A2}"/>
    <cellStyle name="Normal 8 2 2 2 2 5 3" xfId="6087" xr:uid="{00000000-0005-0000-0000-0000161C0000}"/>
    <cellStyle name="Normal 8 2 2 2 2 5 3 2" xfId="14529" xr:uid="{3D74A3D7-9ECA-4692-BAFB-0F7626D999BC}"/>
    <cellStyle name="Normal 8 2 2 2 2 5 4" xfId="10311" xr:uid="{116F978D-63BE-4D89-846F-E5F2ED43016E}"/>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BA77822B-0656-4F38-829F-0BCB40986D60}"/>
    <cellStyle name="Normal 8 2 2 2 2 6 2 3" xfId="12869" xr:uid="{9A5E4A06-0CBE-4B0E-AF0F-0B021B6AAEDF}"/>
    <cellStyle name="Normal 8 2 2 2 2 6 3" xfId="6500" xr:uid="{00000000-0005-0000-0000-00001A1C0000}"/>
    <cellStyle name="Normal 8 2 2 2 2 6 3 2" xfId="14942" xr:uid="{93BF1467-B7EA-4B82-BBD6-B555194B437A}"/>
    <cellStyle name="Normal 8 2 2 2 2 6 4" xfId="10724" xr:uid="{927FB2EE-BE7B-4546-946A-E66B8F69F794}"/>
    <cellStyle name="Normal 8 2 2 2 2 7" xfId="2629" xr:uid="{00000000-0005-0000-0000-00001B1C0000}"/>
    <cellStyle name="Normal 8 2 2 2 2 7 2" xfId="6913" xr:uid="{00000000-0005-0000-0000-00001C1C0000}"/>
    <cellStyle name="Normal 8 2 2 2 2 7 2 2" xfId="15355" xr:uid="{C73DCAB0-FE98-412D-BD89-8986C679BD83}"/>
    <cellStyle name="Normal 8 2 2 2 2 7 3" xfId="11137" xr:uid="{0CAE8C10-E38D-47A5-80CA-4A12893D218C}"/>
    <cellStyle name="Normal 8 2 2 2 2 8" xfId="4848" xr:uid="{00000000-0005-0000-0000-00001D1C0000}"/>
    <cellStyle name="Normal 8 2 2 2 2 8 2" xfId="13290" xr:uid="{BB169497-E636-4CC4-9EBC-548198D06CDA}"/>
    <cellStyle name="Normal 8 2 2 2 2 9" xfId="9072" xr:uid="{E6DE5A92-3ED4-4AB4-A83D-4516C07B9816}"/>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5DA820F3-A20A-4CC0-8F35-B39B1A70C572}"/>
    <cellStyle name="Normal 8 2 2 2 3 2 2 3" xfId="11632" xr:uid="{9C8C287B-DEB5-442E-B2D7-E2A737FA1A37}"/>
    <cellStyle name="Normal 8 2 2 2 3 2 3" xfId="5263" xr:uid="{00000000-0005-0000-0000-0000221C0000}"/>
    <cellStyle name="Normal 8 2 2 2 3 2 3 2" xfId="13705" xr:uid="{A46E0316-EFDA-4D4E-9F9B-194962830E7E}"/>
    <cellStyle name="Normal 8 2 2 2 3 2 4" xfId="9487" xr:uid="{61826A4C-4FB0-4274-A0BC-4550E9BE647F}"/>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111B116F-55D1-46A4-9ED2-DFEB48874281}"/>
    <cellStyle name="Normal 8 2 2 2 3 3 2 3" xfId="12045" xr:uid="{7724C755-C0AB-4BAF-AFC2-FC80AF09DE8B}"/>
    <cellStyle name="Normal 8 2 2 2 3 3 3" xfId="5676" xr:uid="{00000000-0005-0000-0000-0000261C0000}"/>
    <cellStyle name="Normal 8 2 2 2 3 3 3 2" xfId="14118" xr:uid="{F70C3CA7-4D13-4F85-8A45-1738A0CAC152}"/>
    <cellStyle name="Normal 8 2 2 2 3 3 4" xfId="9900" xr:uid="{8BDE644F-803A-4F8F-A4D0-1C778AFCA08E}"/>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F7BD1A72-BB6A-4300-BA78-02B8E3BC58C5}"/>
    <cellStyle name="Normal 8 2 2 2 3 4 2 3" xfId="12458" xr:uid="{7BD4E76D-86F3-4B07-8FF1-3311684743E2}"/>
    <cellStyle name="Normal 8 2 2 2 3 4 3" xfId="6089" xr:uid="{00000000-0005-0000-0000-00002A1C0000}"/>
    <cellStyle name="Normal 8 2 2 2 3 4 3 2" xfId="14531" xr:uid="{53D57852-6303-4F65-AE6D-8896CD529BC2}"/>
    <cellStyle name="Normal 8 2 2 2 3 4 4" xfId="10313" xr:uid="{DE030925-619B-4653-B6E8-0B730E0B2732}"/>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7DFAABFD-A51E-410D-83E5-6217F96B9950}"/>
    <cellStyle name="Normal 8 2 2 2 3 5 2 3" xfId="12871" xr:uid="{A786F94C-0243-4005-9546-B29180D43474}"/>
    <cellStyle name="Normal 8 2 2 2 3 5 3" xfId="6502" xr:uid="{00000000-0005-0000-0000-00002E1C0000}"/>
    <cellStyle name="Normal 8 2 2 2 3 5 3 2" xfId="14944" xr:uid="{A03049EE-8F43-49D9-9176-95E593114097}"/>
    <cellStyle name="Normal 8 2 2 2 3 5 4" xfId="10726" xr:uid="{81D9185B-DB58-4586-9AAD-033C998ADDD0}"/>
    <cellStyle name="Normal 8 2 2 2 3 6" xfId="2631" xr:uid="{00000000-0005-0000-0000-00002F1C0000}"/>
    <cellStyle name="Normal 8 2 2 2 3 6 2" xfId="6915" xr:uid="{00000000-0005-0000-0000-0000301C0000}"/>
    <cellStyle name="Normal 8 2 2 2 3 6 2 2" xfId="15357" xr:uid="{EEFC4C65-F9F9-45FE-82A0-0DC109AC975B}"/>
    <cellStyle name="Normal 8 2 2 2 3 6 3" xfId="11139" xr:uid="{6D6BBE2D-1596-41A1-AF9C-959B72434320}"/>
    <cellStyle name="Normal 8 2 2 2 3 7" xfId="4850" xr:uid="{00000000-0005-0000-0000-0000311C0000}"/>
    <cellStyle name="Normal 8 2 2 2 3 7 2" xfId="13292" xr:uid="{6E2E7C82-B2F0-4A3B-89E7-5AF550DBE76D}"/>
    <cellStyle name="Normal 8 2 2 2 3 8" xfId="9074" xr:uid="{B058FE86-3C12-4BF5-A05A-A6C3B6985144}"/>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BCBD67C1-B9B9-4E32-BA5C-0B609BA0BCEA}"/>
    <cellStyle name="Normal 8 2 2 2 4 2 3" xfId="11629" xr:uid="{371B1002-E023-4F10-8B19-95783C6C8E00}"/>
    <cellStyle name="Normal 8 2 2 2 4 3" xfId="5260" xr:uid="{00000000-0005-0000-0000-0000351C0000}"/>
    <cellStyle name="Normal 8 2 2 2 4 3 2" xfId="13702" xr:uid="{54F23515-741F-4F15-ACBC-A33EA5C2451E}"/>
    <cellStyle name="Normal 8 2 2 2 4 4" xfId="9484" xr:uid="{A134B9EE-5BCB-430B-AD55-2AD26985C754}"/>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81544CDE-69AA-471D-B68D-EBB9AA63C085}"/>
    <cellStyle name="Normal 8 2 2 2 5 2 3" xfId="12042" xr:uid="{2C6BC68F-DA0D-460B-8ED2-6548B71262C6}"/>
    <cellStyle name="Normal 8 2 2 2 5 3" xfId="5673" xr:uid="{00000000-0005-0000-0000-0000391C0000}"/>
    <cellStyle name="Normal 8 2 2 2 5 3 2" xfId="14115" xr:uid="{C6472AEC-CA4E-4B1D-8667-43B7A5CB99FC}"/>
    <cellStyle name="Normal 8 2 2 2 5 4" xfId="9897" xr:uid="{5482B422-BF78-46E4-B1B8-AD736A407833}"/>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FAD91682-7077-4715-9070-134CCA5586DE}"/>
    <cellStyle name="Normal 8 2 2 2 6 2 3" xfId="12455" xr:uid="{47C73A28-E486-4DEA-B7D9-E29D6E569B62}"/>
    <cellStyle name="Normal 8 2 2 2 6 3" xfId="6086" xr:uid="{00000000-0005-0000-0000-00003D1C0000}"/>
    <cellStyle name="Normal 8 2 2 2 6 3 2" xfId="14528" xr:uid="{8D772A68-65E8-482F-AD5A-ACA5FA3BC487}"/>
    <cellStyle name="Normal 8 2 2 2 6 4" xfId="10310" xr:uid="{3FFAFB3C-831D-4AA9-8CF1-9791D2F0AB14}"/>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E893F8A3-59E0-4798-894A-3ACC7AC3A3AA}"/>
    <cellStyle name="Normal 8 2 2 2 7 2 3" xfId="12868" xr:uid="{0CFD2280-EADF-474D-8677-D53BDDAB5F83}"/>
    <cellStyle name="Normal 8 2 2 2 7 3" xfId="6499" xr:uid="{00000000-0005-0000-0000-0000411C0000}"/>
    <cellStyle name="Normal 8 2 2 2 7 3 2" xfId="14941" xr:uid="{C3F4D374-580D-403B-A25C-8BAF431B1B83}"/>
    <cellStyle name="Normal 8 2 2 2 7 4" xfId="10723" xr:uid="{675A6A57-E55B-427E-9E64-89BFE49BAB37}"/>
    <cellStyle name="Normal 8 2 2 2 8" xfId="2628" xr:uid="{00000000-0005-0000-0000-0000421C0000}"/>
    <cellStyle name="Normal 8 2 2 2 8 2" xfId="6912" xr:uid="{00000000-0005-0000-0000-0000431C0000}"/>
    <cellStyle name="Normal 8 2 2 2 8 2 2" xfId="15354" xr:uid="{A379103A-69DA-4CF1-A541-AF47672C72A0}"/>
    <cellStyle name="Normal 8 2 2 2 8 3" xfId="11136" xr:uid="{57A8633F-2ADE-4F7B-8C1A-14C74FA3BA6A}"/>
    <cellStyle name="Normal 8 2 2 2 9" xfId="4847" xr:uid="{00000000-0005-0000-0000-0000441C0000}"/>
    <cellStyle name="Normal 8 2 2 2 9 2" xfId="13289" xr:uid="{C1D400C5-4196-42B6-A439-7A1D11559475}"/>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E092D40-26B6-439B-AAF1-460AE1A739E7}"/>
    <cellStyle name="Normal 8 2 2 3 2 2 2 3" xfId="11634" xr:uid="{9BD5DD58-B065-4E31-B30E-2CF71DDA0DDB}"/>
    <cellStyle name="Normal 8 2 2 3 2 2 3" xfId="5265" xr:uid="{00000000-0005-0000-0000-00004A1C0000}"/>
    <cellStyle name="Normal 8 2 2 3 2 2 3 2" xfId="13707" xr:uid="{B3936361-2454-4761-B5D2-080F67AFE62A}"/>
    <cellStyle name="Normal 8 2 2 3 2 2 4" xfId="9489" xr:uid="{420FCD14-52AE-4DD6-AF14-22618EA44CB9}"/>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FDDB6BD5-2380-43AA-9CEA-939969D15E9B}"/>
    <cellStyle name="Normal 8 2 2 3 2 3 2 3" xfId="12047" xr:uid="{721AE18A-2132-4AA9-ACE1-761C8453AFF3}"/>
    <cellStyle name="Normal 8 2 2 3 2 3 3" xfId="5678" xr:uid="{00000000-0005-0000-0000-00004E1C0000}"/>
    <cellStyle name="Normal 8 2 2 3 2 3 3 2" xfId="14120" xr:uid="{1EE5DA98-33CE-41B0-B9C0-5310355F69D2}"/>
    <cellStyle name="Normal 8 2 2 3 2 3 4" xfId="9902" xr:uid="{F3B6362F-D764-424A-9843-CBF724172C4C}"/>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9A88C472-5BE0-40C3-814B-35512222E28D}"/>
    <cellStyle name="Normal 8 2 2 3 2 4 2 3" xfId="12460" xr:uid="{17A01481-C4EB-4340-A26D-0B3CE80D1C43}"/>
    <cellStyle name="Normal 8 2 2 3 2 4 3" xfId="6091" xr:uid="{00000000-0005-0000-0000-0000521C0000}"/>
    <cellStyle name="Normal 8 2 2 3 2 4 3 2" xfId="14533" xr:uid="{D165FD3C-2D47-4FCD-AB3D-D1D37DD32581}"/>
    <cellStyle name="Normal 8 2 2 3 2 4 4" xfId="10315" xr:uid="{2BE4E565-1481-48FC-9660-150FB2272E25}"/>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149220B4-D2D1-49DB-9E6C-1B707458E4CB}"/>
    <cellStyle name="Normal 8 2 2 3 2 5 2 3" xfId="12873" xr:uid="{1661B46E-AC6E-4CBE-A01A-47205211C247}"/>
    <cellStyle name="Normal 8 2 2 3 2 5 3" xfId="6504" xr:uid="{00000000-0005-0000-0000-0000561C0000}"/>
    <cellStyle name="Normal 8 2 2 3 2 5 3 2" xfId="14946" xr:uid="{1BF07C80-52E7-4F34-969E-9BE5F2578819}"/>
    <cellStyle name="Normal 8 2 2 3 2 5 4" xfId="10728" xr:uid="{82321626-0E10-45A0-A117-EF9BD16F3617}"/>
    <cellStyle name="Normal 8 2 2 3 2 6" xfId="2633" xr:uid="{00000000-0005-0000-0000-0000571C0000}"/>
    <cellStyle name="Normal 8 2 2 3 2 6 2" xfId="6917" xr:uid="{00000000-0005-0000-0000-0000581C0000}"/>
    <cellStyle name="Normal 8 2 2 3 2 6 2 2" xfId="15359" xr:uid="{59ADBA92-FE5F-4B53-8C1E-0437CF510214}"/>
    <cellStyle name="Normal 8 2 2 3 2 6 3" xfId="11141" xr:uid="{248EC420-D472-4FC0-B4F7-11E6AD22DE6D}"/>
    <cellStyle name="Normal 8 2 2 3 2 7" xfId="4852" xr:uid="{00000000-0005-0000-0000-0000591C0000}"/>
    <cellStyle name="Normal 8 2 2 3 2 7 2" xfId="13294" xr:uid="{D187EEB2-CD02-4E1D-980E-334EC0D6480B}"/>
    <cellStyle name="Normal 8 2 2 3 2 8" xfId="9076" xr:uid="{BD0D92FF-BC66-448E-B96B-BD0EF04C315D}"/>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2E5579B1-47D0-4AAB-A751-9A8D1EA889B1}"/>
    <cellStyle name="Normal 8 2 2 3 3 2 3" xfId="11633" xr:uid="{B276FC67-1367-4448-97A1-559629E45B0D}"/>
    <cellStyle name="Normal 8 2 2 3 3 3" xfId="5264" xr:uid="{00000000-0005-0000-0000-00005D1C0000}"/>
    <cellStyle name="Normal 8 2 2 3 3 3 2" xfId="13706" xr:uid="{3AA7F41E-D62B-4048-872D-04D73BD10351}"/>
    <cellStyle name="Normal 8 2 2 3 3 4" xfId="9488" xr:uid="{748F38DC-9535-45D0-91C1-CAAFF9778CCE}"/>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6AA98E8A-1349-4FEE-BB91-FB356A225429}"/>
    <cellStyle name="Normal 8 2 2 3 4 2 3" xfId="12046" xr:uid="{D54459E5-D493-4C95-AF3A-E5F8D92CFCE8}"/>
    <cellStyle name="Normal 8 2 2 3 4 3" xfId="5677" xr:uid="{00000000-0005-0000-0000-0000611C0000}"/>
    <cellStyle name="Normal 8 2 2 3 4 3 2" xfId="14119" xr:uid="{B6DC1412-272F-49CD-98E5-03D4FB89A5DF}"/>
    <cellStyle name="Normal 8 2 2 3 4 4" xfId="9901" xr:uid="{3BB482A4-1FD0-446C-9FF2-CC443160C92E}"/>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5D43E86B-A2D5-4BB5-AA13-9EFF88BD4406}"/>
    <cellStyle name="Normal 8 2 2 3 5 2 3" xfId="12459" xr:uid="{553752C3-8399-4070-8457-142E01C65979}"/>
    <cellStyle name="Normal 8 2 2 3 5 3" xfId="6090" xr:uid="{00000000-0005-0000-0000-0000651C0000}"/>
    <cellStyle name="Normal 8 2 2 3 5 3 2" xfId="14532" xr:uid="{7D05EB6F-1820-4BC6-B213-38CFD543DEDD}"/>
    <cellStyle name="Normal 8 2 2 3 5 4" xfId="10314" xr:uid="{614217C5-807C-4A8A-80EA-A18EE11E9AC7}"/>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B6C14AF1-9598-41AA-B178-C6AF69F3A6DB}"/>
    <cellStyle name="Normal 8 2 2 3 6 2 3" xfId="12872" xr:uid="{3A016B3C-FE97-4E38-BC40-006E583D244B}"/>
    <cellStyle name="Normal 8 2 2 3 6 3" xfId="6503" xr:uid="{00000000-0005-0000-0000-0000691C0000}"/>
    <cellStyle name="Normal 8 2 2 3 6 3 2" xfId="14945" xr:uid="{D999D78F-832F-44A0-9FA2-7EE7889844A6}"/>
    <cellStyle name="Normal 8 2 2 3 6 4" xfId="10727" xr:uid="{C235B72F-3229-48D7-8D93-D1A355D48C26}"/>
    <cellStyle name="Normal 8 2 2 3 7" xfId="2632" xr:uid="{00000000-0005-0000-0000-00006A1C0000}"/>
    <cellStyle name="Normal 8 2 2 3 7 2" xfId="6916" xr:uid="{00000000-0005-0000-0000-00006B1C0000}"/>
    <cellStyle name="Normal 8 2 2 3 7 2 2" xfId="15358" xr:uid="{34773026-91FC-47AD-B114-AE592291E265}"/>
    <cellStyle name="Normal 8 2 2 3 7 3" xfId="11140" xr:uid="{CDD6394A-D91A-4896-94C2-34EBEADE3F42}"/>
    <cellStyle name="Normal 8 2 2 3 8" xfId="4851" xr:uid="{00000000-0005-0000-0000-00006C1C0000}"/>
    <cellStyle name="Normal 8 2 2 3 8 2" xfId="13293" xr:uid="{0567C709-D3A6-4399-9792-4603A921DCD2}"/>
    <cellStyle name="Normal 8 2 2 3 9" xfId="9075" xr:uid="{E07C2260-D248-4EE1-B76F-047D82BF8508}"/>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3C11B27A-1DE9-418D-9E15-91BD47F553E1}"/>
    <cellStyle name="Normal 8 2 2 4 2 2 3" xfId="11635" xr:uid="{E6BE5043-8C47-455B-B210-114E8850CEEA}"/>
    <cellStyle name="Normal 8 2 2 4 2 3" xfId="5266" xr:uid="{00000000-0005-0000-0000-0000711C0000}"/>
    <cellStyle name="Normal 8 2 2 4 2 3 2" xfId="13708" xr:uid="{BD63FF11-0716-4092-A1AE-D17111731A97}"/>
    <cellStyle name="Normal 8 2 2 4 2 4" xfId="9490" xr:uid="{B67E4DF3-C047-428E-A69C-AC8CF84B4088}"/>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7A3BF40D-121B-4335-8E37-E1D582623F88}"/>
    <cellStyle name="Normal 8 2 2 4 3 2 3" xfId="12048" xr:uid="{51B49CA6-1018-4BD4-8B93-E264FE241787}"/>
    <cellStyle name="Normal 8 2 2 4 3 3" xfId="5679" xr:uid="{00000000-0005-0000-0000-0000751C0000}"/>
    <cellStyle name="Normal 8 2 2 4 3 3 2" xfId="14121" xr:uid="{3A5DF9D4-4E4F-49DA-AD79-0629A75AE7FE}"/>
    <cellStyle name="Normal 8 2 2 4 3 4" xfId="9903" xr:uid="{5ED40659-D6BE-4B6F-A403-A3E2F48920C7}"/>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7676C3C2-206E-496F-992A-704C52B21E6C}"/>
    <cellStyle name="Normal 8 2 2 4 4 2 3" xfId="12461" xr:uid="{B56FF1E0-0EEE-44D1-B863-9CDDD0929EB8}"/>
    <cellStyle name="Normal 8 2 2 4 4 3" xfId="6092" xr:uid="{00000000-0005-0000-0000-0000791C0000}"/>
    <cellStyle name="Normal 8 2 2 4 4 3 2" xfId="14534" xr:uid="{80DF9A5F-B790-4917-B662-FE6C1CCCF405}"/>
    <cellStyle name="Normal 8 2 2 4 4 4" xfId="10316" xr:uid="{9E1064CC-B43A-4E10-A699-4291CFA9EAF4}"/>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7155C2A9-C0E1-4378-8152-95D679B12A7A}"/>
    <cellStyle name="Normal 8 2 2 4 5 2 3" xfId="12874" xr:uid="{B719ED8B-AE8E-4269-919E-70B7EAC225F7}"/>
    <cellStyle name="Normal 8 2 2 4 5 3" xfId="6505" xr:uid="{00000000-0005-0000-0000-00007D1C0000}"/>
    <cellStyle name="Normal 8 2 2 4 5 3 2" xfId="14947" xr:uid="{9B8C87DD-C7C0-405E-83A8-53B9993E6D6B}"/>
    <cellStyle name="Normal 8 2 2 4 5 4" xfId="10729" xr:uid="{CF49C901-4858-4A50-89A7-817356249776}"/>
    <cellStyle name="Normal 8 2 2 4 6" xfId="2634" xr:uid="{00000000-0005-0000-0000-00007E1C0000}"/>
    <cellStyle name="Normal 8 2 2 4 6 2" xfId="6918" xr:uid="{00000000-0005-0000-0000-00007F1C0000}"/>
    <cellStyle name="Normal 8 2 2 4 6 2 2" xfId="15360" xr:uid="{E5A4030B-BF0E-49F4-A73B-1769A5C2F9CA}"/>
    <cellStyle name="Normal 8 2 2 4 6 3" xfId="11142" xr:uid="{5DD51819-DF00-4179-94A3-9AE3DBD1A334}"/>
    <cellStyle name="Normal 8 2 2 4 7" xfId="4853" xr:uid="{00000000-0005-0000-0000-0000801C0000}"/>
    <cellStyle name="Normal 8 2 2 4 7 2" xfId="13295" xr:uid="{55888088-6785-49CE-A0EB-A36A493C5608}"/>
    <cellStyle name="Normal 8 2 2 4 8" xfId="9077" xr:uid="{52FF76C0-FED6-4392-82B1-8B035760CCBC}"/>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3A5DFB23-428E-49CC-924C-189E53E633AF}"/>
    <cellStyle name="Normal 8 2 2 5 2 3" xfId="11628" xr:uid="{EB93108B-5CAB-4B75-95F3-FFBAD91F4107}"/>
    <cellStyle name="Normal 8 2 2 5 3" xfId="5259" xr:uid="{00000000-0005-0000-0000-0000841C0000}"/>
    <cellStyle name="Normal 8 2 2 5 3 2" xfId="13701" xr:uid="{D7267A9B-F1BB-4C5C-B220-705EF106B1B8}"/>
    <cellStyle name="Normal 8 2 2 5 4" xfId="9483" xr:uid="{829B1121-4FF3-4294-AB72-D2BE0C30B315}"/>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BE79B636-E126-414C-8F61-B51D8EEDB211}"/>
    <cellStyle name="Normal 8 2 2 6 2 3" xfId="12041" xr:uid="{0F8C92DB-1386-41A8-AE73-7739635E3539}"/>
    <cellStyle name="Normal 8 2 2 6 3" xfId="5672" xr:uid="{00000000-0005-0000-0000-0000881C0000}"/>
    <cellStyle name="Normal 8 2 2 6 3 2" xfId="14114" xr:uid="{2A743DF7-657D-4BB7-A4AB-1B665FB5ED7C}"/>
    <cellStyle name="Normal 8 2 2 6 4" xfId="9896" xr:uid="{736C2F5E-2CF9-45A8-B3E2-BC27F7BCCCFD}"/>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BA6A5B75-3311-4082-B135-3DEDBF359745}"/>
    <cellStyle name="Normal 8 2 2 7 2 3" xfId="12454" xr:uid="{1257353D-9485-4A01-962F-F4454E701BBB}"/>
    <cellStyle name="Normal 8 2 2 7 3" xfId="6085" xr:uid="{00000000-0005-0000-0000-00008C1C0000}"/>
    <cellStyle name="Normal 8 2 2 7 3 2" xfId="14527" xr:uid="{6AD94DC6-C551-48CF-8DB3-DDAB368F2571}"/>
    <cellStyle name="Normal 8 2 2 7 4" xfId="10309" xr:uid="{EA8C97A5-88CF-4F5F-8665-57AEA6C5E23A}"/>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7476AEFE-B629-4677-A354-A91A8F780F5E}"/>
    <cellStyle name="Normal 8 2 2 8 2 3" xfId="12867" xr:uid="{9169DEFC-6DCA-4632-9A26-5638725D6D8B}"/>
    <cellStyle name="Normal 8 2 2 8 3" xfId="6498" xr:uid="{00000000-0005-0000-0000-0000901C0000}"/>
    <cellStyle name="Normal 8 2 2 8 3 2" xfId="14940" xr:uid="{19A1A8D3-4918-49C6-8571-902F57A55709}"/>
    <cellStyle name="Normal 8 2 2 8 4" xfId="10722" xr:uid="{CF56B6FB-F9EB-45D1-84B1-72515220F37E}"/>
    <cellStyle name="Normal 8 2 2 9" xfId="2627" xr:uid="{00000000-0005-0000-0000-0000911C0000}"/>
    <cellStyle name="Normal 8 2 2 9 2" xfId="6911" xr:uid="{00000000-0005-0000-0000-0000921C0000}"/>
    <cellStyle name="Normal 8 2 2 9 2 2" xfId="15353" xr:uid="{E33CB84D-9705-44E2-AEDE-5E84159413A5}"/>
    <cellStyle name="Normal 8 2 2 9 3" xfId="11135" xr:uid="{711AD1A4-132C-4DE0-B798-44CB5D7E73B4}"/>
    <cellStyle name="Normal 8 2 3" xfId="488" xr:uid="{00000000-0005-0000-0000-0000931C0000}"/>
    <cellStyle name="Normal 8 2 3 10" xfId="9078" xr:uid="{1B1FA07F-6099-49FE-83A0-D7B62BDCFFD9}"/>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878AF6F2-7AB2-4D9C-9ED8-1E1102071EC7}"/>
    <cellStyle name="Normal 8 2 3 2 2 2 2 3" xfId="11638" xr:uid="{A020C7F8-3A66-48F9-8C7E-605A3FA1ACF6}"/>
    <cellStyle name="Normal 8 2 3 2 2 2 3" xfId="5269" xr:uid="{00000000-0005-0000-0000-0000991C0000}"/>
    <cellStyle name="Normal 8 2 3 2 2 2 3 2" xfId="13711" xr:uid="{1202BC11-E41C-4ADF-96BF-A8DA6DC89181}"/>
    <cellStyle name="Normal 8 2 3 2 2 2 4" xfId="9493" xr:uid="{24A1CEE2-B221-46A3-9030-1521553FFC49}"/>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5673C772-E7D3-46DF-8752-BB883CB8656E}"/>
    <cellStyle name="Normal 8 2 3 2 2 3 2 3" xfId="12051" xr:uid="{061BCE96-72FE-407B-AE41-F99B8D9BEBB7}"/>
    <cellStyle name="Normal 8 2 3 2 2 3 3" xfId="5682" xr:uid="{00000000-0005-0000-0000-00009D1C0000}"/>
    <cellStyle name="Normal 8 2 3 2 2 3 3 2" xfId="14124" xr:uid="{DFE8FA63-2323-4C32-B15E-79DC0AB95446}"/>
    <cellStyle name="Normal 8 2 3 2 2 3 4" xfId="9906" xr:uid="{4EF3AAA8-3800-4C62-B396-A34EA189E0F8}"/>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0CA64CF7-BC18-4FFE-954A-58F83D76E11A}"/>
    <cellStyle name="Normal 8 2 3 2 2 4 2 3" xfId="12464" xr:uid="{EDEC567D-494F-47E1-9A71-FC141C68D205}"/>
    <cellStyle name="Normal 8 2 3 2 2 4 3" xfId="6095" xr:uid="{00000000-0005-0000-0000-0000A11C0000}"/>
    <cellStyle name="Normal 8 2 3 2 2 4 3 2" xfId="14537" xr:uid="{407BA19F-9D03-4EED-A588-C8A5265DAB23}"/>
    <cellStyle name="Normal 8 2 3 2 2 4 4" xfId="10319" xr:uid="{4F19F510-19BA-441F-972A-F86437615096}"/>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EA199008-B650-4845-8B64-7BA97AE62655}"/>
    <cellStyle name="Normal 8 2 3 2 2 5 2 3" xfId="12877" xr:uid="{B7DF4829-B95D-42CC-BE9B-DF6C1415B463}"/>
    <cellStyle name="Normal 8 2 3 2 2 5 3" xfId="6508" xr:uid="{00000000-0005-0000-0000-0000A51C0000}"/>
    <cellStyle name="Normal 8 2 3 2 2 5 3 2" xfId="14950" xr:uid="{1902822F-A891-4B55-9B86-5A934441C615}"/>
    <cellStyle name="Normal 8 2 3 2 2 5 4" xfId="10732" xr:uid="{A6D8B04A-398B-4663-A14B-4D0BD9695654}"/>
    <cellStyle name="Normal 8 2 3 2 2 6" xfId="2637" xr:uid="{00000000-0005-0000-0000-0000A61C0000}"/>
    <cellStyle name="Normal 8 2 3 2 2 6 2" xfId="6921" xr:uid="{00000000-0005-0000-0000-0000A71C0000}"/>
    <cellStyle name="Normal 8 2 3 2 2 6 2 2" xfId="15363" xr:uid="{1E185F6A-AB9F-4B26-B48C-78F2746E6DC6}"/>
    <cellStyle name="Normal 8 2 3 2 2 6 3" xfId="11145" xr:uid="{7BC422FE-AE9A-4393-8973-7431F72EFDDD}"/>
    <cellStyle name="Normal 8 2 3 2 2 7" xfId="4856" xr:uid="{00000000-0005-0000-0000-0000A81C0000}"/>
    <cellStyle name="Normal 8 2 3 2 2 7 2" xfId="13298" xr:uid="{307A9F99-A711-4154-ABE4-FC5EBFB5CE88}"/>
    <cellStyle name="Normal 8 2 3 2 2 8" xfId="9080" xr:uid="{0B4433DD-0414-42F9-A900-8D1740C044A5}"/>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C53E4DEB-15BB-4885-8E95-A451653DF7EC}"/>
    <cellStyle name="Normal 8 2 3 2 3 2 3" xfId="11637" xr:uid="{18D8E8A6-53B5-42D0-9F51-9F1168A19D56}"/>
    <cellStyle name="Normal 8 2 3 2 3 3" xfId="5268" xr:uid="{00000000-0005-0000-0000-0000AC1C0000}"/>
    <cellStyle name="Normal 8 2 3 2 3 3 2" xfId="13710" xr:uid="{C7A8A1DA-BB7D-4F31-B831-E18122CAC4E4}"/>
    <cellStyle name="Normal 8 2 3 2 3 4" xfId="9492" xr:uid="{BD01941E-7E6B-45E4-B957-DD2C457F3CDA}"/>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5E2165F8-635B-4A4E-8B15-41B13F1FD903}"/>
    <cellStyle name="Normal 8 2 3 2 4 2 3" xfId="12050" xr:uid="{F1D0A0BC-690B-4C82-99C2-0A938BC7EAB4}"/>
    <cellStyle name="Normal 8 2 3 2 4 3" xfId="5681" xr:uid="{00000000-0005-0000-0000-0000B01C0000}"/>
    <cellStyle name="Normal 8 2 3 2 4 3 2" xfId="14123" xr:uid="{907F7BFE-3E61-4087-B878-D3C3B85E4E62}"/>
    <cellStyle name="Normal 8 2 3 2 4 4" xfId="9905" xr:uid="{14068BC3-CDEF-4284-A139-093BFC996F1F}"/>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0AA7FFAA-192D-40AF-81C0-F0204796074E}"/>
    <cellStyle name="Normal 8 2 3 2 5 2 3" xfId="12463" xr:uid="{CB06F1F7-5C59-47C2-A930-736746BB3C07}"/>
    <cellStyle name="Normal 8 2 3 2 5 3" xfId="6094" xr:uid="{00000000-0005-0000-0000-0000B41C0000}"/>
    <cellStyle name="Normal 8 2 3 2 5 3 2" xfId="14536" xr:uid="{5E9AFD83-1799-465D-A1E1-C9C5AFEE6455}"/>
    <cellStyle name="Normal 8 2 3 2 5 4" xfId="10318" xr:uid="{7BA90C7F-72DC-48C8-9A6C-FCF2869A49A8}"/>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0AFFA444-D764-4D64-9767-D4796B58CED2}"/>
    <cellStyle name="Normal 8 2 3 2 6 2 3" xfId="12876" xr:uid="{4A33055E-9397-4106-BFB1-B5B7156D2AAD}"/>
    <cellStyle name="Normal 8 2 3 2 6 3" xfId="6507" xr:uid="{00000000-0005-0000-0000-0000B81C0000}"/>
    <cellStyle name="Normal 8 2 3 2 6 3 2" xfId="14949" xr:uid="{E22ADB48-D234-40C7-B88F-1144CE0E14E7}"/>
    <cellStyle name="Normal 8 2 3 2 6 4" xfId="10731" xr:uid="{BDB23AC4-7427-4988-BE19-C30CF9F297F8}"/>
    <cellStyle name="Normal 8 2 3 2 7" xfId="2636" xr:uid="{00000000-0005-0000-0000-0000B91C0000}"/>
    <cellStyle name="Normal 8 2 3 2 7 2" xfId="6920" xr:uid="{00000000-0005-0000-0000-0000BA1C0000}"/>
    <cellStyle name="Normal 8 2 3 2 7 2 2" xfId="15362" xr:uid="{69DAB1A0-6E1A-4A15-A9E3-31C05FF9DA1D}"/>
    <cellStyle name="Normal 8 2 3 2 7 3" xfId="11144" xr:uid="{C206DBAB-1213-4DC7-94BE-D8DEF9B77B93}"/>
    <cellStyle name="Normal 8 2 3 2 8" xfId="4855" xr:uid="{00000000-0005-0000-0000-0000BB1C0000}"/>
    <cellStyle name="Normal 8 2 3 2 8 2" xfId="13297" xr:uid="{DECCCD47-1432-4652-86EA-7567A8251301}"/>
    <cellStyle name="Normal 8 2 3 2 9" xfId="9079" xr:uid="{60D13F51-E6D6-4E31-B954-9BC2457E5EBE}"/>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AB028497-E0E2-42DF-808A-11B90F6FCE89}"/>
    <cellStyle name="Normal 8 2 3 3 2 2 3" xfId="11639" xr:uid="{14E1BAFD-38D3-4776-9269-997F06F55CB9}"/>
    <cellStyle name="Normal 8 2 3 3 2 3" xfId="5270" xr:uid="{00000000-0005-0000-0000-0000C01C0000}"/>
    <cellStyle name="Normal 8 2 3 3 2 3 2" xfId="13712" xr:uid="{DCEEAE3C-6C82-40DA-9F81-F1E300ADF8D0}"/>
    <cellStyle name="Normal 8 2 3 3 2 4" xfId="9494" xr:uid="{510A4FCC-62D8-45A7-B162-22F1F9E8A399}"/>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A9D577BD-4026-4836-95F6-C9BFBBB1E9AF}"/>
    <cellStyle name="Normal 8 2 3 3 3 2 3" xfId="12052" xr:uid="{A586FDA4-6E87-41ED-9FFF-AF7003BF73D7}"/>
    <cellStyle name="Normal 8 2 3 3 3 3" xfId="5683" xr:uid="{00000000-0005-0000-0000-0000C41C0000}"/>
    <cellStyle name="Normal 8 2 3 3 3 3 2" xfId="14125" xr:uid="{9057B00E-A791-4C82-88B6-1618A7BA43E4}"/>
    <cellStyle name="Normal 8 2 3 3 3 4" xfId="9907" xr:uid="{E56FA2C7-0E97-43BF-919D-508336FE0A82}"/>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E28FFC1A-D7CD-4CB4-BDE7-E8149BB865F6}"/>
    <cellStyle name="Normal 8 2 3 3 4 2 3" xfId="12465" xr:uid="{7BB515D6-AE54-4E3D-8592-455354718639}"/>
    <cellStyle name="Normal 8 2 3 3 4 3" xfId="6096" xr:uid="{00000000-0005-0000-0000-0000C81C0000}"/>
    <cellStyle name="Normal 8 2 3 3 4 3 2" xfId="14538" xr:uid="{252C3D27-49C9-427A-BE0F-AC789805F863}"/>
    <cellStyle name="Normal 8 2 3 3 4 4" xfId="10320" xr:uid="{490529AB-F4A2-418E-AFF3-F695A38CC70B}"/>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10046CB3-FA9A-4713-853F-C1501D3D6067}"/>
    <cellStyle name="Normal 8 2 3 3 5 2 3" xfId="12878" xr:uid="{4E6DB6D4-3758-4F85-8DD2-BAA839E9D431}"/>
    <cellStyle name="Normal 8 2 3 3 5 3" xfId="6509" xr:uid="{00000000-0005-0000-0000-0000CC1C0000}"/>
    <cellStyle name="Normal 8 2 3 3 5 3 2" xfId="14951" xr:uid="{F4245A09-4F9F-445E-87EC-3D1D55445EEE}"/>
    <cellStyle name="Normal 8 2 3 3 5 4" xfId="10733" xr:uid="{0DD3D7DC-FAB8-4AC9-832B-B9747889BD55}"/>
    <cellStyle name="Normal 8 2 3 3 6" xfId="2638" xr:uid="{00000000-0005-0000-0000-0000CD1C0000}"/>
    <cellStyle name="Normal 8 2 3 3 6 2" xfId="6922" xr:uid="{00000000-0005-0000-0000-0000CE1C0000}"/>
    <cellStyle name="Normal 8 2 3 3 6 2 2" xfId="15364" xr:uid="{C1419103-99B5-432D-9343-990E4CC37773}"/>
    <cellStyle name="Normal 8 2 3 3 6 3" xfId="11146" xr:uid="{11A01155-EF57-4264-831B-722D7300B959}"/>
    <cellStyle name="Normal 8 2 3 3 7" xfId="4857" xr:uid="{00000000-0005-0000-0000-0000CF1C0000}"/>
    <cellStyle name="Normal 8 2 3 3 7 2" xfId="13299" xr:uid="{ACD4ACF9-FAF8-4B75-B572-890E6D844C38}"/>
    <cellStyle name="Normal 8 2 3 3 8" xfId="9081" xr:uid="{E3F2CCF8-0CBD-4936-9043-EBEC803EAFAE}"/>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AA0D8080-9168-411D-B720-A835C49122CC}"/>
    <cellStyle name="Normal 8 2 3 4 2 3" xfId="11636" xr:uid="{71C2AA86-B3A6-4882-BC30-170C67823D5A}"/>
    <cellStyle name="Normal 8 2 3 4 3" xfId="5267" xr:uid="{00000000-0005-0000-0000-0000D31C0000}"/>
    <cellStyle name="Normal 8 2 3 4 3 2" xfId="13709" xr:uid="{E10CAE78-D5E2-4431-B82F-3D907CBA07C2}"/>
    <cellStyle name="Normal 8 2 3 4 4" xfId="9491" xr:uid="{0017B69D-65EB-4834-AA3D-ACCE115C2803}"/>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B48AD9CF-6A2D-4CE4-9DB1-872B69BECB2B}"/>
    <cellStyle name="Normal 8 2 3 5 2 3" xfId="12049" xr:uid="{806BB83F-8BB5-4327-899B-4500C084BE7A}"/>
    <cellStyle name="Normal 8 2 3 5 3" xfId="5680" xr:uid="{00000000-0005-0000-0000-0000D71C0000}"/>
    <cellStyle name="Normal 8 2 3 5 3 2" xfId="14122" xr:uid="{F74B7981-9EC0-40EC-856C-D0EE7181E73C}"/>
    <cellStyle name="Normal 8 2 3 5 4" xfId="9904" xr:uid="{E9248950-BBB8-4A0A-9246-2E7335E34CF6}"/>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78C055A7-2825-495E-ACA4-2734FB1CC55C}"/>
    <cellStyle name="Normal 8 2 3 6 2 3" xfId="12462" xr:uid="{118DE5F9-5798-4B13-BF47-FC6EAE7A54A6}"/>
    <cellStyle name="Normal 8 2 3 6 3" xfId="6093" xr:uid="{00000000-0005-0000-0000-0000DB1C0000}"/>
    <cellStyle name="Normal 8 2 3 6 3 2" xfId="14535" xr:uid="{ECA14A4E-3734-4E62-A719-D5AC9ED4A970}"/>
    <cellStyle name="Normal 8 2 3 6 4" xfId="10317" xr:uid="{6C5A4F47-A938-46F4-ABC6-BE4D81B9F22F}"/>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C5264E8F-27CB-4706-B31A-8C34CFF031F1}"/>
    <cellStyle name="Normal 8 2 3 7 2 3" xfId="12875" xr:uid="{31F9C0CC-9BF3-4FE8-BA45-731FD8B9FA9E}"/>
    <cellStyle name="Normal 8 2 3 7 3" xfId="6506" xr:uid="{00000000-0005-0000-0000-0000DF1C0000}"/>
    <cellStyle name="Normal 8 2 3 7 3 2" xfId="14948" xr:uid="{8F7AA4A7-435A-4F88-85E0-6834FDB92675}"/>
    <cellStyle name="Normal 8 2 3 7 4" xfId="10730" xr:uid="{558D8C35-99FF-45A3-826E-982BBEA5E0BB}"/>
    <cellStyle name="Normal 8 2 3 8" xfId="2635" xr:uid="{00000000-0005-0000-0000-0000E01C0000}"/>
    <cellStyle name="Normal 8 2 3 8 2" xfId="6919" xr:uid="{00000000-0005-0000-0000-0000E11C0000}"/>
    <cellStyle name="Normal 8 2 3 8 2 2" xfId="15361" xr:uid="{990AD770-9753-42F6-827E-0EEC49BFC841}"/>
    <cellStyle name="Normal 8 2 3 8 3" xfId="11143" xr:uid="{D316D1BA-257E-4C8E-B3D0-2523BE0092C6}"/>
    <cellStyle name="Normal 8 2 3 9" xfId="4854" xr:uid="{00000000-0005-0000-0000-0000E21C0000}"/>
    <cellStyle name="Normal 8 2 3 9 2" xfId="13296" xr:uid="{615B4264-6F72-4CD2-985C-BADD2F001EC1}"/>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A135CF2E-71B0-40B4-9C16-C421C640BF58}"/>
    <cellStyle name="Normal 8 2 4 2 2 2 3" xfId="11641" xr:uid="{B2257427-F702-48DB-AB60-21645F17EFC5}"/>
    <cellStyle name="Normal 8 2 4 2 2 3" xfId="5272" xr:uid="{00000000-0005-0000-0000-0000E81C0000}"/>
    <cellStyle name="Normal 8 2 4 2 2 3 2" xfId="13714" xr:uid="{DEFE4E29-5C99-4228-8EE6-1EDF4B896D68}"/>
    <cellStyle name="Normal 8 2 4 2 2 4" xfId="9496" xr:uid="{2E878332-53B8-4397-8B72-BDD6869A71E7}"/>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E2C93160-20D6-4EAF-B13C-F79A03700C3F}"/>
    <cellStyle name="Normal 8 2 4 2 3 2 3" xfId="12054" xr:uid="{170DFC70-4D79-4705-B403-7F847C17CC87}"/>
    <cellStyle name="Normal 8 2 4 2 3 3" xfId="5685" xr:uid="{00000000-0005-0000-0000-0000EC1C0000}"/>
    <cellStyle name="Normal 8 2 4 2 3 3 2" xfId="14127" xr:uid="{EA3716F5-E328-452F-B47E-5A94B5F3927A}"/>
    <cellStyle name="Normal 8 2 4 2 3 4" xfId="9909" xr:uid="{D8EF0A6F-BA14-4378-8405-358A84D47102}"/>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59707CE-E9CC-4842-80BC-80642513EAEF}"/>
    <cellStyle name="Normal 8 2 4 2 4 2 3" xfId="12467" xr:uid="{C8E247C2-3C61-404A-B9DA-B03434B6CFF5}"/>
    <cellStyle name="Normal 8 2 4 2 4 3" xfId="6098" xr:uid="{00000000-0005-0000-0000-0000F01C0000}"/>
    <cellStyle name="Normal 8 2 4 2 4 3 2" xfId="14540" xr:uid="{4EE58DBB-235C-442D-8A53-1A1F19566318}"/>
    <cellStyle name="Normal 8 2 4 2 4 4" xfId="10322" xr:uid="{D25E5777-19DC-44C0-BA6F-6C4E3F46F0F1}"/>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E4AF6118-69FD-4375-A307-8C7DD5E88B17}"/>
    <cellStyle name="Normal 8 2 4 2 5 2 3" xfId="12880" xr:uid="{03FF0F34-49A1-4EBD-8735-41790BA90AA4}"/>
    <cellStyle name="Normal 8 2 4 2 5 3" xfId="6511" xr:uid="{00000000-0005-0000-0000-0000F41C0000}"/>
    <cellStyle name="Normal 8 2 4 2 5 3 2" xfId="14953" xr:uid="{76F87920-5C30-4B34-B439-D3751F8DB90D}"/>
    <cellStyle name="Normal 8 2 4 2 5 4" xfId="10735" xr:uid="{28A96C97-F643-40D6-8760-C6C9046E911C}"/>
    <cellStyle name="Normal 8 2 4 2 6" xfId="2640" xr:uid="{00000000-0005-0000-0000-0000F51C0000}"/>
    <cellStyle name="Normal 8 2 4 2 6 2" xfId="6924" xr:uid="{00000000-0005-0000-0000-0000F61C0000}"/>
    <cellStyle name="Normal 8 2 4 2 6 2 2" xfId="15366" xr:uid="{3ED5916B-0A22-4DB3-A2FB-D4EA6D47E825}"/>
    <cellStyle name="Normal 8 2 4 2 6 3" xfId="11148" xr:uid="{BF9DD762-F1AD-4E95-8AF8-EF16B8B30260}"/>
    <cellStyle name="Normal 8 2 4 2 7" xfId="4859" xr:uid="{00000000-0005-0000-0000-0000F71C0000}"/>
    <cellStyle name="Normal 8 2 4 2 7 2" xfId="13301" xr:uid="{D409EC40-C1F4-4DFB-81A4-D75591C0F619}"/>
    <cellStyle name="Normal 8 2 4 2 8" xfId="9083" xr:uid="{33E517E2-F6BE-4AA8-99E6-D81504593CBE}"/>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E17748F0-DC5A-4B5E-A6FA-6F4C7C81F5D2}"/>
    <cellStyle name="Normal 8 2 4 3 2 3" xfId="11640" xr:uid="{406DA229-60FC-4DEF-A7C6-3CE9B9FED3B7}"/>
    <cellStyle name="Normal 8 2 4 3 3" xfId="5271" xr:uid="{00000000-0005-0000-0000-0000FB1C0000}"/>
    <cellStyle name="Normal 8 2 4 3 3 2" xfId="13713" xr:uid="{9DB6A059-8C77-42E0-93AE-020B831A94FA}"/>
    <cellStyle name="Normal 8 2 4 3 4" xfId="9495" xr:uid="{94F267B1-6DD8-4F45-A61A-8A1F4126EA28}"/>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BBCEA272-231A-40C0-8749-DCDD7C9E9C7D}"/>
    <cellStyle name="Normal 8 2 4 4 2 3" xfId="12053" xr:uid="{CD8FE972-1FB2-4DE8-A114-BC8E677D0358}"/>
    <cellStyle name="Normal 8 2 4 4 3" xfId="5684" xr:uid="{00000000-0005-0000-0000-0000FF1C0000}"/>
    <cellStyle name="Normal 8 2 4 4 3 2" xfId="14126" xr:uid="{C7F2DA4E-A9F9-4E3B-B123-33C18F63E1C6}"/>
    <cellStyle name="Normal 8 2 4 4 4" xfId="9908" xr:uid="{401C743D-5640-4533-9F6E-FDA4FE5DB23B}"/>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4884F730-45DB-43BE-896C-C1F8EFB7EEB2}"/>
    <cellStyle name="Normal 8 2 4 5 2 3" xfId="12466" xr:uid="{6C4CAFFA-EA2F-4549-8F72-67224326EE7E}"/>
    <cellStyle name="Normal 8 2 4 5 3" xfId="6097" xr:uid="{00000000-0005-0000-0000-0000031D0000}"/>
    <cellStyle name="Normal 8 2 4 5 3 2" xfId="14539" xr:uid="{B7E1E9F8-5E7C-4564-8F20-8E1F9E1A9456}"/>
    <cellStyle name="Normal 8 2 4 5 4" xfId="10321" xr:uid="{9F873F4F-67AC-4E4A-9B90-82CC84F19328}"/>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B95CD848-CAAF-4743-815B-35C49F10239D}"/>
    <cellStyle name="Normal 8 2 4 6 2 3" xfId="12879" xr:uid="{A3EAADC3-63DD-44C6-9F2C-37B05BD57CC2}"/>
    <cellStyle name="Normal 8 2 4 6 3" xfId="6510" xr:uid="{00000000-0005-0000-0000-0000071D0000}"/>
    <cellStyle name="Normal 8 2 4 6 3 2" xfId="14952" xr:uid="{0CCFF75B-9D6D-48C7-A99C-8EADB722336C}"/>
    <cellStyle name="Normal 8 2 4 6 4" xfId="10734" xr:uid="{EC0B418B-1108-4B36-B066-3074DC1107B3}"/>
    <cellStyle name="Normal 8 2 4 7" xfId="2639" xr:uid="{00000000-0005-0000-0000-0000081D0000}"/>
    <cellStyle name="Normal 8 2 4 7 2" xfId="6923" xr:uid="{00000000-0005-0000-0000-0000091D0000}"/>
    <cellStyle name="Normal 8 2 4 7 2 2" xfId="15365" xr:uid="{368373F0-8268-4C18-94E2-107A804C3F64}"/>
    <cellStyle name="Normal 8 2 4 7 3" xfId="11147" xr:uid="{A1146233-59CD-4F83-B59B-36809110891F}"/>
    <cellStyle name="Normal 8 2 4 8" xfId="4858" xr:uid="{00000000-0005-0000-0000-00000A1D0000}"/>
    <cellStyle name="Normal 8 2 4 8 2" xfId="13300" xr:uid="{1BFA2647-B3EA-48B7-90D3-0DD0511BA193}"/>
    <cellStyle name="Normal 8 2 4 9" xfId="9082" xr:uid="{B413C445-B0B9-431B-A819-5E1807416852}"/>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D05F5BAC-68FD-4F4D-B704-7369E0CED2C7}"/>
    <cellStyle name="Normal 8 2 5 2 2 3" xfId="11642" xr:uid="{5FA6899F-F0FD-4F99-8FFF-053078F45EC8}"/>
    <cellStyle name="Normal 8 2 5 2 3" xfId="5273" xr:uid="{00000000-0005-0000-0000-00000F1D0000}"/>
    <cellStyle name="Normal 8 2 5 2 3 2" xfId="13715" xr:uid="{7EA498ED-CFFC-4F78-8A4C-CE3B78F431DE}"/>
    <cellStyle name="Normal 8 2 5 2 4" xfId="9497" xr:uid="{31BB2E9B-5573-46D4-854E-00531914B0AE}"/>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1D224228-AC30-42E2-90EC-E5A66E4BE761}"/>
    <cellStyle name="Normal 8 2 5 3 2 3" xfId="12055" xr:uid="{B497899B-5BA6-4334-88AD-161161105EBE}"/>
    <cellStyle name="Normal 8 2 5 3 3" xfId="5686" xr:uid="{00000000-0005-0000-0000-0000131D0000}"/>
    <cellStyle name="Normal 8 2 5 3 3 2" xfId="14128" xr:uid="{B3B7493F-E43B-4C41-9242-89B6D48B26AE}"/>
    <cellStyle name="Normal 8 2 5 3 4" xfId="9910" xr:uid="{29C68A91-956E-4ED0-A45E-B4FD97535D9E}"/>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F91CC46B-C0C5-42F6-9A8B-C442E04F8EE6}"/>
    <cellStyle name="Normal 8 2 5 4 2 3" xfId="12468" xr:uid="{D3F2DA5B-5330-4537-95C8-3E801CDEA5BB}"/>
    <cellStyle name="Normal 8 2 5 4 3" xfId="6099" xr:uid="{00000000-0005-0000-0000-0000171D0000}"/>
    <cellStyle name="Normal 8 2 5 4 3 2" xfId="14541" xr:uid="{E2705223-DDCF-44A1-8938-4D70F70F646D}"/>
    <cellStyle name="Normal 8 2 5 4 4" xfId="10323" xr:uid="{44480F0E-EBA6-472F-8C55-6843D4C27A97}"/>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B8932522-A377-4795-A9B6-25E4F8673046}"/>
    <cellStyle name="Normal 8 2 5 5 2 3" xfId="12881" xr:uid="{ED91A36E-0D08-480E-B454-199541084B3C}"/>
    <cellStyle name="Normal 8 2 5 5 3" xfId="6512" xr:uid="{00000000-0005-0000-0000-00001B1D0000}"/>
    <cellStyle name="Normal 8 2 5 5 3 2" xfId="14954" xr:uid="{FD924974-5824-40F9-A752-B3A691FC2C82}"/>
    <cellStyle name="Normal 8 2 5 5 4" xfId="10736" xr:uid="{AC33E18E-C7FB-40DC-95A7-284ACA8F0252}"/>
    <cellStyle name="Normal 8 2 5 6" xfId="2641" xr:uid="{00000000-0005-0000-0000-00001C1D0000}"/>
    <cellStyle name="Normal 8 2 5 6 2" xfId="6925" xr:uid="{00000000-0005-0000-0000-00001D1D0000}"/>
    <cellStyle name="Normal 8 2 5 6 2 2" xfId="15367" xr:uid="{4BC31EB4-1009-4E19-B551-7AD097E614AE}"/>
    <cellStyle name="Normal 8 2 5 6 3" xfId="11149" xr:uid="{A3B8EA59-8FD5-4293-96E2-9EF4BE28F45A}"/>
    <cellStyle name="Normal 8 2 5 7" xfId="4860" xr:uid="{00000000-0005-0000-0000-00001E1D0000}"/>
    <cellStyle name="Normal 8 2 5 7 2" xfId="13302" xr:uid="{A54BB525-1AE4-464E-B97C-7C9FBF1C8608}"/>
    <cellStyle name="Normal 8 2 5 8" xfId="9084" xr:uid="{5F0A0268-4005-45F9-8D9E-83782ABCF73C}"/>
    <cellStyle name="Normal 8 2 6" xfId="946" xr:uid="{00000000-0005-0000-0000-00001F1D0000}"/>
    <cellStyle name="Normal 8 2 6 2" xfId="3180" xr:uid="{00000000-0005-0000-0000-0000201D0000}"/>
    <cellStyle name="Normal 8 2 6 2 2" xfId="7403" xr:uid="{00000000-0005-0000-0000-0000211D0000}"/>
    <cellStyle name="Normal 8 2 6 2 2 2" xfId="15845" xr:uid="{74E3A4AF-0305-459A-91C3-93BFDF8A3A88}"/>
    <cellStyle name="Normal 8 2 6 2 3" xfId="11627" xr:uid="{35809903-DDA6-4696-B8DC-D6223CEE5FC8}"/>
    <cellStyle name="Normal 8 2 6 3" xfId="5258" xr:uid="{00000000-0005-0000-0000-0000221D0000}"/>
    <cellStyle name="Normal 8 2 6 3 2" xfId="13700" xr:uid="{C69E7E7E-68D9-4878-A4B5-3D0B074E3088}"/>
    <cellStyle name="Normal 8 2 6 4" xfId="9482" xr:uid="{70A8ACE6-9B95-4BE4-90D7-E10A6F4EFAEA}"/>
    <cellStyle name="Normal 8 2 7" xfId="1363" xr:uid="{00000000-0005-0000-0000-0000231D0000}"/>
    <cellStyle name="Normal 8 2 7 2" xfId="3593" xr:uid="{00000000-0005-0000-0000-0000241D0000}"/>
    <cellStyle name="Normal 8 2 7 2 2" xfId="7816" xr:uid="{00000000-0005-0000-0000-0000251D0000}"/>
    <cellStyle name="Normal 8 2 7 2 2 2" xfId="16258" xr:uid="{E8DE67B7-6494-4BC1-A356-E75669320860}"/>
    <cellStyle name="Normal 8 2 7 2 3" xfId="12040" xr:uid="{6C66AB16-4CE4-49D7-866A-14220C9420CE}"/>
    <cellStyle name="Normal 8 2 7 3" xfId="5671" xr:uid="{00000000-0005-0000-0000-0000261D0000}"/>
    <cellStyle name="Normal 8 2 7 3 2" xfId="14113" xr:uid="{3F0F3B58-4E8B-479A-AB73-A7684A1AE0FB}"/>
    <cellStyle name="Normal 8 2 7 4" xfId="9895" xr:uid="{DCFFCCEE-674E-492E-8DF1-6430433A820E}"/>
    <cellStyle name="Normal 8 2 8" xfId="1776" xr:uid="{00000000-0005-0000-0000-0000271D0000}"/>
    <cellStyle name="Normal 8 2 8 2" xfId="4006" xr:uid="{00000000-0005-0000-0000-0000281D0000}"/>
    <cellStyle name="Normal 8 2 8 2 2" xfId="8229" xr:uid="{00000000-0005-0000-0000-0000291D0000}"/>
    <cellStyle name="Normal 8 2 8 2 2 2" xfId="16671" xr:uid="{893FBA61-6646-49EB-985B-20B8663037AD}"/>
    <cellStyle name="Normal 8 2 8 2 3" xfId="12453" xr:uid="{271E1CA2-9CAF-46A3-81AE-6FBED9215461}"/>
    <cellStyle name="Normal 8 2 8 3" xfId="6084" xr:uid="{00000000-0005-0000-0000-00002A1D0000}"/>
    <cellStyle name="Normal 8 2 8 3 2" xfId="14526" xr:uid="{808B348C-8FB9-4F24-B519-F8E9CD14653D}"/>
    <cellStyle name="Normal 8 2 8 4" xfId="10308" xr:uid="{5BCB1C1F-7265-4F82-B64A-6141416E60A0}"/>
    <cellStyle name="Normal 8 2 9" xfId="2190" xr:uid="{00000000-0005-0000-0000-00002B1D0000}"/>
    <cellStyle name="Normal 8 2 9 2" xfId="4419" xr:uid="{00000000-0005-0000-0000-00002C1D0000}"/>
    <cellStyle name="Normal 8 2 9 2 2" xfId="8642" xr:uid="{00000000-0005-0000-0000-00002D1D0000}"/>
    <cellStyle name="Normal 8 2 9 2 2 2" xfId="17084" xr:uid="{96CEE37E-5A30-4C63-9C24-32C847620C8B}"/>
    <cellStyle name="Normal 8 2 9 2 3" xfId="12866" xr:uid="{F9A1EF81-BDA6-4590-8603-DB194704151B}"/>
    <cellStyle name="Normal 8 2 9 3" xfId="6497" xr:uid="{00000000-0005-0000-0000-00002E1D0000}"/>
    <cellStyle name="Normal 8 2 9 3 2" xfId="14939" xr:uid="{8BE778B4-42A4-4A62-8395-FBD74451E6FE}"/>
    <cellStyle name="Normal 8 2 9 4" xfId="10721" xr:uid="{0CCE81B4-8A76-4B48-9FFC-1D98C38E31C8}"/>
    <cellStyle name="Normal 8 3" xfId="495" xr:uid="{00000000-0005-0000-0000-00002F1D0000}"/>
    <cellStyle name="Normal 8 3 10" xfId="4861" xr:uid="{00000000-0005-0000-0000-0000301D0000}"/>
    <cellStyle name="Normal 8 3 10 2" xfId="13303" xr:uid="{932D01B6-1535-4CF6-BD7A-1CCB2D2DD095}"/>
    <cellStyle name="Normal 8 3 11" xfId="9085" xr:uid="{F6306FAE-6FA6-43FD-9CAA-F6CDED693716}"/>
    <cellStyle name="Normal 8 3 2" xfId="496" xr:uid="{00000000-0005-0000-0000-0000311D0000}"/>
    <cellStyle name="Normal 8 3 2 10" xfId="9086" xr:uid="{09FB9B07-FD03-465C-AF7F-4B083C1CEE0E}"/>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1821E6AD-9C3A-4C2D-A6AA-A77AFF689627}"/>
    <cellStyle name="Normal 8 3 2 2 2 2 2 3" xfId="11646" xr:uid="{F8F8D4C6-54E0-4E90-BA40-2450DC7E86FA}"/>
    <cellStyle name="Normal 8 3 2 2 2 2 3" xfId="5277" xr:uid="{00000000-0005-0000-0000-0000371D0000}"/>
    <cellStyle name="Normal 8 3 2 2 2 2 3 2" xfId="13719" xr:uid="{88A28C4F-D7D0-4E50-A6B4-E39E40249485}"/>
    <cellStyle name="Normal 8 3 2 2 2 2 4" xfId="9501" xr:uid="{39F99644-718A-4481-AA2D-56A333A2B2C3}"/>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54008CBC-A476-4324-A00E-5F4307DA565E}"/>
    <cellStyle name="Normal 8 3 2 2 2 3 2 3" xfId="12059" xr:uid="{379AA194-53C5-466C-98A8-05190D0D2273}"/>
    <cellStyle name="Normal 8 3 2 2 2 3 3" xfId="5690" xr:uid="{00000000-0005-0000-0000-00003B1D0000}"/>
    <cellStyle name="Normal 8 3 2 2 2 3 3 2" xfId="14132" xr:uid="{74F90B3F-DF6D-4B0A-897B-25FB8D5ECF4A}"/>
    <cellStyle name="Normal 8 3 2 2 2 3 4" xfId="9914" xr:uid="{F42EFE65-4468-409A-8087-7A1047086D3D}"/>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6ACB8B39-AF62-48A4-9FD5-E23E3901D9C2}"/>
    <cellStyle name="Normal 8 3 2 2 2 4 2 3" xfId="12472" xr:uid="{49D20B07-5F18-4E48-A92D-391DFDB9EADB}"/>
    <cellStyle name="Normal 8 3 2 2 2 4 3" xfId="6103" xr:uid="{00000000-0005-0000-0000-00003F1D0000}"/>
    <cellStyle name="Normal 8 3 2 2 2 4 3 2" xfId="14545" xr:uid="{59A04535-1427-436F-8600-CDEB9428146E}"/>
    <cellStyle name="Normal 8 3 2 2 2 4 4" xfId="10327" xr:uid="{DAA80C4B-AA0D-4163-9C80-75AB193DE88C}"/>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B77C82FA-702A-40EC-8E7B-577A0658D24C}"/>
    <cellStyle name="Normal 8 3 2 2 2 5 2 3" xfId="12885" xr:uid="{5F88B32B-B745-454B-A211-CF9C5A5B9518}"/>
    <cellStyle name="Normal 8 3 2 2 2 5 3" xfId="6516" xr:uid="{00000000-0005-0000-0000-0000431D0000}"/>
    <cellStyle name="Normal 8 3 2 2 2 5 3 2" xfId="14958" xr:uid="{606FC67B-CF92-4204-9A77-D8ABA5F4B529}"/>
    <cellStyle name="Normal 8 3 2 2 2 5 4" xfId="10740" xr:uid="{C81AD0FA-50D3-4116-B5E5-AF153261EBCB}"/>
    <cellStyle name="Normal 8 3 2 2 2 6" xfId="2645" xr:uid="{00000000-0005-0000-0000-0000441D0000}"/>
    <cellStyle name="Normal 8 3 2 2 2 6 2" xfId="6929" xr:uid="{00000000-0005-0000-0000-0000451D0000}"/>
    <cellStyle name="Normal 8 3 2 2 2 6 2 2" xfId="15371" xr:uid="{3D04DE20-AE9E-4B6F-A8CB-AE8F2416FCC1}"/>
    <cellStyle name="Normal 8 3 2 2 2 6 3" xfId="11153" xr:uid="{48E96B61-9E1C-4304-B322-469FFC5A46C7}"/>
    <cellStyle name="Normal 8 3 2 2 2 7" xfId="4864" xr:uid="{00000000-0005-0000-0000-0000461D0000}"/>
    <cellStyle name="Normal 8 3 2 2 2 7 2" xfId="13306" xr:uid="{31C466F4-2E3D-49E0-9F2B-7C78BA6F6440}"/>
    <cellStyle name="Normal 8 3 2 2 2 8" xfId="9088" xr:uid="{331BA213-CCB6-4560-A400-DA1741D627F3}"/>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08C3E4D6-954B-4DD4-BC51-2EFB8F455280}"/>
    <cellStyle name="Normal 8 3 2 2 3 2 3" xfId="11645" xr:uid="{28623460-5D65-4746-BA81-5F015DCCBFD0}"/>
    <cellStyle name="Normal 8 3 2 2 3 3" xfId="5276" xr:uid="{00000000-0005-0000-0000-00004A1D0000}"/>
    <cellStyle name="Normal 8 3 2 2 3 3 2" xfId="13718" xr:uid="{16A0318B-F9DF-4BB6-B7D3-9C087EE9766E}"/>
    <cellStyle name="Normal 8 3 2 2 3 4" xfId="9500" xr:uid="{C7491FF0-AB81-4C5F-A2A3-1017A3985344}"/>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084C7EA6-9397-40DD-92B0-41A61F42644F}"/>
    <cellStyle name="Normal 8 3 2 2 4 2 3" xfId="12058" xr:uid="{8B9D32D7-1C0B-47A1-A506-01915BB40EF1}"/>
    <cellStyle name="Normal 8 3 2 2 4 3" xfId="5689" xr:uid="{00000000-0005-0000-0000-00004E1D0000}"/>
    <cellStyle name="Normal 8 3 2 2 4 3 2" xfId="14131" xr:uid="{18A7C5A2-53D5-42D6-B54C-4EF4DAB138D5}"/>
    <cellStyle name="Normal 8 3 2 2 4 4" xfId="9913" xr:uid="{D79ED500-8BDA-4A0C-824B-D7EAD1D12AAD}"/>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34844855-60A6-40DD-B8FF-D87EC9343AA1}"/>
    <cellStyle name="Normal 8 3 2 2 5 2 3" xfId="12471" xr:uid="{16240C5C-A369-4BB8-8760-E98FDB155759}"/>
    <cellStyle name="Normal 8 3 2 2 5 3" xfId="6102" xr:uid="{00000000-0005-0000-0000-0000521D0000}"/>
    <cellStyle name="Normal 8 3 2 2 5 3 2" xfId="14544" xr:uid="{041809D5-40EA-4727-A2CE-E80E9E3A2FBE}"/>
    <cellStyle name="Normal 8 3 2 2 5 4" xfId="10326" xr:uid="{26446659-34CA-4D4F-BDD4-B1A4C8E1166D}"/>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F8DC728A-F2F8-4054-8C7E-6B8690451969}"/>
    <cellStyle name="Normal 8 3 2 2 6 2 3" xfId="12884" xr:uid="{33CDF57F-2E39-49DA-A6FD-156B2C73D714}"/>
    <cellStyle name="Normal 8 3 2 2 6 3" xfId="6515" xr:uid="{00000000-0005-0000-0000-0000561D0000}"/>
    <cellStyle name="Normal 8 3 2 2 6 3 2" xfId="14957" xr:uid="{2B28F88E-11EE-46C1-BAE3-7B4D942B6A6C}"/>
    <cellStyle name="Normal 8 3 2 2 6 4" xfId="10739" xr:uid="{D6A66573-CD38-46F6-892F-0D45CB976945}"/>
    <cellStyle name="Normal 8 3 2 2 7" xfId="2644" xr:uid="{00000000-0005-0000-0000-0000571D0000}"/>
    <cellStyle name="Normal 8 3 2 2 7 2" xfId="6928" xr:uid="{00000000-0005-0000-0000-0000581D0000}"/>
    <cellStyle name="Normal 8 3 2 2 7 2 2" xfId="15370" xr:uid="{F65D0EBE-9D51-44D0-89F7-70E332F3C117}"/>
    <cellStyle name="Normal 8 3 2 2 7 3" xfId="11152" xr:uid="{42275D38-BC40-4EA6-9BFB-03620D6823A2}"/>
    <cellStyle name="Normal 8 3 2 2 8" xfId="4863" xr:uid="{00000000-0005-0000-0000-0000591D0000}"/>
    <cellStyle name="Normal 8 3 2 2 8 2" xfId="13305" xr:uid="{AF24AA82-F32C-4355-9365-40EEB2CFBAD8}"/>
    <cellStyle name="Normal 8 3 2 2 9" xfId="9087" xr:uid="{61C3B942-E126-4674-A168-BDD4F76E821B}"/>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751E900-EADB-4EC1-8C6E-EC9464D311FA}"/>
    <cellStyle name="Normal 8 3 2 3 2 2 3" xfId="11647" xr:uid="{FE4F31D9-1FDF-4252-8EB0-4A146B7D0FC1}"/>
    <cellStyle name="Normal 8 3 2 3 2 3" xfId="5278" xr:uid="{00000000-0005-0000-0000-00005E1D0000}"/>
    <cellStyle name="Normal 8 3 2 3 2 3 2" xfId="13720" xr:uid="{F3677C39-5B94-4EB8-AA39-D2053E66A006}"/>
    <cellStyle name="Normal 8 3 2 3 2 4" xfId="9502" xr:uid="{3FF82CD7-7DE2-4C62-A997-C16CAAEDA1C7}"/>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C29805FD-8447-4025-B274-DAF880AFBE05}"/>
    <cellStyle name="Normal 8 3 2 3 3 2 3" xfId="12060" xr:uid="{2A4A779E-5564-45E3-9239-5335A973E347}"/>
    <cellStyle name="Normal 8 3 2 3 3 3" xfId="5691" xr:uid="{00000000-0005-0000-0000-0000621D0000}"/>
    <cellStyle name="Normal 8 3 2 3 3 3 2" xfId="14133" xr:uid="{5870FB99-D2D1-4EBE-978F-306A8E1BC2EA}"/>
    <cellStyle name="Normal 8 3 2 3 3 4" xfId="9915" xr:uid="{B509B980-EB34-404B-8062-F220C63BB593}"/>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2C8F9ED1-AC58-447D-8687-49DA6105F181}"/>
    <cellStyle name="Normal 8 3 2 3 4 2 3" xfId="12473" xr:uid="{1B344250-3DB3-4B17-999B-768A5877BDDD}"/>
    <cellStyle name="Normal 8 3 2 3 4 3" xfId="6104" xr:uid="{00000000-0005-0000-0000-0000661D0000}"/>
    <cellStyle name="Normal 8 3 2 3 4 3 2" xfId="14546" xr:uid="{28D840A7-1F6B-420A-8606-C1FF05891FBB}"/>
    <cellStyle name="Normal 8 3 2 3 4 4" xfId="10328" xr:uid="{3C285490-5D0C-4E39-ABDA-CEC16ADA54AC}"/>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23D06297-D352-44FB-B728-A780028D10D8}"/>
    <cellStyle name="Normal 8 3 2 3 5 2 3" xfId="12886" xr:uid="{F4D4692E-A92E-4D36-94A2-D6242C02DF95}"/>
    <cellStyle name="Normal 8 3 2 3 5 3" xfId="6517" xr:uid="{00000000-0005-0000-0000-00006A1D0000}"/>
    <cellStyle name="Normal 8 3 2 3 5 3 2" xfId="14959" xr:uid="{725EFDAA-2D2F-4084-A500-BEA3288DD4D6}"/>
    <cellStyle name="Normal 8 3 2 3 5 4" xfId="10741" xr:uid="{05B68F2B-D93F-4611-91DD-15DD43350F17}"/>
    <cellStyle name="Normal 8 3 2 3 6" xfId="2646" xr:uid="{00000000-0005-0000-0000-00006B1D0000}"/>
    <cellStyle name="Normal 8 3 2 3 6 2" xfId="6930" xr:uid="{00000000-0005-0000-0000-00006C1D0000}"/>
    <cellStyle name="Normal 8 3 2 3 6 2 2" xfId="15372" xr:uid="{3BC1EB87-F5BA-42B2-A71A-337BB2FB8090}"/>
    <cellStyle name="Normal 8 3 2 3 6 3" xfId="11154" xr:uid="{EEBC7662-8474-4B47-BB1F-09913DC22DE6}"/>
    <cellStyle name="Normal 8 3 2 3 7" xfId="4865" xr:uid="{00000000-0005-0000-0000-00006D1D0000}"/>
    <cellStyle name="Normal 8 3 2 3 7 2" xfId="13307" xr:uid="{B4874A32-2F79-44F6-8716-EE801C3647F2}"/>
    <cellStyle name="Normal 8 3 2 3 8" xfId="9089" xr:uid="{27B35799-90F3-4750-94A4-B8DFD5866E2D}"/>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D317C02B-23B7-493C-90B4-9C13963A6713}"/>
    <cellStyle name="Normal 8 3 2 4 2 3" xfId="11644" xr:uid="{B829BA8B-9EB9-44B8-92DB-22617B22079E}"/>
    <cellStyle name="Normal 8 3 2 4 3" xfId="5275" xr:uid="{00000000-0005-0000-0000-0000711D0000}"/>
    <cellStyle name="Normal 8 3 2 4 3 2" xfId="13717" xr:uid="{CA2A3303-C1E6-4C23-8049-26380F069297}"/>
    <cellStyle name="Normal 8 3 2 4 4" xfId="9499" xr:uid="{5B6A1B54-6E81-4D63-BC31-096AF881E80E}"/>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C0E4EAEB-4A7B-4E49-8980-C83992678FCA}"/>
    <cellStyle name="Normal 8 3 2 5 2 3" xfId="12057" xr:uid="{033F4E21-3DA3-4BD9-9788-7B232273EC73}"/>
    <cellStyle name="Normal 8 3 2 5 3" xfId="5688" xr:uid="{00000000-0005-0000-0000-0000751D0000}"/>
    <cellStyle name="Normal 8 3 2 5 3 2" xfId="14130" xr:uid="{32904154-BDFC-4033-8C0A-797B81F2EF6F}"/>
    <cellStyle name="Normal 8 3 2 5 4" xfId="9912" xr:uid="{D9D933E6-94CD-48E7-B13F-2E0449153C8D}"/>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50045FD6-7C24-40BC-8D7F-7FE309FAECDD}"/>
    <cellStyle name="Normal 8 3 2 6 2 3" xfId="12470" xr:uid="{E5BF5DC9-50E0-4589-AA00-CD9450B127D2}"/>
    <cellStyle name="Normal 8 3 2 6 3" xfId="6101" xr:uid="{00000000-0005-0000-0000-0000791D0000}"/>
    <cellStyle name="Normal 8 3 2 6 3 2" xfId="14543" xr:uid="{42319B59-3AEB-4CAA-9095-CFBCE3848923}"/>
    <cellStyle name="Normal 8 3 2 6 4" xfId="10325" xr:uid="{8551B5C9-3FA9-4B1E-A97D-99CD93237C5E}"/>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581EE16B-D79C-4F3E-984E-C9336129181B}"/>
    <cellStyle name="Normal 8 3 2 7 2 3" xfId="12883" xr:uid="{E185114C-7D4E-4355-83A2-517E9A7D0382}"/>
    <cellStyle name="Normal 8 3 2 7 3" xfId="6514" xr:uid="{00000000-0005-0000-0000-00007D1D0000}"/>
    <cellStyle name="Normal 8 3 2 7 3 2" xfId="14956" xr:uid="{790A245F-FFBA-40B9-9404-BE17E109E9BE}"/>
    <cellStyle name="Normal 8 3 2 7 4" xfId="10738" xr:uid="{00E8CC36-CB29-4543-963B-AE9A88E4D553}"/>
    <cellStyle name="Normal 8 3 2 8" xfId="2643" xr:uid="{00000000-0005-0000-0000-00007E1D0000}"/>
    <cellStyle name="Normal 8 3 2 8 2" xfId="6927" xr:uid="{00000000-0005-0000-0000-00007F1D0000}"/>
    <cellStyle name="Normal 8 3 2 8 2 2" xfId="15369" xr:uid="{0A158EF1-F70B-4A3E-BA5A-1203623F998E}"/>
    <cellStyle name="Normal 8 3 2 8 3" xfId="11151" xr:uid="{B41B893C-D73E-42F8-960D-39983FC96D87}"/>
    <cellStyle name="Normal 8 3 2 9" xfId="4862" xr:uid="{00000000-0005-0000-0000-0000801D0000}"/>
    <cellStyle name="Normal 8 3 2 9 2" xfId="13304" xr:uid="{8450532E-7A04-435F-804C-4D5085A1C137}"/>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3639CDED-9B1B-4493-9508-E53AE299452C}"/>
    <cellStyle name="Normal 8 3 3 2 2 2 3" xfId="11649" xr:uid="{7E49D6EE-F434-40B6-B976-B29652731F0A}"/>
    <cellStyle name="Normal 8 3 3 2 2 3" xfId="5280" xr:uid="{00000000-0005-0000-0000-0000861D0000}"/>
    <cellStyle name="Normal 8 3 3 2 2 3 2" xfId="13722" xr:uid="{CC1EDA16-CBCB-4A8E-816D-B9A9B4924E61}"/>
    <cellStyle name="Normal 8 3 3 2 2 4" xfId="9504" xr:uid="{45F11F3F-27B8-4A30-BD61-CFAE6803ABF4}"/>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4F2746D2-BB73-4D63-B5B5-CB307A268DAA}"/>
    <cellStyle name="Normal 8 3 3 2 3 2 3" xfId="12062" xr:uid="{01B889F2-41E3-4004-8B4B-FA0FF9D6015E}"/>
    <cellStyle name="Normal 8 3 3 2 3 3" xfId="5693" xr:uid="{00000000-0005-0000-0000-00008A1D0000}"/>
    <cellStyle name="Normal 8 3 3 2 3 3 2" xfId="14135" xr:uid="{B7FE4D4D-4A0D-4876-B255-5042FE086E3A}"/>
    <cellStyle name="Normal 8 3 3 2 3 4" xfId="9917" xr:uid="{D851E446-E00E-4B8F-907E-3187A8177772}"/>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AFA01B72-D4AE-49AC-841F-18501F5BAE8E}"/>
    <cellStyle name="Normal 8 3 3 2 4 2 3" xfId="12475" xr:uid="{A8BBE782-5C39-4D42-A7CD-DDF8A4FFD2DD}"/>
    <cellStyle name="Normal 8 3 3 2 4 3" xfId="6106" xr:uid="{00000000-0005-0000-0000-00008E1D0000}"/>
    <cellStyle name="Normal 8 3 3 2 4 3 2" xfId="14548" xr:uid="{646BFA71-031F-401B-9650-DFA2BB1A75FE}"/>
    <cellStyle name="Normal 8 3 3 2 4 4" xfId="10330" xr:uid="{CA3AA9C6-3B97-4023-BCBB-778FFB0EDB44}"/>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296A8ED0-5D9C-4CF6-8CC3-596DEFF3DFBD}"/>
    <cellStyle name="Normal 8 3 3 2 5 2 3" xfId="12888" xr:uid="{244B4021-C239-402E-B29C-C05F7B0D9D9C}"/>
    <cellStyle name="Normal 8 3 3 2 5 3" xfId="6519" xr:uid="{00000000-0005-0000-0000-0000921D0000}"/>
    <cellStyle name="Normal 8 3 3 2 5 3 2" xfId="14961" xr:uid="{0548027C-6763-4BAE-8C30-5472A9398A5B}"/>
    <cellStyle name="Normal 8 3 3 2 5 4" xfId="10743" xr:uid="{68DAE18B-729D-4F7C-83A3-68D5EF55BF1C}"/>
    <cellStyle name="Normal 8 3 3 2 6" xfId="2648" xr:uid="{00000000-0005-0000-0000-0000931D0000}"/>
    <cellStyle name="Normal 8 3 3 2 6 2" xfId="6932" xr:uid="{00000000-0005-0000-0000-0000941D0000}"/>
    <cellStyle name="Normal 8 3 3 2 6 2 2" xfId="15374" xr:uid="{92EEC8FA-3B03-44F7-900E-549B80F22E29}"/>
    <cellStyle name="Normal 8 3 3 2 6 3" xfId="11156" xr:uid="{4AE819B1-16AB-41BA-B5EB-7C56F92D3940}"/>
    <cellStyle name="Normal 8 3 3 2 7" xfId="4867" xr:uid="{00000000-0005-0000-0000-0000951D0000}"/>
    <cellStyle name="Normal 8 3 3 2 7 2" xfId="13309" xr:uid="{8703332D-E0D2-4CDB-87E9-14F3C39CB3A7}"/>
    <cellStyle name="Normal 8 3 3 2 8" xfId="9091" xr:uid="{72E10B06-ADD1-4A35-8146-871A54999912}"/>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AE039376-2F3A-404F-8A85-24C0C00163FD}"/>
    <cellStyle name="Normal 8 3 3 3 2 3" xfId="11648" xr:uid="{8F740A67-6EF5-48EB-BA3D-B6D4DBF15DD7}"/>
    <cellStyle name="Normal 8 3 3 3 3" xfId="5279" xr:uid="{00000000-0005-0000-0000-0000991D0000}"/>
    <cellStyle name="Normal 8 3 3 3 3 2" xfId="13721" xr:uid="{B8E3F97A-44D1-4241-B661-7EB70DC177BE}"/>
    <cellStyle name="Normal 8 3 3 3 4" xfId="9503" xr:uid="{DA00A794-543C-4E35-BCD9-A58DF9F865E8}"/>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0FF3E763-F0E4-4B9F-9E41-45399C7CCB77}"/>
    <cellStyle name="Normal 8 3 3 4 2 3" xfId="12061" xr:uid="{1D1954C8-8DE6-490D-A620-691B00D65368}"/>
    <cellStyle name="Normal 8 3 3 4 3" xfId="5692" xr:uid="{00000000-0005-0000-0000-00009D1D0000}"/>
    <cellStyle name="Normal 8 3 3 4 3 2" xfId="14134" xr:uid="{F01B3BEC-5E87-4439-945D-39DB3B2848E1}"/>
    <cellStyle name="Normal 8 3 3 4 4" xfId="9916" xr:uid="{D0EDC7E1-4638-412A-805E-B34961D4951A}"/>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5EBBF3E4-6E2F-46B2-99E3-D4C015A0BEBB}"/>
    <cellStyle name="Normal 8 3 3 5 2 3" xfId="12474" xr:uid="{84977A53-516B-44AA-BC44-14E4E8CB0F0E}"/>
    <cellStyle name="Normal 8 3 3 5 3" xfId="6105" xr:uid="{00000000-0005-0000-0000-0000A11D0000}"/>
    <cellStyle name="Normal 8 3 3 5 3 2" xfId="14547" xr:uid="{3F0D0D4B-E930-492E-B173-590C4705B591}"/>
    <cellStyle name="Normal 8 3 3 5 4" xfId="10329" xr:uid="{E2E3FDD8-BC8F-46D8-8EE3-E411E1800ADA}"/>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77FF2D5F-E6F8-413A-98D4-1C8EF352C94D}"/>
    <cellStyle name="Normal 8 3 3 6 2 3" xfId="12887" xr:uid="{0BA9572B-763C-4392-837D-D0A15C3EA69D}"/>
    <cellStyle name="Normal 8 3 3 6 3" xfId="6518" xr:uid="{00000000-0005-0000-0000-0000A51D0000}"/>
    <cellStyle name="Normal 8 3 3 6 3 2" xfId="14960" xr:uid="{EA53635F-4C5B-4522-9263-F3CFB218FB3F}"/>
    <cellStyle name="Normal 8 3 3 6 4" xfId="10742" xr:uid="{3D2DB4D2-0F57-4A4E-9F57-37DF3995244C}"/>
    <cellStyle name="Normal 8 3 3 7" xfId="2647" xr:uid="{00000000-0005-0000-0000-0000A61D0000}"/>
    <cellStyle name="Normal 8 3 3 7 2" xfId="6931" xr:uid="{00000000-0005-0000-0000-0000A71D0000}"/>
    <cellStyle name="Normal 8 3 3 7 2 2" xfId="15373" xr:uid="{D3B844C4-2480-4CF3-8B8B-B222615C34CE}"/>
    <cellStyle name="Normal 8 3 3 7 3" xfId="11155" xr:uid="{AD325391-1DA9-4ABE-9846-A222AC02CEAB}"/>
    <cellStyle name="Normal 8 3 3 8" xfId="4866" xr:uid="{00000000-0005-0000-0000-0000A81D0000}"/>
    <cellStyle name="Normal 8 3 3 8 2" xfId="13308" xr:uid="{3EB063F4-2FEF-4B0D-8D2E-3C9000C03C0A}"/>
    <cellStyle name="Normal 8 3 3 9" xfId="9090" xr:uid="{755FF4D9-D238-4214-8742-575640AF475D}"/>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3BD3DD94-E36E-4EBF-8C2A-83ECDE129D55}"/>
    <cellStyle name="Normal 8 3 4 2 2 3" xfId="11650" xr:uid="{C40DA6FB-7AF9-4781-8AA2-37F3EA525380}"/>
    <cellStyle name="Normal 8 3 4 2 3" xfId="5281" xr:uid="{00000000-0005-0000-0000-0000AD1D0000}"/>
    <cellStyle name="Normal 8 3 4 2 3 2" xfId="13723" xr:uid="{0E42C301-0116-4B61-8AAD-954E9718FFBF}"/>
    <cellStyle name="Normal 8 3 4 2 4" xfId="9505" xr:uid="{BD0A3A52-0486-43B3-8FE9-138E77209046}"/>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DC7955C5-0762-48C7-9EA7-9B8346305BF3}"/>
    <cellStyle name="Normal 8 3 4 3 2 3" xfId="12063" xr:uid="{228D1E25-D7AF-4C45-A08A-952A4088D54D}"/>
    <cellStyle name="Normal 8 3 4 3 3" xfId="5694" xr:uid="{00000000-0005-0000-0000-0000B11D0000}"/>
    <cellStyle name="Normal 8 3 4 3 3 2" xfId="14136" xr:uid="{15086FAC-9C0A-4B2F-966F-D8DC34EC224D}"/>
    <cellStyle name="Normal 8 3 4 3 4" xfId="9918" xr:uid="{E5AF5C62-444F-48ED-8DF9-7146F29135DC}"/>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5020A8A2-7368-4FC4-895F-0F2D40502D93}"/>
    <cellStyle name="Normal 8 3 4 4 2 3" xfId="12476" xr:uid="{0F715D00-7FEA-40D4-9D53-5B2C2071C61F}"/>
    <cellStyle name="Normal 8 3 4 4 3" xfId="6107" xr:uid="{00000000-0005-0000-0000-0000B51D0000}"/>
    <cellStyle name="Normal 8 3 4 4 3 2" xfId="14549" xr:uid="{59A95B9E-4516-46D3-866F-CC3B89E424BD}"/>
    <cellStyle name="Normal 8 3 4 4 4" xfId="10331" xr:uid="{43F5880C-540D-4854-8B16-8FB3C2B704C7}"/>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C219966E-5EE7-4A1F-A1B2-B3EBACDFC5BD}"/>
    <cellStyle name="Normal 8 3 4 5 2 3" xfId="12889" xr:uid="{8F0B8411-1677-4E1E-9AA0-4E365E6EF32D}"/>
    <cellStyle name="Normal 8 3 4 5 3" xfId="6520" xr:uid="{00000000-0005-0000-0000-0000B91D0000}"/>
    <cellStyle name="Normal 8 3 4 5 3 2" xfId="14962" xr:uid="{ABD001F2-19D4-4B39-9EC4-D104EF79AF08}"/>
    <cellStyle name="Normal 8 3 4 5 4" xfId="10744" xr:uid="{2755E2A9-B559-4511-A1C8-EF700F525EC1}"/>
    <cellStyle name="Normal 8 3 4 6" xfId="2649" xr:uid="{00000000-0005-0000-0000-0000BA1D0000}"/>
    <cellStyle name="Normal 8 3 4 6 2" xfId="6933" xr:uid="{00000000-0005-0000-0000-0000BB1D0000}"/>
    <cellStyle name="Normal 8 3 4 6 2 2" xfId="15375" xr:uid="{3FDA579E-0971-42E8-AF43-3BF40CE9FEE3}"/>
    <cellStyle name="Normal 8 3 4 6 3" xfId="11157" xr:uid="{9B78F4F5-5154-4CCB-AA97-F5DD53217C7B}"/>
    <cellStyle name="Normal 8 3 4 7" xfId="4868" xr:uid="{00000000-0005-0000-0000-0000BC1D0000}"/>
    <cellStyle name="Normal 8 3 4 7 2" xfId="13310" xr:uid="{65E785EA-67D4-415B-A8E5-5724326AFC11}"/>
    <cellStyle name="Normal 8 3 4 8" xfId="9092" xr:uid="{910BD2C9-69E2-4B4E-AE5B-0F58ED38FE67}"/>
    <cellStyle name="Normal 8 3 5" xfId="962" xr:uid="{00000000-0005-0000-0000-0000BD1D0000}"/>
    <cellStyle name="Normal 8 3 5 2" xfId="3196" xr:uid="{00000000-0005-0000-0000-0000BE1D0000}"/>
    <cellStyle name="Normal 8 3 5 2 2" xfId="7419" xr:uid="{00000000-0005-0000-0000-0000BF1D0000}"/>
    <cellStyle name="Normal 8 3 5 2 2 2" xfId="15861" xr:uid="{12C1FF82-6259-41FB-8264-19A3906E6F74}"/>
    <cellStyle name="Normal 8 3 5 2 3" xfId="11643" xr:uid="{9CD54E27-CAE4-42B2-A2E0-2698C19630C5}"/>
    <cellStyle name="Normal 8 3 5 3" xfId="5274" xr:uid="{00000000-0005-0000-0000-0000C01D0000}"/>
    <cellStyle name="Normal 8 3 5 3 2" xfId="13716" xr:uid="{12694498-899C-48C3-845F-B4CAC4FC792B}"/>
    <cellStyle name="Normal 8 3 5 4" xfId="9498" xr:uid="{280F2B48-0D3F-4519-A51C-097E1F7CD9D2}"/>
    <cellStyle name="Normal 8 3 6" xfId="1379" xr:uid="{00000000-0005-0000-0000-0000C11D0000}"/>
    <cellStyle name="Normal 8 3 6 2" xfId="3609" xr:uid="{00000000-0005-0000-0000-0000C21D0000}"/>
    <cellStyle name="Normal 8 3 6 2 2" xfId="7832" xr:uid="{00000000-0005-0000-0000-0000C31D0000}"/>
    <cellStyle name="Normal 8 3 6 2 2 2" xfId="16274" xr:uid="{DAB68296-F1CE-4DBA-89B4-2CB0A1642416}"/>
    <cellStyle name="Normal 8 3 6 2 3" xfId="12056" xr:uid="{CFA58F0F-4623-4C49-BA92-DFF2C6A02626}"/>
    <cellStyle name="Normal 8 3 6 3" xfId="5687" xr:uid="{00000000-0005-0000-0000-0000C41D0000}"/>
    <cellStyle name="Normal 8 3 6 3 2" xfId="14129" xr:uid="{E2019942-8F0D-498B-9D88-3D09637B9C06}"/>
    <cellStyle name="Normal 8 3 6 4" xfId="9911" xr:uid="{0B86511B-FC3B-434F-8B72-66171610FC9C}"/>
    <cellStyle name="Normal 8 3 7" xfId="1792" xr:uid="{00000000-0005-0000-0000-0000C51D0000}"/>
    <cellStyle name="Normal 8 3 7 2" xfId="4022" xr:uid="{00000000-0005-0000-0000-0000C61D0000}"/>
    <cellStyle name="Normal 8 3 7 2 2" xfId="8245" xr:uid="{00000000-0005-0000-0000-0000C71D0000}"/>
    <cellStyle name="Normal 8 3 7 2 2 2" xfId="16687" xr:uid="{87BCFF81-6810-44D5-B450-65049FB0967F}"/>
    <cellStyle name="Normal 8 3 7 2 3" xfId="12469" xr:uid="{47D4199A-75C9-480C-9C2C-3A98D0D7F364}"/>
    <cellStyle name="Normal 8 3 7 3" xfId="6100" xr:uid="{00000000-0005-0000-0000-0000C81D0000}"/>
    <cellStyle name="Normal 8 3 7 3 2" xfId="14542" xr:uid="{3C6665F1-21B7-4847-944A-8DEC2C778307}"/>
    <cellStyle name="Normal 8 3 7 4" xfId="10324" xr:uid="{6D7BDBE9-453A-4973-8F32-59DA1E860334}"/>
    <cellStyle name="Normal 8 3 8" xfId="2206" xr:uid="{00000000-0005-0000-0000-0000C91D0000}"/>
    <cellStyle name="Normal 8 3 8 2" xfId="4435" xr:uid="{00000000-0005-0000-0000-0000CA1D0000}"/>
    <cellStyle name="Normal 8 3 8 2 2" xfId="8658" xr:uid="{00000000-0005-0000-0000-0000CB1D0000}"/>
    <cellStyle name="Normal 8 3 8 2 2 2" xfId="17100" xr:uid="{41F0F4F6-7FCB-4000-A6A2-9105E2FA1F99}"/>
    <cellStyle name="Normal 8 3 8 2 3" xfId="12882" xr:uid="{B22256F6-2101-4517-9373-9703B9A2AE32}"/>
    <cellStyle name="Normal 8 3 8 3" xfId="6513" xr:uid="{00000000-0005-0000-0000-0000CC1D0000}"/>
    <cellStyle name="Normal 8 3 8 3 2" xfId="14955" xr:uid="{649C4135-B525-4C4B-BCEC-6F5E344700E8}"/>
    <cellStyle name="Normal 8 3 8 4" xfId="10737" xr:uid="{1EB49ABC-EE7B-453C-BD0D-74793DD45FF1}"/>
    <cellStyle name="Normal 8 3 9" xfId="2642" xr:uid="{00000000-0005-0000-0000-0000CD1D0000}"/>
    <cellStyle name="Normal 8 3 9 2" xfId="6926" xr:uid="{00000000-0005-0000-0000-0000CE1D0000}"/>
    <cellStyle name="Normal 8 3 9 2 2" xfId="15368" xr:uid="{F87C20EA-8A79-4F59-8F4A-12EFAC44C1D3}"/>
    <cellStyle name="Normal 8 3 9 3" xfId="11150" xr:uid="{B6B6D827-6041-4462-A43D-623066E7D35F}"/>
    <cellStyle name="Normal 8 4" xfId="503" xr:uid="{00000000-0005-0000-0000-0000CF1D0000}"/>
    <cellStyle name="Normal 8 4 10" xfId="9093" xr:uid="{E2165D34-0D93-4616-9567-6CA1349E0EF8}"/>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83C91969-CBB2-4802-87E2-2E6D99716FFB}"/>
    <cellStyle name="Normal 8 4 2 2 2 2 3" xfId="11653" xr:uid="{10F1D96F-064D-4EFD-8007-9EB037EFC0E9}"/>
    <cellStyle name="Normal 8 4 2 2 2 3" xfId="5284" xr:uid="{00000000-0005-0000-0000-0000D51D0000}"/>
    <cellStyle name="Normal 8 4 2 2 2 3 2" xfId="13726" xr:uid="{B0DCC711-297B-4D99-BCF8-19DDAA89EA8C}"/>
    <cellStyle name="Normal 8 4 2 2 2 4" xfId="9508" xr:uid="{6BF583B5-030E-450F-80C3-268A0EEB0430}"/>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3A67842D-AFFF-4A42-B26A-AD9A36245FF3}"/>
    <cellStyle name="Normal 8 4 2 2 3 2 3" xfId="12066" xr:uid="{67B191EA-65FD-4DD8-8F6C-9ADD918DB9D3}"/>
    <cellStyle name="Normal 8 4 2 2 3 3" xfId="5697" xr:uid="{00000000-0005-0000-0000-0000D91D0000}"/>
    <cellStyle name="Normal 8 4 2 2 3 3 2" xfId="14139" xr:uid="{C7EB1BC3-D605-4A98-83D8-0A81D34B9413}"/>
    <cellStyle name="Normal 8 4 2 2 3 4" xfId="9921" xr:uid="{62ACA846-2940-414F-A1EB-6B5914E84049}"/>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A0689999-1C26-48B4-A668-F7FE425CDAE0}"/>
    <cellStyle name="Normal 8 4 2 2 4 2 3" xfId="12479" xr:uid="{EDD1ED62-0A9F-4A8A-9690-1EE528F4A5E4}"/>
    <cellStyle name="Normal 8 4 2 2 4 3" xfId="6110" xr:uid="{00000000-0005-0000-0000-0000DD1D0000}"/>
    <cellStyle name="Normal 8 4 2 2 4 3 2" xfId="14552" xr:uid="{3C334411-A4C7-480E-99C2-9417E9173425}"/>
    <cellStyle name="Normal 8 4 2 2 4 4" xfId="10334" xr:uid="{FAB0E1CA-DFDC-4BBA-8589-8816DDAC5115}"/>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4C26E477-6983-428A-B176-6ACEA406E797}"/>
    <cellStyle name="Normal 8 4 2 2 5 2 3" xfId="12892" xr:uid="{9AC4D530-DBAB-4511-8968-C35CDE5BBB1D}"/>
    <cellStyle name="Normal 8 4 2 2 5 3" xfId="6523" xr:uid="{00000000-0005-0000-0000-0000E11D0000}"/>
    <cellStyle name="Normal 8 4 2 2 5 3 2" xfId="14965" xr:uid="{DDD28E2A-43ED-44EE-B79D-823DA07FDAC7}"/>
    <cellStyle name="Normal 8 4 2 2 5 4" xfId="10747" xr:uid="{65AEF52B-C09E-40E0-B242-A2D0CE6531E5}"/>
    <cellStyle name="Normal 8 4 2 2 6" xfId="2652" xr:uid="{00000000-0005-0000-0000-0000E21D0000}"/>
    <cellStyle name="Normal 8 4 2 2 6 2" xfId="6936" xr:uid="{00000000-0005-0000-0000-0000E31D0000}"/>
    <cellStyle name="Normal 8 4 2 2 6 2 2" xfId="15378" xr:uid="{9A5E72D7-59F6-4D5A-BBF3-335066C8D1C4}"/>
    <cellStyle name="Normal 8 4 2 2 6 3" xfId="11160" xr:uid="{FC1A1CC4-BF32-4214-ACDF-BFC7B8322F30}"/>
    <cellStyle name="Normal 8 4 2 2 7" xfId="4871" xr:uid="{00000000-0005-0000-0000-0000E41D0000}"/>
    <cellStyle name="Normal 8 4 2 2 7 2" xfId="13313" xr:uid="{E86973A8-87C7-4D32-A660-90842613CD1A}"/>
    <cellStyle name="Normal 8 4 2 2 8" xfId="9095" xr:uid="{48058B0D-B5D6-41E8-ABD5-875B424263D0}"/>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C3B1F820-9F78-4F25-BCDC-12F8142BF72B}"/>
    <cellStyle name="Normal 8 4 2 3 2 3" xfId="11652" xr:uid="{C32D4549-9BAB-4953-ABCC-54A2D6FDF848}"/>
    <cellStyle name="Normal 8 4 2 3 3" xfId="5283" xr:uid="{00000000-0005-0000-0000-0000E81D0000}"/>
    <cellStyle name="Normal 8 4 2 3 3 2" xfId="13725" xr:uid="{E76DB989-FDB2-4385-9A11-9EEE5724AAD0}"/>
    <cellStyle name="Normal 8 4 2 3 4" xfId="9507" xr:uid="{15E2EF05-A6F0-42D0-AA0E-8106CD6039ED}"/>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6A90ECB4-F809-4286-9E30-759ACC3CA456}"/>
    <cellStyle name="Normal 8 4 2 4 2 3" xfId="12065" xr:uid="{D8353849-ED32-4E4E-966D-21A29961D054}"/>
    <cellStyle name="Normal 8 4 2 4 3" xfId="5696" xr:uid="{00000000-0005-0000-0000-0000EC1D0000}"/>
    <cellStyle name="Normal 8 4 2 4 3 2" xfId="14138" xr:uid="{5757879C-E84A-4633-8742-DD469C937684}"/>
    <cellStyle name="Normal 8 4 2 4 4" xfId="9920" xr:uid="{D79EA48F-2113-4AC3-939F-0975B910673E}"/>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B25E8842-9230-45B8-9487-8D83FDABB321}"/>
    <cellStyle name="Normal 8 4 2 5 2 3" xfId="12478" xr:uid="{60572491-850E-42B4-A171-FD8F55DF2190}"/>
    <cellStyle name="Normal 8 4 2 5 3" xfId="6109" xr:uid="{00000000-0005-0000-0000-0000F01D0000}"/>
    <cellStyle name="Normal 8 4 2 5 3 2" xfId="14551" xr:uid="{728AFF61-7EF7-496A-833F-6B02E2A6A261}"/>
    <cellStyle name="Normal 8 4 2 5 4" xfId="10333" xr:uid="{6F0F24AF-5E48-4BF1-92EA-ED9C3EF164A3}"/>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19E017BD-6CF4-44D4-84CB-DE778AF5772F}"/>
    <cellStyle name="Normal 8 4 2 6 2 3" xfId="12891" xr:uid="{426894A5-B853-4205-A084-D935D4A2DD00}"/>
    <cellStyle name="Normal 8 4 2 6 3" xfId="6522" xr:uid="{00000000-0005-0000-0000-0000F41D0000}"/>
    <cellStyle name="Normal 8 4 2 6 3 2" xfId="14964" xr:uid="{1E500882-3C7B-4E3F-92D7-BCDD06ADEFE1}"/>
    <cellStyle name="Normal 8 4 2 6 4" xfId="10746" xr:uid="{B05EE7EF-7C31-4AF4-AF64-9146DDAD21A4}"/>
    <cellStyle name="Normal 8 4 2 7" xfId="2651" xr:uid="{00000000-0005-0000-0000-0000F51D0000}"/>
    <cellStyle name="Normal 8 4 2 7 2" xfId="6935" xr:uid="{00000000-0005-0000-0000-0000F61D0000}"/>
    <cellStyle name="Normal 8 4 2 7 2 2" xfId="15377" xr:uid="{19B42DD3-6971-4B95-A36A-55AA68D3DD74}"/>
    <cellStyle name="Normal 8 4 2 7 3" xfId="11159" xr:uid="{4F9ECCDD-7278-4B80-8674-9B2E538C383D}"/>
    <cellStyle name="Normal 8 4 2 8" xfId="4870" xr:uid="{00000000-0005-0000-0000-0000F71D0000}"/>
    <cellStyle name="Normal 8 4 2 8 2" xfId="13312" xr:uid="{CA13C0AF-7839-4098-AD54-F00DED51255E}"/>
    <cellStyle name="Normal 8 4 2 9" xfId="9094" xr:uid="{16074A05-73AE-4A2C-A8DA-5D3B3F678E96}"/>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1FA83702-DFC9-4354-81B8-55AC183060E3}"/>
    <cellStyle name="Normal 8 4 3 2 2 3" xfId="11654" xr:uid="{371794DE-86C9-42F9-8181-1C8DE52D556E}"/>
    <cellStyle name="Normal 8 4 3 2 3" xfId="5285" xr:uid="{00000000-0005-0000-0000-0000FC1D0000}"/>
    <cellStyle name="Normal 8 4 3 2 3 2" xfId="13727" xr:uid="{ED7E6927-9FF3-4EFE-AE38-982BC7181A3B}"/>
    <cellStyle name="Normal 8 4 3 2 4" xfId="9509" xr:uid="{31E47149-DCDB-498E-AA21-212ACD28107F}"/>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86A010C2-218A-4E98-ABC2-64D558DAE713}"/>
    <cellStyle name="Normal 8 4 3 3 2 3" xfId="12067" xr:uid="{CDD8058B-9905-431F-B68A-4C1032DDAA1C}"/>
    <cellStyle name="Normal 8 4 3 3 3" xfId="5698" xr:uid="{00000000-0005-0000-0000-0000001E0000}"/>
    <cellStyle name="Normal 8 4 3 3 3 2" xfId="14140" xr:uid="{E7F146A1-6433-4E31-99A9-8192A36BA324}"/>
    <cellStyle name="Normal 8 4 3 3 4" xfId="9922" xr:uid="{69FED83B-DC12-4D2F-920E-2758ECBBEB99}"/>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6DEF89AB-CF08-48B3-87BB-237D7F3E1565}"/>
    <cellStyle name="Normal 8 4 3 4 2 3" xfId="12480" xr:uid="{0ACE4481-B897-4FB3-866A-8659C3DC5E54}"/>
    <cellStyle name="Normal 8 4 3 4 3" xfId="6111" xr:uid="{00000000-0005-0000-0000-0000041E0000}"/>
    <cellStyle name="Normal 8 4 3 4 3 2" xfId="14553" xr:uid="{52FFD110-139E-4D88-A2B1-38400961D4AD}"/>
    <cellStyle name="Normal 8 4 3 4 4" xfId="10335" xr:uid="{66763F99-ED3D-4916-870F-46E5A7F4F10B}"/>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0583B05B-E400-465A-9A93-293C98DA5142}"/>
    <cellStyle name="Normal 8 4 3 5 2 3" xfId="12893" xr:uid="{CA385267-0948-4C73-AA4E-6706B6B2D66B}"/>
    <cellStyle name="Normal 8 4 3 5 3" xfId="6524" xr:uid="{00000000-0005-0000-0000-0000081E0000}"/>
    <cellStyle name="Normal 8 4 3 5 3 2" xfId="14966" xr:uid="{7FB1295B-5A1B-42DB-B667-3D43D77571AF}"/>
    <cellStyle name="Normal 8 4 3 5 4" xfId="10748" xr:uid="{84224288-ED00-42F2-BACC-05B60E7B20F4}"/>
    <cellStyle name="Normal 8 4 3 6" xfId="2653" xr:uid="{00000000-0005-0000-0000-0000091E0000}"/>
    <cellStyle name="Normal 8 4 3 6 2" xfId="6937" xr:uid="{00000000-0005-0000-0000-00000A1E0000}"/>
    <cellStyle name="Normal 8 4 3 6 2 2" xfId="15379" xr:uid="{9822BA01-1CB4-4F50-A2DA-94264E239FF6}"/>
    <cellStyle name="Normal 8 4 3 6 3" xfId="11161" xr:uid="{20AB53D0-FBC2-449E-8B7A-D0F8F35810D2}"/>
    <cellStyle name="Normal 8 4 3 7" xfId="4872" xr:uid="{00000000-0005-0000-0000-00000B1E0000}"/>
    <cellStyle name="Normal 8 4 3 7 2" xfId="13314" xr:uid="{2CE0DC23-6DB9-4F8C-9FAB-A4C31B7F066A}"/>
    <cellStyle name="Normal 8 4 3 8" xfId="9096" xr:uid="{B2AF8A9C-C80A-47A0-A679-2CBE496A7EAE}"/>
    <cellStyle name="Normal 8 4 4" xfId="970" xr:uid="{00000000-0005-0000-0000-00000C1E0000}"/>
    <cellStyle name="Normal 8 4 4 2" xfId="3204" xr:uid="{00000000-0005-0000-0000-00000D1E0000}"/>
    <cellStyle name="Normal 8 4 4 2 2" xfId="7427" xr:uid="{00000000-0005-0000-0000-00000E1E0000}"/>
    <cellStyle name="Normal 8 4 4 2 2 2" xfId="15869" xr:uid="{E823303E-686B-4ED1-949B-45967AB0CB4B}"/>
    <cellStyle name="Normal 8 4 4 2 3" xfId="11651" xr:uid="{E0F5E152-310A-4383-BE82-545727E59276}"/>
    <cellStyle name="Normal 8 4 4 3" xfId="5282" xr:uid="{00000000-0005-0000-0000-00000F1E0000}"/>
    <cellStyle name="Normal 8 4 4 3 2" xfId="13724" xr:uid="{6AC358A6-28B4-4A16-B888-0B9F75F2F29C}"/>
    <cellStyle name="Normal 8 4 4 4" xfId="9506" xr:uid="{DD4CBD85-8BEF-4455-9B2A-D691CB2D6799}"/>
    <cellStyle name="Normal 8 4 5" xfId="1387" xr:uid="{00000000-0005-0000-0000-0000101E0000}"/>
    <cellStyle name="Normal 8 4 5 2" xfId="3617" xr:uid="{00000000-0005-0000-0000-0000111E0000}"/>
    <cellStyle name="Normal 8 4 5 2 2" xfId="7840" xr:uid="{00000000-0005-0000-0000-0000121E0000}"/>
    <cellStyle name="Normal 8 4 5 2 2 2" xfId="16282" xr:uid="{1537D88D-7AB7-4F8F-8D57-52629077147E}"/>
    <cellStyle name="Normal 8 4 5 2 3" xfId="12064" xr:uid="{3ECEB828-46C6-49D1-AAD6-4741C58026AE}"/>
    <cellStyle name="Normal 8 4 5 3" xfId="5695" xr:uid="{00000000-0005-0000-0000-0000131E0000}"/>
    <cellStyle name="Normal 8 4 5 3 2" xfId="14137" xr:uid="{E981EBB2-5FBB-401D-9AA1-AE110BF3150D}"/>
    <cellStyle name="Normal 8 4 5 4" xfId="9919" xr:uid="{46191482-E664-4A00-96F7-CF05E2DAC81C}"/>
    <cellStyle name="Normal 8 4 6" xfId="1800" xr:uid="{00000000-0005-0000-0000-0000141E0000}"/>
    <cellStyle name="Normal 8 4 6 2" xfId="4030" xr:uid="{00000000-0005-0000-0000-0000151E0000}"/>
    <cellStyle name="Normal 8 4 6 2 2" xfId="8253" xr:uid="{00000000-0005-0000-0000-0000161E0000}"/>
    <cellStyle name="Normal 8 4 6 2 2 2" xfId="16695" xr:uid="{B9ED5803-2C08-43AC-9FA8-27C9FA54DB6B}"/>
    <cellStyle name="Normal 8 4 6 2 3" xfId="12477" xr:uid="{D2FACAE8-BD1D-4031-9492-37C35B1756A0}"/>
    <cellStyle name="Normal 8 4 6 3" xfId="6108" xr:uid="{00000000-0005-0000-0000-0000171E0000}"/>
    <cellStyle name="Normal 8 4 6 3 2" xfId="14550" xr:uid="{BDC692A2-63E4-4EED-B980-FE520822419C}"/>
    <cellStyle name="Normal 8 4 6 4" xfId="10332" xr:uid="{310443D0-8AA9-4B9B-8CB9-D81193DC0A29}"/>
    <cellStyle name="Normal 8 4 7" xfId="2214" xr:uid="{00000000-0005-0000-0000-0000181E0000}"/>
    <cellStyle name="Normal 8 4 7 2" xfId="4443" xr:uid="{00000000-0005-0000-0000-0000191E0000}"/>
    <cellStyle name="Normal 8 4 7 2 2" xfId="8666" xr:uid="{00000000-0005-0000-0000-00001A1E0000}"/>
    <cellStyle name="Normal 8 4 7 2 2 2" xfId="17108" xr:uid="{EA146AEB-1486-4EC7-8E5E-E4F0B9E52206}"/>
    <cellStyle name="Normal 8 4 7 2 3" xfId="12890" xr:uid="{FB4A03FF-CC5E-4102-A113-EF4321CC940C}"/>
    <cellStyle name="Normal 8 4 7 3" xfId="6521" xr:uid="{00000000-0005-0000-0000-00001B1E0000}"/>
    <cellStyle name="Normal 8 4 7 3 2" xfId="14963" xr:uid="{7FB231C4-8E6C-4F2B-95FA-72B91E8C6399}"/>
    <cellStyle name="Normal 8 4 7 4" xfId="10745" xr:uid="{3352B5B8-085B-4983-8F41-B6178DDA08E0}"/>
    <cellStyle name="Normal 8 4 8" xfId="2650" xr:uid="{00000000-0005-0000-0000-00001C1E0000}"/>
    <cellStyle name="Normal 8 4 8 2" xfId="6934" xr:uid="{00000000-0005-0000-0000-00001D1E0000}"/>
    <cellStyle name="Normal 8 4 8 2 2" xfId="15376" xr:uid="{62DD0965-3330-442A-9DB9-6B7899D2F48E}"/>
    <cellStyle name="Normal 8 4 8 3" xfId="11158" xr:uid="{3FDD7A07-0CF4-48D9-9C85-088F31C6B206}"/>
    <cellStyle name="Normal 8 4 9" xfId="4869" xr:uid="{00000000-0005-0000-0000-00001E1E0000}"/>
    <cellStyle name="Normal 8 4 9 2" xfId="13311" xr:uid="{0912FE5E-8255-42CE-89C8-EF4053D7AAAB}"/>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0EA10200-2AFC-4BE1-855B-309F5880EDEF}"/>
    <cellStyle name="Normal 8 5 2 2 2 3" xfId="11656" xr:uid="{8FA012A5-D892-4421-9EC1-714B0C3B83A9}"/>
    <cellStyle name="Normal 8 5 2 2 3" xfId="5287" xr:uid="{00000000-0005-0000-0000-0000241E0000}"/>
    <cellStyle name="Normal 8 5 2 2 3 2" xfId="13729" xr:uid="{B6900812-C789-4DC2-98FB-ABCB0E4B2913}"/>
    <cellStyle name="Normal 8 5 2 2 4" xfId="9511" xr:uid="{E0F4DDA3-844E-4F01-B0F4-38B6DCDB2A49}"/>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1A782F01-DDAF-462D-8088-2E6E6C259989}"/>
    <cellStyle name="Normal 8 5 2 3 2 3" xfId="12069" xr:uid="{DA6A94C2-AF72-45A1-B3F5-34ACF3661894}"/>
    <cellStyle name="Normal 8 5 2 3 3" xfId="5700" xr:uid="{00000000-0005-0000-0000-0000281E0000}"/>
    <cellStyle name="Normal 8 5 2 3 3 2" xfId="14142" xr:uid="{CB99DE1D-E7D0-4D67-A4ED-3EBB2F1BC593}"/>
    <cellStyle name="Normal 8 5 2 3 4" xfId="9924" xr:uid="{5F57BB23-47B7-4E4B-8F1E-A2E8284765AD}"/>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DC1FA7DC-97E7-4EBF-B915-73DEF6AB1863}"/>
    <cellStyle name="Normal 8 5 2 4 2 3" xfId="12482" xr:uid="{EF1B7875-76A5-49E2-8330-862E14435033}"/>
    <cellStyle name="Normal 8 5 2 4 3" xfId="6113" xr:uid="{00000000-0005-0000-0000-00002C1E0000}"/>
    <cellStyle name="Normal 8 5 2 4 3 2" xfId="14555" xr:uid="{32786AD2-75B2-4362-8B38-07FB3EBBDAB3}"/>
    <cellStyle name="Normal 8 5 2 4 4" xfId="10337" xr:uid="{C4D77E3C-05C9-4408-9786-3F8A162382B9}"/>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90BC84E2-7D66-482A-B6FA-EE26B744414A}"/>
    <cellStyle name="Normal 8 5 2 5 2 3" xfId="12895" xr:uid="{78A81094-0316-4B81-BF66-E80C6C86C8FE}"/>
    <cellStyle name="Normal 8 5 2 5 3" xfId="6526" xr:uid="{00000000-0005-0000-0000-0000301E0000}"/>
    <cellStyle name="Normal 8 5 2 5 3 2" xfId="14968" xr:uid="{7290F6C2-E7BD-4413-9C00-30A53D6648F2}"/>
    <cellStyle name="Normal 8 5 2 5 4" xfId="10750" xr:uid="{2DC62051-2F9C-4839-BB7B-2D257B621313}"/>
    <cellStyle name="Normal 8 5 2 6" xfId="2655" xr:uid="{00000000-0005-0000-0000-0000311E0000}"/>
    <cellStyle name="Normal 8 5 2 6 2" xfId="6939" xr:uid="{00000000-0005-0000-0000-0000321E0000}"/>
    <cellStyle name="Normal 8 5 2 6 2 2" xfId="15381" xr:uid="{9D8517E5-239B-4C4D-9DF9-B9A376E5DFCD}"/>
    <cellStyle name="Normal 8 5 2 6 3" xfId="11163" xr:uid="{C1B23AC3-92F8-45A6-A47F-74042CD90922}"/>
    <cellStyle name="Normal 8 5 2 7" xfId="4874" xr:uid="{00000000-0005-0000-0000-0000331E0000}"/>
    <cellStyle name="Normal 8 5 2 7 2" xfId="13316" xr:uid="{03AF4BD7-DA9B-4E9B-99A1-D6131FD03888}"/>
    <cellStyle name="Normal 8 5 2 8" xfId="9098" xr:uid="{DABC1FED-49BA-4069-80A8-0D2F40FA37D4}"/>
    <cellStyle name="Normal 8 5 3" xfId="974" xr:uid="{00000000-0005-0000-0000-0000341E0000}"/>
    <cellStyle name="Normal 8 5 3 2" xfId="3208" xr:uid="{00000000-0005-0000-0000-0000351E0000}"/>
    <cellStyle name="Normal 8 5 3 2 2" xfId="7431" xr:uid="{00000000-0005-0000-0000-0000361E0000}"/>
    <cellStyle name="Normal 8 5 3 2 2 2" xfId="15873" xr:uid="{CBFF8115-1731-418C-AD77-B1852B40ED6A}"/>
    <cellStyle name="Normal 8 5 3 2 3" xfId="11655" xr:uid="{4594AF56-9094-42A3-B8AB-C48BC2F41469}"/>
    <cellStyle name="Normal 8 5 3 3" xfId="5286" xr:uid="{00000000-0005-0000-0000-0000371E0000}"/>
    <cellStyle name="Normal 8 5 3 3 2" xfId="13728" xr:uid="{192CCD63-8365-4B1D-8381-5DFA901C49F3}"/>
    <cellStyle name="Normal 8 5 3 4" xfId="9510" xr:uid="{F2581C00-EFE3-49DE-A6AA-2D5D59F699BD}"/>
    <cellStyle name="Normal 8 5 4" xfId="1391" xr:uid="{00000000-0005-0000-0000-0000381E0000}"/>
    <cellStyle name="Normal 8 5 4 2" xfId="3621" xr:uid="{00000000-0005-0000-0000-0000391E0000}"/>
    <cellStyle name="Normal 8 5 4 2 2" xfId="7844" xr:uid="{00000000-0005-0000-0000-00003A1E0000}"/>
    <cellStyle name="Normal 8 5 4 2 2 2" xfId="16286" xr:uid="{ACE8CE5B-4F0F-430C-97E0-4B3E52A92EC9}"/>
    <cellStyle name="Normal 8 5 4 2 3" xfId="12068" xr:uid="{54C33F12-E812-4DFB-ADC7-74053BCE1B10}"/>
    <cellStyle name="Normal 8 5 4 3" xfId="5699" xr:uid="{00000000-0005-0000-0000-00003B1E0000}"/>
    <cellStyle name="Normal 8 5 4 3 2" xfId="14141" xr:uid="{B22C50BB-47BA-49F2-B9FF-4DD8D923A099}"/>
    <cellStyle name="Normal 8 5 4 4" xfId="9923" xr:uid="{C4B3273E-5693-4064-A95C-97F454366062}"/>
    <cellStyle name="Normal 8 5 5" xfId="1804" xr:uid="{00000000-0005-0000-0000-00003C1E0000}"/>
    <cellStyle name="Normal 8 5 5 2" xfId="4034" xr:uid="{00000000-0005-0000-0000-00003D1E0000}"/>
    <cellStyle name="Normal 8 5 5 2 2" xfId="8257" xr:uid="{00000000-0005-0000-0000-00003E1E0000}"/>
    <cellStyle name="Normal 8 5 5 2 2 2" xfId="16699" xr:uid="{1C21911F-10BE-4D2C-A58B-A0E13C298EC1}"/>
    <cellStyle name="Normal 8 5 5 2 3" xfId="12481" xr:uid="{0D37C97C-2D87-45CB-AF38-EC00A5BF2075}"/>
    <cellStyle name="Normal 8 5 5 3" xfId="6112" xr:uid="{00000000-0005-0000-0000-00003F1E0000}"/>
    <cellStyle name="Normal 8 5 5 3 2" xfId="14554" xr:uid="{5CE627B1-F06C-412B-8098-248B8D0E485F}"/>
    <cellStyle name="Normal 8 5 5 4" xfId="10336" xr:uid="{20175B9A-AB99-42B9-AA11-C6551C67930A}"/>
    <cellStyle name="Normal 8 5 6" xfId="2218" xr:uid="{00000000-0005-0000-0000-0000401E0000}"/>
    <cellStyle name="Normal 8 5 6 2" xfId="4447" xr:uid="{00000000-0005-0000-0000-0000411E0000}"/>
    <cellStyle name="Normal 8 5 6 2 2" xfId="8670" xr:uid="{00000000-0005-0000-0000-0000421E0000}"/>
    <cellStyle name="Normal 8 5 6 2 2 2" xfId="17112" xr:uid="{4E16548B-9F02-4A3B-862E-251CC2560EB3}"/>
    <cellStyle name="Normal 8 5 6 2 3" xfId="12894" xr:uid="{CA0CB518-0056-4F47-92D5-6AFB4F6D9473}"/>
    <cellStyle name="Normal 8 5 6 3" xfId="6525" xr:uid="{00000000-0005-0000-0000-0000431E0000}"/>
    <cellStyle name="Normal 8 5 6 3 2" xfId="14967" xr:uid="{FF41CEE2-FDF1-4E73-A6D9-A0C3D7B27097}"/>
    <cellStyle name="Normal 8 5 6 4" xfId="10749" xr:uid="{66249582-83D4-42D0-A5F7-E8559B3508C4}"/>
    <cellStyle name="Normal 8 5 7" xfId="2654" xr:uid="{00000000-0005-0000-0000-0000441E0000}"/>
    <cellStyle name="Normal 8 5 7 2" xfId="6938" xr:uid="{00000000-0005-0000-0000-0000451E0000}"/>
    <cellStyle name="Normal 8 5 7 2 2" xfId="15380" xr:uid="{9DC5843E-DAE6-4AF5-81B0-9788A6ABEED2}"/>
    <cellStyle name="Normal 8 5 7 3" xfId="11162" xr:uid="{9837369C-E6D9-4462-A310-F7C47D5EC6B3}"/>
    <cellStyle name="Normal 8 5 8" xfId="4873" xr:uid="{00000000-0005-0000-0000-0000461E0000}"/>
    <cellStyle name="Normal 8 5 8 2" xfId="13315" xr:uid="{A3B9DADB-5871-4552-AEDB-26FEEBA96930}"/>
    <cellStyle name="Normal 8 5 9" xfId="9097" xr:uid="{B6B23AF3-BB64-4636-AD5E-22DCC763AE3D}"/>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C5F5E04D-557E-4771-8335-165568B7C10E}"/>
    <cellStyle name="Normal 8 6 2 2 3" xfId="11657" xr:uid="{9B76C066-973F-465D-BBF4-79055DA5CDC1}"/>
    <cellStyle name="Normal 8 6 2 3" xfId="5288" xr:uid="{00000000-0005-0000-0000-00004B1E0000}"/>
    <cellStyle name="Normal 8 6 2 3 2" xfId="13730" xr:uid="{A2656C74-08AF-4EAF-9883-76E6554F4CFB}"/>
    <cellStyle name="Normal 8 6 2 4" xfId="9512" xr:uid="{ED77AB11-C511-449D-B60B-8133B9ED29AC}"/>
    <cellStyle name="Normal 8 6 3" xfId="1393" xr:uid="{00000000-0005-0000-0000-00004C1E0000}"/>
    <cellStyle name="Normal 8 6 3 2" xfId="3623" xr:uid="{00000000-0005-0000-0000-00004D1E0000}"/>
    <cellStyle name="Normal 8 6 3 2 2" xfId="7846" xr:uid="{00000000-0005-0000-0000-00004E1E0000}"/>
    <cellStyle name="Normal 8 6 3 2 2 2" xfId="16288" xr:uid="{FC10ACCD-3338-4401-8007-6E651D27D794}"/>
    <cellStyle name="Normal 8 6 3 2 3" xfId="12070" xr:uid="{0ED3D2CE-D6BE-46C7-B05A-10FD02250A09}"/>
    <cellStyle name="Normal 8 6 3 3" xfId="5701" xr:uid="{00000000-0005-0000-0000-00004F1E0000}"/>
    <cellStyle name="Normal 8 6 3 3 2" xfId="14143" xr:uid="{2A816433-63EF-4A47-B9F4-F6F480DA9FDF}"/>
    <cellStyle name="Normal 8 6 3 4" xfId="9925" xr:uid="{0C57962C-D2DB-44EA-9644-46F1ED5716D1}"/>
    <cellStyle name="Normal 8 6 4" xfId="1806" xr:uid="{00000000-0005-0000-0000-0000501E0000}"/>
    <cellStyle name="Normal 8 6 4 2" xfId="4036" xr:uid="{00000000-0005-0000-0000-0000511E0000}"/>
    <cellStyle name="Normal 8 6 4 2 2" xfId="8259" xr:uid="{00000000-0005-0000-0000-0000521E0000}"/>
    <cellStyle name="Normal 8 6 4 2 2 2" xfId="16701" xr:uid="{33084F31-51FC-436D-8D9D-313B1371E15D}"/>
    <cellStyle name="Normal 8 6 4 2 3" xfId="12483" xr:uid="{45779FAE-8456-4A25-AAA6-558C3EFBBC33}"/>
    <cellStyle name="Normal 8 6 4 3" xfId="6114" xr:uid="{00000000-0005-0000-0000-0000531E0000}"/>
    <cellStyle name="Normal 8 6 4 3 2" xfId="14556" xr:uid="{B1382882-991B-4763-88CA-07C0F6DC50B9}"/>
    <cellStyle name="Normal 8 6 4 4" xfId="10338" xr:uid="{D9E5FDCA-5681-44B8-870B-01B6F0AAB2CC}"/>
    <cellStyle name="Normal 8 6 5" xfId="2220" xr:uid="{00000000-0005-0000-0000-0000541E0000}"/>
    <cellStyle name="Normal 8 6 5 2" xfId="4449" xr:uid="{00000000-0005-0000-0000-0000551E0000}"/>
    <cellStyle name="Normal 8 6 5 2 2" xfId="8672" xr:uid="{00000000-0005-0000-0000-0000561E0000}"/>
    <cellStyle name="Normal 8 6 5 2 2 2" xfId="17114" xr:uid="{344D810A-6F36-406B-9C97-1A9C4332C2AF}"/>
    <cellStyle name="Normal 8 6 5 2 3" xfId="12896" xr:uid="{EF36291B-E69C-4EB3-AD3D-6862198BB3F1}"/>
    <cellStyle name="Normal 8 6 5 3" xfId="6527" xr:uid="{00000000-0005-0000-0000-0000571E0000}"/>
    <cellStyle name="Normal 8 6 5 3 2" xfId="14969" xr:uid="{2D5DC684-2106-4B7B-B5A2-F16B1230CF21}"/>
    <cellStyle name="Normal 8 6 5 4" xfId="10751" xr:uid="{8454030C-9E65-4535-A85B-A9C006BC7B8B}"/>
    <cellStyle name="Normal 8 6 6" xfId="2656" xr:uid="{00000000-0005-0000-0000-0000581E0000}"/>
    <cellStyle name="Normal 8 6 6 2" xfId="6940" xr:uid="{00000000-0005-0000-0000-0000591E0000}"/>
    <cellStyle name="Normal 8 6 6 2 2" xfId="15382" xr:uid="{8A916ED7-EF1B-4FC8-8231-AA9018DA6340}"/>
    <cellStyle name="Normal 8 6 6 3" xfId="11164" xr:uid="{56B5F289-C61C-417F-A01D-ACAD0B8D29A8}"/>
    <cellStyle name="Normal 8 6 7" xfId="4875" xr:uid="{00000000-0005-0000-0000-00005A1E0000}"/>
    <cellStyle name="Normal 8 6 7 2" xfId="13317" xr:uid="{67645CC6-51DA-4ACC-BD7E-B10E04D30429}"/>
    <cellStyle name="Normal 8 6 8" xfId="9099" xr:uid="{10CB28D8-82F1-4F75-8101-749E7B5FCD42}"/>
    <cellStyle name="Normal 8 7" xfId="945" xr:uid="{00000000-0005-0000-0000-00005B1E0000}"/>
    <cellStyle name="Normal 8 7 2" xfId="3179" xr:uid="{00000000-0005-0000-0000-00005C1E0000}"/>
    <cellStyle name="Normal 8 7 2 2" xfId="7402" xr:uid="{00000000-0005-0000-0000-00005D1E0000}"/>
    <cellStyle name="Normal 8 7 2 2 2" xfId="15844" xr:uid="{EA4DC08E-A7C3-4306-B1A9-15B8C4E024CE}"/>
    <cellStyle name="Normal 8 7 2 3" xfId="11626" xr:uid="{98193B64-D8F4-435E-9D8E-FD483C64EECF}"/>
    <cellStyle name="Normal 8 7 3" xfId="5257" xr:uid="{00000000-0005-0000-0000-00005E1E0000}"/>
    <cellStyle name="Normal 8 7 3 2" xfId="13699" xr:uid="{1136CA84-DB51-4C07-B698-92AB8DBDF5EB}"/>
    <cellStyle name="Normal 8 7 4" xfId="9481" xr:uid="{6F4E1440-C104-4FAA-A0C1-FAD962EC10DB}"/>
    <cellStyle name="Normal 8 8" xfId="1362" xr:uid="{00000000-0005-0000-0000-00005F1E0000}"/>
    <cellStyle name="Normal 8 8 2" xfId="3592" xr:uid="{00000000-0005-0000-0000-0000601E0000}"/>
    <cellStyle name="Normal 8 8 2 2" xfId="7815" xr:uid="{00000000-0005-0000-0000-0000611E0000}"/>
    <cellStyle name="Normal 8 8 2 2 2" xfId="16257" xr:uid="{8AF62A35-E9F3-4E12-AE62-ED46DCD9B0AC}"/>
    <cellStyle name="Normal 8 8 2 3" xfId="12039" xr:uid="{1296BEA1-7B3A-487F-BAEE-25BB412A4ABA}"/>
    <cellStyle name="Normal 8 8 3" xfId="5670" xr:uid="{00000000-0005-0000-0000-0000621E0000}"/>
    <cellStyle name="Normal 8 8 3 2" xfId="14112" xr:uid="{541779F6-7B36-48B3-A4F9-9EABF0ECAA67}"/>
    <cellStyle name="Normal 8 8 4" xfId="9894" xr:uid="{264B6A3E-90AE-4595-B688-F147BD8E31C9}"/>
    <cellStyle name="Normal 8 9" xfId="1775" xr:uid="{00000000-0005-0000-0000-0000631E0000}"/>
    <cellStyle name="Normal 8 9 2" xfId="4005" xr:uid="{00000000-0005-0000-0000-0000641E0000}"/>
    <cellStyle name="Normal 8 9 2 2" xfId="8228" xr:uid="{00000000-0005-0000-0000-0000651E0000}"/>
    <cellStyle name="Normal 8 9 2 2 2" xfId="16670" xr:uid="{1BEEF9A5-520C-4A1C-BD1E-527241A8BF66}"/>
    <cellStyle name="Normal 8 9 2 3" xfId="12452" xr:uid="{7FB51427-3762-4F63-A3B0-F31F6A40DAFB}"/>
    <cellStyle name="Normal 8 9 3" xfId="6083" xr:uid="{00000000-0005-0000-0000-0000661E0000}"/>
    <cellStyle name="Normal 8 9 3 2" xfId="14525" xr:uid="{987B0F78-E8A4-46B1-AA13-F7176CAC8C8B}"/>
    <cellStyle name="Normal 8 9 4" xfId="10307" xr:uid="{B3A3958D-2437-4A26-BAA2-48D7AFC004CE}"/>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7E3DF578-EC37-4240-BB54-4CBD0D0A77E1}"/>
    <cellStyle name="Normal 9 2 10 3" xfId="11165" xr:uid="{C45633B7-6A37-48DE-BBAA-D8203E761540}"/>
    <cellStyle name="Normal 9 2 11" xfId="4876" xr:uid="{00000000-0005-0000-0000-00006B1E0000}"/>
    <cellStyle name="Normal 9 2 11 2" xfId="13318" xr:uid="{27F941D3-18F5-4279-B006-C2AD6565D3F7}"/>
    <cellStyle name="Normal 9 2 12" xfId="9100" xr:uid="{0F6D105F-C963-4491-AAB2-B072C3C18FEC}"/>
    <cellStyle name="Normal 9 2 2" xfId="512" xr:uid="{00000000-0005-0000-0000-00006C1E0000}"/>
    <cellStyle name="Normal 9 2 2 10" xfId="4877" xr:uid="{00000000-0005-0000-0000-00006D1E0000}"/>
    <cellStyle name="Normal 9 2 2 10 2" xfId="13319" xr:uid="{183F1042-1310-4424-9EBE-F766B2DA7CFE}"/>
    <cellStyle name="Normal 9 2 2 11" xfId="9101" xr:uid="{7CD0A44D-DD32-4745-BB31-9A66067697A3}"/>
    <cellStyle name="Normal 9 2 2 2" xfId="513" xr:uid="{00000000-0005-0000-0000-00006E1E0000}"/>
    <cellStyle name="Normal 9 2 2 2 10" xfId="9102" xr:uid="{6AEA44BE-69EF-4ACA-AEC2-B0E6B6C35054}"/>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A9D5094F-0BBF-4BD3-8535-D3431A79079A}"/>
    <cellStyle name="Normal 9 2 2 2 2 2 2 2 3" xfId="11662" xr:uid="{16D59D18-E2E0-46A4-8D9B-37A0357C5909}"/>
    <cellStyle name="Normal 9 2 2 2 2 2 2 3" xfId="5293" xr:uid="{00000000-0005-0000-0000-0000741E0000}"/>
    <cellStyle name="Normal 9 2 2 2 2 2 2 3 2" xfId="13735" xr:uid="{268A1948-2E44-48B1-B386-6D26206F5047}"/>
    <cellStyle name="Normal 9 2 2 2 2 2 2 4" xfId="9517" xr:uid="{23FEEEF2-2674-42D0-99A5-DC0A50D8F6BC}"/>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5B9F0C79-F4BB-4082-985B-7BA14DCEC38A}"/>
    <cellStyle name="Normal 9 2 2 2 2 2 3 2 3" xfId="12075" xr:uid="{C2D45280-D4CF-48C1-A9A9-9A2D0C7D7A68}"/>
    <cellStyle name="Normal 9 2 2 2 2 2 3 3" xfId="5706" xr:uid="{00000000-0005-0000-0000-0000781E0000}"/>
    <cellStyle name="Normal 9 2 2 2 2 2 3 3 2" xfId="14148" xr:uid="{46CDA2D6-F5D2-4C2F-A96B-40B0C807FD01}"/>
    <cellStyle name="Normal 9 2 2 2 2 2 3 4" xfId="9930" xr:uid="{2C29DCC7-60A4-4AAC-9C3A-0F48B50F0B28}"/>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0E0D59BC-0F47-4825-A47C-631B28E108C7}"/>
    <cellStyle name="Normal 9 2 2 2 2 2 4 2 3" xfId="12488" xr:uid="{FDE438CC-BA6C-4A6D-BF3F-E87EE27531B2}"/>
    <cellStyle name="Normal 9 2 2 2 2 2 4 3" xfId="6119" xr:uid="{00000000-0005-0000-0000-00007C1E0000}"/>
    <cellStyle name="Normal 9 2 2 2 2 2 4 3 2" xfId="14561" xr:uid="{71E99855-01C8-4535-939E-722504480718}"/>
    <cellStyle name="Normal 9 2 2 2 2 2 4 4" xfId="10343" xr:uid="{A983C858-77BF-40DB-A483-2DD680E9D6DD}"/>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8B309739-9C08-48AA-BC7D-F94F68056A21}"/>
    <cellStyle name="Normal 9 2 2 2 2 2 5 2 3" xfId="12901" xr:uid="{4AFB11F0-F285-43FB-8463-475812B10E75}"/>
    <cellStyle name="Normal 9 2 2 2 2 2 5 3" xfId="6532" xr:uid="{00000000-0005-0000-0000-0000801E0000}"/>
    <cellStyle name="Normal 9 2 2 2 2 2 5 3 2" xfId="14974" xr:uid="{60622A4A-93CF-4223-9A56-2AE92CCC268E}"/>
    <cellStyle name="Normal 9 2 2 2 2 2 5 4" xfId="10756" xr:uid="{F68297BA-0FDD-43C1-8FB8-E33CBABAC35C}"/>
    <cellStyle name="Normal 9 2 2 2 2 2 6" xfId="2661" xr:uid="{00000000-0005-0000-0000-0000811E0000}"/>
    <cellStyle name="Normal 9 2 2 2 2 2 6 2" xfId="6945" xr:uid="{00000000-0005-0000-0000-0000821E0000}"/>
    <cellStyle name="Normal 9 2 2 2 2 2 6 2 2" xfId="15387" xr:uid="{6DBD5962-C151-44FA-ADB1-412E88ED2C83}"/>
    <cellStyle name="Normal 9 2 2 2 2 2 6 3" xfId="11169" xr:uid="{A7DD95BB-5C70-4D1C-B4C8-DF4AAE6B7920}"/>
    <cellStyle name="Normal 9 2 2 2 2 2 7" xfId="4880" xr:uid="{00000000-0005-0000-0000-0000831E0000}"/>
    <cellStyle name="Normal 9 2 2 2 2 2 7 2" xfId="13322" xr:uid="{2C37937B-3C73-4F04-95F9-1D927E47B742}"/>
    <cellStyle name="Normal 9 2 2 2 2 2 8" xfId="9104" xr:uid="{4FC863D0-69B3-4387-81E5-73ADCAF4E30B}"/>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348BCF6F-B511-48A6-AC61-3D030C10EA81}"/>
    <cellStyle name="Normal 9 2 2 2 2 3 2 3" xfId="11661" xr:uid="{E3C2EBFB-8851-4994-AE01-681CF5897321}"/>
    <cellStyle name="Normal 9 2 2 2 2 3 3" xfId="5292" xr:uid="{00000000-0005-0000-0000-0000871E0000}"/>
    <cellStyle name="Normal 9 2 2 2 2 3 3 2" xfId="13734" xr:uid="{D3187A22-0AFC-433F-BC5D-B01B336DACFA}"/>
    <cellStyle name="Normal 9 2 2 2 2 3 4" xfId="9516" xr:uid="{6A0106A8-453F-48B0-8931-E22A9CB6CB47}"/>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A6D901F5-FBFA-4203-B2AC-06FB8EF2FA73}"/>
    <cellStyle name="Normal 9 2 2 2 2 4 2 3" xfId="12074" xr:uid="{4E4A391D-1104-40F2-B29D-5E0B3416680F}"/>
    <cellStyle name="Normal 9 2 2 2 2 4 3" xfId="5705" xr:uid="{00000000-0005-0000-0000-00008B1E0000}"/>
    <cellStyle name="Normal 9 2 2 2 2 4 3 2" xfId="14147" xr:uid="{81791D69-7F71-41DC-8262-94E178B55487}"/>
    <cellStyle name="Normal 9 2 2 2 2 4 4" xfId="9929" xr:uid="{08A60057-A49B-4162-9EEC-30F28150967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F191D59C-1ECA-498D-B14B-FD68F4FEA7C2}"/>
    <cellStyle name="Normal 9 2 2 2 2 5 2 3" xfId="12487" xr:uid="{85DDD683-0F4A-43EA-A5E5-A2A009048318}"/>
    <cellStyle name="Normal 9 2 2 2 2 5 3" xfId="6118" xr:uid="{00000000-0005-0000-0000-00008F1E0000}"/>
    <cellStyle name="Normal 9 2 2 2 2 5 3 2" xfId="14560" xr:uid="{AF287719-B8E1-4CC5-9A10-F0623DA03AA7}"/>
    <cellStyle name="Normal 9 2 2 2 2 5 4" xfId="10342" xr:uid="{10DE3151-65CF-46BE-8CEA-646299422923}"/>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BDFF0495-99F8-432D-9E56-74F22AC462D6}"/>
    <cellStyle name="Normal 9 2 2 2 2 6 2 3" xfId="12900" xr:uid="{22B5D002-BAB9-4F16-83AC-63E5777EACB1}"/>
    <cellStyle name="Normal 9 2 2 2 2 6 3" xfId="6531" xr:uid="{00000000-0005-0000-0000-0000931E0000}"/>
    <cellStyle name="Normal 9 2 2 2 2 6 3 2" xfId="14973" xr:uid="{99B23D80-673F-4768-9E6C-05E37F2A7424}"/>
    <cellStyle name="Normal 9 2 2 2 2 6 4" xfId="10755" xr:uid="{C63DA321-9757-4CA4-A4F8-69A5ABE2A741}"/>
    <cellStyle name="Normal 9 2 2 2 2 7" xfId="2660" xr:uid="{00000000-0005-0000-0000-0000941E0000}"/>
    <cellStyle name="Normal 9 2 2 2 2 7 2" xfId="6944" xr:uid="{00000000-0005-0000-0000-0000951E0000}"/>
    <cellStyle name="Normal 9 2 2 2 2 7 2 2" xfId="15386" xr:uid="{1B91813E-DDD6-48D5-AD0C-F8E6C2206238}"/>
    <cellStyle name="Normal 9 2 2 2 2 7 3" xfId="11168" xr:uid="{19932AAE-D9DD-41C1-A061-58D2F5B49A63}"/>
    <cellStyle name="Normal 9 2 2 2 2 8" xfId="4879" xr:uid="{00000000-0005-0000-0000-0000961E0000}"/>
    <cellStyle name="Normal 9 2 2 2 2 8 2" xfId="13321" xr:uid="{16925C0A-F44A-4FE4-9AA1-B50E3DB97DC7}"/>
    <cellStyle name="Normal 9 2 2 2 2 9" xfId="9103" xr:uid="{07047BAA-5A70-423F-92AB-4E90F99DCB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D9AC046D-5F1D-4536-AEBD-8DE189C6F1BC}"/>
    <cellStyle name="Normal 9 2 2 2 3 2 2 3" xfId="11663" xr:uid="{97B1B8D3-ACC0-4884-9E9F-42D29C1A835E}"/>
    <cellStyle name="Normal 9 2 2 2 3 2 3" xfId="5294" xr:uid="{00000000-0005-0000-0000-00009B1E0000}"/>
    <cellStyle name="Normal 9 2 2 2 3 2 3 2" xfId="13736" xr:uid="{88BEDDB0-5868-48E6-997A-D4E6AB22C719}"/>
    <cellStyle name="Normal 9 2 2 2 3 2 4" xfId="9518" xr:uid="{1EFB14E3-3661-4197-AEC2-E4DE929F2888}"/>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F9DE3FE2-7F7B-4423-8CEE-DDC79D9CA4CC}"/>
    <cellStyle name="Normal 9 2 2 2 3 3 2 3" xfId="12076" xr:uid="{062662E2-22E1-4F80-9252-C098E60B1F2C}"/>
    <cellStyle name="Normal 9 2 2 2 3 3 3" xfId="5707" xr:uid="{00000000-0005-0000-0000-00009F1E0000}"/>
    <cellStyle name="Normal 9 2 2 2 3 3 3 2" xfId="14149" xr:uid="{F794C6E5-19E9-45D6-BF1C-C9A3997D3E1A}"/>
    <cellStyle name="Normal 9 2 2 2 3 3 4" xfId="9931" xr:uid="{C3789CFD-DACC-4FD2-AA5D-5AF25A082BA9}"/>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A1116382-57E5-47BC-B571-2ADA73D5EC53}"/>
    <cellStyle name="Normal 9 2 2 2 3 4 2 3" xfId="12489" xr:uid="{F9E2DE7D-AFCB-46D4-AF64-C67ED0B9DF67}"/>
    <cellStyle name="Normal 9 2 2 2 3 4 3" xfId="6120" xr:uid="{00000000-0005-0000-0000-0000A31E0000}"/>
    <cellStyle name="Normal 9 2 2 2 3 4 3 2" xfId="14562" xr:uid="{B9BB8FF8-8AF6-4FD4-AF88-C46B456C69DF}"/>
    <cellStyle name="Normal 9 2 2 2 3 4 4" xfId="10344" xr:uid="{10C221D7-B308-4207-AAC0-ED46258B3594}"/>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B08518F4-E4E3-49A4-94F9-3ADD39A885F7}"/>
    <cellStyle name="Normal 9 2 2 2 3 5 2 3" xfId="12902" xr:uid="{56724525-A40C-4C3D-A7D3-BA36EA7DCB05}"/>
    <cellStyle name="Normal 9 2 2 2 3 5 3" xfId="6533" xr:uid="{00000000-0005-0000-0000-0000A71E0000}"/>
    <cellStyle name="Normal 9 2 2 2 3 5 3 2" xfId="14975" xr:uid="{E53A16D6-B79C-4B9E-B15A-2B9B8C319442}"/>
    <cellStyle name="Normal 9 2 2 2 3 5 4" xfId="10757" xr:uid="{42E3F561-EF0C-4A75-8A7F-5B3445EBE991}"/>
    <cellStyle name="Normal 9 2 2 2 3 6" xfId="2662" xr:uid="{00000000-0005-0000-0000-0000A81E0000}"/>
    <cellStyle name="Normal 9 2 2 2 3 6 2" xfId="6946" xr:uid="{00000000-0005-0000-0000-0000A91E0000}"/>
    <cellStyle name="Normal 9 2 2 2 3 6 2 2" xfId="15388" xr:uid="{C4D44E17-B41E-4CEF-A1FE-489DCAC4D745}"/>
    <cellStyle name="Normal 9 2 2 2 3 6 3" xfId="11170" xr:uid="{F172F823-9436-4944-BA0B-82D85DF297AF}"/>
    <cellStyle name="Normal 9 2 2 2 3 7" xfId="4881" xr:uid="{00000000-0005-0000-0000-0000AA1E0000}"/>
    <cellStyle name="Normal 9 2 2 2 3 7 2" xfId="13323" xr:uid="{02BBDAD5-257D-4F3E-862F-48B2209AFB50}"/>
    <cellStyle name="Normal 9 2 2 2 3 8" xfId="9105" xr:uid="{5634E5EC-9813-4872-BB2C-103DCB60CDC5}"/>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34369DFA-E75A-411D-8A75-1D73335C5136}"/>
    <cellStyle name="Normal 9 2 2 2 4 2 3" xfId="11660" xr:uid="{4497D2F0-BE29-45E2-AD02-4D6D45480661}"/>
    <cellStyle name="Normal 9 2 2 2 4 3" xfId="5291" xr:uid="{00000000-0005-0000-0000-0000AE1E0000}"/>
    <cellStyle name="Normal 9 2 2 2 4 3 2" xfId="13733" xr:uid="{D922C7C9-37B8-4A25-B281-D5DD82DF1BC9}"/>
    <cellStyle name="Normal 9 2 2 2 4 4" xfId="9515" xr:uid="{C5D3BB32-1FAE-44DA-86E2-5C9F6CF682CE}"/>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59E61C25-39F0-4BA6-9C7B-11B5F67DCA28}"/>
    <cellStyle name="Normal 9 2 2 2 5 2 3" xfId="12073" xr:uid="{265BC0C1-FAAA-44ED-BAEA-46B341909E94}"/>
    <cellStyle name="Normal 9 2 2 2 5 3" xfId="5704" xr:uid="{00000000-0005-0000-0000-0000B21E0000}"/>
    <cellStyle name="Normal 9 2 2 2 5 3 2" xfId="14146" xr:uid="{740A5F53-5044-4213-B85F-8BDE79CEE514}"/>
    <cellStyle name="Normal 9 2 2 2 5 4" xfId="9928" xr:uid="{FFBFEE92-8203-4F8C-8F37-0BBF4147F75B}"/>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3E6E4001-3FB3-444F-8099-0D743708D435}"/>
    <cellStyle name="Normal 9 2 2 2 6 2 3" xfId="12486" xr:uid="{5E004BC1-52E1-4606-8384-D3FE991906AE}"/>
    <cellStyle name="Normal 9 2 2 2 6 3" xfId="6117" xr:uid="{00000000-0005-0000-0000-0000B61E0000}"/>
    <cellStyle name="Normal 9 2 2 2 6 3 2" xfId="14559" xr:uid="{C3A83655-4F44-47FB-9405-F96A14A6A54F}"/>
    <cellStyle name="Normal 9 2 2 2 6 4" xfId="10341" xr:uid="{E123C0B1-CCC0-4A97-B016-E683E151D0C4}"/>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9C0810BD-7DB4-4388-87F9-237D3AA60A8E}"/>
    <cellStyle name="Normal 9 2 2 2 7 2 3" xfId="12899" xr:uid="{B57D0233-478B-4219-A430-FC39947D8FC1}"/>
    <cellStyle name="Normal 9 2 2 2 7 3" xfId="6530" xr:uid="{00000000-0005-0000-0000-0000BA1E0000}"/>
    <cellStyle name="Normal 9 2 2 2 7 3 2" xfId="14972" xr:uid="{4A3D68D3-C12B-4675-BCB0-470CEFBAF704}"/>
    <cellStyle name="Normal 9 2 2 2 7 4" xfId="10754" xr:uid="{89E57AA0-AD5A-47C0-B200-B71741566EED}"/>
    <cellStyle name="Normal 9 2 2 2 8" xfId="2659" xr:uid="{00000000-0005-0000-0000-0000BB1E0000}"/>
    <cellStyle name="Normal 9 2 2 2 8 2" xfId="6943" xr:uid="{00000000-0005-0000-0000-0000BC1E0000}"/>
    <cellStyle name="Normal 9 2 2 2 8 2 2" xfId="15385" xr:uid="{94A501E4-8221-4166-9E7D-6A882885307B}"/>
    <cellStyle name="Normal 9 2 2 2 8 3" xfId="11167" xr:uid="{59ECE362-F769-4E12-9EFA-0CC0C06B50BC}"/>
    <cellStyle name="Normal 9 2 2 2 9" xfId="4878" xr:uid="{00000000-0005-0000-0000-0000BD1E0000}"/>
    <cellStyle name="Normal 9 2 2 2 9 2" xfId="13320" xr:uid="{71B994F9-0A27-4044-853F-BA4219B4754E}"/>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E169381C-64C3-45D1-9B5E-F1F4DB77D491}"/>
    <cellStyle name="Normal 9 2 2 3 2 2 2 3" xfId="11665" xr:uid="{9DBE2D85-5EAB-42C1-91AF-2E7D75862A59}"/>
    <cellStyle name="Normal 9 2 2 3 2 2 3" xfId="5296" xr:uid="{00000000-0005-0000-0000-0000C31E0000}"/>
    <cellStyle name="Normal 9 2 2 3 2 2 3 2" xfId="13738" xr:uid="{724254B7-868D-4D77-8951-E4D827FDBC3E}"/>
    <cellStyle name="Normal 9 2 2 3 2 2 4" xfId="9520" xr:uid="{E78B356D-BFB5-445B-8488-FA7686C87AAD}"/>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91435CE2-DE48-4E2A-A611-DBBA4554119F}"/>
    <cellStyle name="Normal 9 2 2 3 2 3 2 3" xfId="12078" xr:uid="{642B90FC-05A9-46A9-9A2E-2D22F56507F8}"/>
    <cellStyle name="Normal 9 2 2 3 2 3 3" xfId="5709" xr:uid="{00000000-0005-0000-0000-0000C71E0000}"/>
    <cellStyle name="Normal 9 2 2 3 2 3 3 2" xfId="14151" xr:uid="{31E183F1-43E4-459F-9E03-32C9CF6612E5}"/>
    <cellStyle name="Normal 9 2 2 3 2 3 4" xfId="9933" xr:uid="{EC1DFEE6-B0C1-47F6-A279-790125C6E054}"/>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551A82A4-A0BE-4B42-9177-1E3B8C4A144D}"/>
    <cellStyle name="Normal 9 2 2 3 2 4 2 3" xfId="12491" xr:uid="{572CC556-3766-4823-9105-252F6E2AD086}"/>
    <cellStyle name="Normal 9 2 2 3 2 4 3" xfId="6122" xr:uid="{00000000-0005-0000-0000-0000CB1E0000}"/>
    <cellStyle name="Normal 9 2 2 3 2 4 3 2" xfId="14564" xr:uid="{8210B05B-BBDC-4F8F-9609-2684C5E50933}"/>
    <cellStyle name="Normal 9 2 2 3 2 4 4" xfId="10346" xr:uid="{60546BEB-0EBE-42A3-A314-D96BD3A5AFB3}"/>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C6A3BD20-2C02-4A81-BEF9-9CC87E3BC5AC}"/>
    <cellStyle name="Normal 9 2 2 3 2 5 2 3" xfId="12904" xr:uid="{456868BB-AC92-4B5D-9A4C-CF07512674E3}"/>
    <cellStyle name="Normal 9 2 2 3 2 5 3" xfId="6535" xr:uid="{00000000-0005-0000-0000-0000CF1E0000}"/>
    <cellStyle name="Normal 9 2 2 3 2 5 3 2" xfId="14977" xr:uid="{B31F921C-750F-407A-9681-D55CF73E23DD}"/>
    <cellStyle name="Normal 9 2 2 3 2 5 4" xfId="10759" xr:uid="{6A6CAD10-359D-40DD-8915-FA89C359EC8B}"/>
    <cellStyle name="Normal 9 2 2 3 2 6" xfId="2664" xr:uid="{00000000-0005-0000-0000-0000D01E0000}"/>
    <cellStyle name="Normal 9 2 2 3 2 6 2" xfId="6948" xr:uid="{00000000-0005-0000-0000-0000D11E0000}"/>
    <cellStyle name="Normal 9 2 2 3 2 6 2 2" xfId="15390" xr:uid="{78978110-08C8-4A59-8F82-CBFB322A5535}"/>
    <cellStyle name="Normal 9 2 2 3 2 6 3" xfId="11172" xr:uid="{E599298E-F3B4-4F73-A80D-E35CE5FD6E44}"/>
    <cellStyle name="Normal 9 2 2 3 2 7" xfId="4883" xr:uid="{00000000-0005-0000-0000-0000D21E0000}"/>
    <cellStyle name="Normal 9 2 2 3 2 7 2" xfId="13325" xr:uid="{F3021089-0634-4CC3-A2A6-A2C4033C109F}"/>
    <cellStyle name="Normal 9 2 2 3 2 8" xfId="9107" xr:uid="{422A9895-D92F-4786-8D6E-D8C25FE9983E}"/>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71DBC20A-6EA1-4494-B3AB-FB303B77B5DE}"/>
    <cellStyle name="Normal 9 2 2 3 3 2 3" xfId="11664" xr:uid="{FCDEBD0F-EC4A-46B8-92F2-63F6FA5369DA}"/>
    <cellStyle name="Normal 9 2 2 3 3 3" xfId="5295" xr:uid="{00000000-0005-0000-0000-0000D61E0000}"/>
    <cellStyle name="Normal 9 2 2 3 3 3 2" xfId="13737" xr:uid="{9434E7A8-EA82-4FCB-B5DA-7E22DFEDDAE2}"/>
    <cellStyle name="Normal 9 2 2 3 3 4" xfId="9519" xr:uid="{673B77BF-AF17-42B2-8FD3-79D68CFF7330}"/>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A8FDD5F7-6552-41CC-A00B-0A17DE7A6958}"/>
    <cellStyle name="Normal 9 2 2 3 4 2 3" xfId="12077" xr:uid="{13D23185-326F-446F-BAD9-8CA7F400793F}"/>
    <cellStyle name="Normal 9 2 2 3 4 3" xfId="5708" xr:uid="{00000000-0005-0000-0000-0000DA1E0000}"/>
    <cellStyle name="Normal 9 2 2 3 4 3 2" xfId="14150" xr:uid="{DD08A939-054D-4D1E-BE96-92F5321B8763}"/>
    <cellStyle name="Normal 9 2 2 3 4 4" xfId="9932" xr:uid="{B7BA96E1-10CF-4E73-874C-A0BCD5B12070}"/>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278DFE7D-E520-48BD-AA3E-1DE1D7CFDC2C}"/>
    <cellStyle name="Normal 9 2 2 3 5 2 3" xfId="12490" xr:uid="{FD14AEF0-987F-45DD-A110-01C40953822F}"/>
    <cellStyle name="Normal 9 2 2 3 5 3" xfId="6121" xr:uid="{00000000-0005-0000-0000-0000DE1E0000}"/>
    <cellStyle name="Normal 9 2 2 3 5 3 2" xfId="14563" xr:uid="{E3C6F63C-9274-47E0-9FB7-2751A26F2F8D}"/>
    <cellStyle name="Normal 9 2 2 3 5 4" xfId="10345" xr:uid="{5B283188-8CDA-4146-B1CD-16C487B5A20B}"/>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CDB9499D-0A1F-489B-8E4C-89CAC7D54EEB}"/>
    <cellStyle name="Normal 9 2 2 3 6 2 3" xfId="12903" xr:uid="{3A92D6D0-2D27-4870-9841-4E886E627B45}"/>
    <cellStyle name="Normal 9 2 2 3 6 3" xfId="6534" xr:uid="{00000000-0005-0000-0000-0000E21E0000}"/>
    <cellStyle name="Normal 9 2 2 3 6 3 2" xfId="14976" xr:uid="{F3369638-00EC-476D-84D2-353FEE3EED6D}"/>
    <cellStyle name="Normal 9 2 2 3 6 4" xfId="10758" xr:uid="{D0D8AB8D-37C9-45AA-8CF0-9BE75EDBF846}"/>
    <cellStyle name="Normal 9 2 2 3 7" xfId="2663" xr:uid="{00000000-0005-0000-0000-0000E31E0000}"/>
    <cellStyle name="Normal 9 2 2 3 7 2" xfId="6947" xr:uid="{00000000-0005-0000-0000-0000E41E0000}"/>
    <cellStyle name="Normal 9 2 2 3 7 2 2" xfId="15389" xr:uid="{DF55A24C-1074-48BC-A90D-5A32CBED9AA6}"/>
    <cellStyle name="Normal 9 2 2 3 7 3" xfId="11171" xr:uid="{82AAD193-2672-4DB2-A355-63C7D22ABB64}"/>
    <cellStyle name="Normal 9 2 2 3 8" xfId="4882" xr:uid="{00000000-0005-0000-0000-0000E51E0000}"/>
    <cellStyle name="Normal 9 2 2 3 8 2" xfId="13324" xr:uid="{0CBE3728-72F4-4A06-89A8-E95B7A7CDB15}"/>
    <cellStyle name="Normal 9 2 2 3 9" xfId="9106" xr:uid="{7B724ABF-7835-46CB-B04F-EAC38FAAF4E2}"/>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651988EA-ED8F-423B-89B3-A227CA8D304B}"/>
    <cellStyle name="Normal 9 2 2 4 2 2 3" xfId="11666" xr:uid="{653E58F4-0B44-4FE4-BE69-EF3562602B57}"/>
    <cellStyle name="Normal 9 2 2 4 2 3" xfId="5297" xr:uid="{00000000-0005-0000-0000-0000EA1E0000}"/>
    <cellStyle name="Normal 9 2 2 4 2 3 2" xfId="13739" xr:uid="{5B7D20A8-BBD4-4D51-AF78-5ACCEA008CC0}"/>
    <cellStyle name="Normal 9 2 2 4 2 4" xfId="9521" xr:uid="{77079410-D02E-47DD-940E-6EDAD7DA9821}"/>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5C46F78C-D9CC-4461-9CF6-08B3836D4ED8}"/>
    <cellStyle name="Normal 9 2 2 4 3 2 3" xfId="12079" xr:uid="{3362A77F-3ADC-41B6-84B4-7ABDA5835EA3}"/>
    <cellStyle name="Normal 9 2 2 4 3 3" xfId="5710" xr:uid="{00000000-0005-0000-0000-0000EE1E0000}"/>
    <cellStyle name="Normal 9 2 2 4 3 3 2" xfId="14152" xr:uid="{39BCC3DC-DEE4-4848-90D6-9BFC57CA6A91}"/>
    <cellStyle name="Normal 9 2 2 4 3 4" xfId="9934" xr:uid="{6AB4B8E5-B18C-490A-BE69-5B765C678280}"/>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C083827E-8ABB-4833-B46E-95B5CE6029BC}"/>
    <cellStyle name="Normal 9 2 2 4 4 2 3" xfId="12492" xr:uid="{3E132F6B-615A-47EC-990B-C48D2B3464B2}"/>
    <cellStyle name="Normal 9 2 2 4 4 3" xfId="6123" xr:uid="{00000000-0005-0000-0000-0000F21E0000}"/>
    <cellStyle name="Normal 9 2 2 4 4 3 2" xfId="14565" xr:uid="{FA5ABF72-60CC-4F8D-B68A-3955F0A74F2B}"/>
    <cellStyle name="Normal 9 2 2 4 4 4" xfId="10347" xr:uid="{DFBC6E68-66B0-41AB-816F-4D9617B5EDDF}"/>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FB523444-66FB-48F1-B807-16CF90F4BDC5}"/>
    <cellStyle name="Normal 9 2 2 4 5 2 3" xfId="12905" xr:uid="{FA5216A4-B716-473C-B26F-79234202DE44}"/>
    <cellStyle name="Normal 9 2 2 4 5 3" xfId="6536" xr:uid="{00000000-0005-0000-0000-0000F61E0000}"/>
    <cellStyle name="Normal 9 2 2 4 5 3 2" xfId="14978" xr:uid="{8B8A53D8-3FC4-4A89-8DC0-ABDE06DA6DCD}"/>
    <cellStyle name="Normal 9 2 2 4 5 4" xfId="10760" xr:uid="{2251D786-344F-4B94-AF8D-01FD35F09E44}"/>
    <cellStyle name="Normal 9 2 2 4 6" xfId="2665" xr:uid="{00000000-0005-0000-0000-0000F71E0000}"/>
    <cellStyle name="Normal 9 2 2 4 6 2" xfId="6949" xr:uid="{00000000-0005-0000-0000-0000F81E0000}"/>
    <cellStyle name="Normal 9 2 2 4 6 2 2" xfId="15391" xr:uid="{3C59CCAC-5A5F-4C25-A464-CC36915C2519}"/>
    <cellStyle name="Normal 9 2 2 4 6 3" xfId="11173" xr:uid="{04C7DAA3-4917-4386-B206-059FE77AAFE3}"/>
    <cellStyle name="Normal 9 2 2 4 7" xfId="4884" xr:uid="{00000000-0005-0000-0000-0000F91E0000}"/>
    <cellStyle name="Normal 9 2 2 4 7 2" xfId="13326" xr:uid="{22E58905-B04D-44EB-8000-063BFDC33947}"/>
    <cellStyle name="Normal 9 2 2 4 8" xfId="9108" xr:uid="{2FF5984F-EB9E-4F1B-B4AA-EDB93C3A4CAE}"/>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183C7D2D-A4D9-4399-800F-C4E390E44CE4}"/>
    <cellStyle name="Normal 9 2 2 5 2 3" xfId="11659" xr:uid="{4CB29A77-1779-4407-B594-53F987BBF0DF}"/>
    <cellStyle name="Normal 9 2 2 5 3" xfId="5290" xr:uid="{00000000-0005-0000-0000-0000FD1E0000}"/>
    <cellStyle name="Normal 9 2 2 5 3 2" xfId="13732" xr:uid="{7907E343-F1D4-4F20-8392-78252C9CC07D}"/>
    <cellStyle name="Normal 9 2 2 5 4" xfId="9514" xr:uid="{7E9166BE-F960-4907-9388-68B79DB21FFA}"/>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869379F-6159-46C1-A79F-4B05C43BEEDF}"/>
    <cellStyle name="Normal 9 2 2 6 2 3" xfId="12072" xr:uid="{E8EAAB95-07D0-47E4-946B-C59471A97F2B}"/>
    <cellStyle name="Normal 9 2 2 6 3" xfId="5703" xr:uid="{00000000-0005-0000-0000-0000011F0000}"/>
    <cellStyle name="Normal 9 2 2 6 3 2" xfId="14145" xr:uid="{A5C7D6E4-98EB-4EBA-B373-0CADC070F477}"/>
    <cellStyle name="Normal 9 2 2 6 4" xfId="9927" xr:uid="{4778DE10-154E-4A87-91EC-16FF10896FB5}"/>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D9B9767E-2E98-4C67-8699-7EEC7373ED52}"/>
    <cellStyle name="Normal 9 2 2 7 2 3" xfId="12485" xr:uid="{29B7FFB7-0FA4-47B7-B10A-CFD11BBB689B}"/>
    <cellStyle name="Normal 9 2 2 7 3" xfId="6116" xr:uid="{00000000-0005-0000-0000-0000051F0000}"/>
    <cellStyle name="Normal 9 2 2 7 3 2" xfId="14558" xr:uid="{7B86C1EE-08D0-40CB-B6DD-73A87A085622}"/>
    <cellStyle name="Normal 9 2 2 7 4" xfId="10340" xr:uid="{E3F1693C-9EC8-4C77-9F15-C4B6E1996FBD}"/>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80DFC20A-12AE-4B4C-AB18-75A8FD690871}"/>
    <cellStyle name="Normal 9 2 2 8 2 3" xfId="12898" xr:uid="{0AE127F0-D92F-4050-AA47-1AB0FBCEE548}"/>
    <cellStyle name="Normal 9 2 2 8 3" xfId="6529" xr:uid="{00000000-0005-0000-0000-0000091F0000}"/>
    <cellStyle name="Normal 9 2 2 8 3 2" xfId="14971" xr:uid="{74A60790-A829-412A-AC7A-68E36167A07C}"/>
    <cellStyle name="Normal 9 2 2 8 4" xfId="10753" xr:uid="{5C432250-D3C8-4DDD-B10C-0734EDD8CC89}"/>
    <cellStyle name="Normal 9 2 2 9" xfId="2658" xr:uid="{00000000-0005-0000-0000-00000A1F0000}"/>
    <cellStyle name="Normal 9 2 2 9 2" xfId="6942" xr:uid="{00000000-0005-0000-0000-00000B1F0000}"/>
    <cellStyle name="Normal 9 2 2 9 2 2" xfId="15384" xr:uid="{55D94A91-9406-44B3-818E-6C0FFF09E7BC}"/>
    <cellStyle name="Normal 9 2 2 9 3" xfId="11166" xr:uid="{16E64AA8-481B-4793-8A0E-287A77F67413}"/>
    <cellStyle name="Normal 9 2 3" xfId="520" xr:uid="{00000000-0005-0000-0000-00000C1F0000}"/>
    <cellStyle name="Normal 9 2 3 10" xfId="9109" xr:uid="{8C1CD356-27D5-47FF-8E4A-2DE27780B4A8}"/>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0A0B6B79-1B56-4F5C-B1F9-B52F2392EFBB}"/>
    <cellStyle name="Normal 9 2 3 2 2 2 2 3" xfId="11669" xr:uid="{0DD19458-C357-4745-B7E0-92609474F9E9}"/>
    <cellStyle name="Normal 9 2 3 2 2 2 3" xfId="5300" xr:uid="{00000000-0005-0000-0000-0000121F0000}"/>
    <cellStyle name="Normal 9 2 3 2 2 2 3 2" xfId="13742" xr:uid="{104EA3EC-E794-4EAC-9789-2345BB70DBD1}"/>
    <cellStyle name="Normal 9 2 3 2 2 2 4" xfId="9524" xr:uid="{9DB3ECCB-517B-474A-BA96-6EE1B3BF0719}"/>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61DCFF71-5465-49A0-B7D9-8EFEEE4ABEF0}"/>
    <cellStyle name="Normal 9 2 3 2 2 3 2 3" xfId="12082" xr:uid="{BDF27065-14A5-4DF3-B905-0EB2D438B673}"/>
    <cellStyle name="Normal 9 2 3 2 2 3 3" xfId="5713" xr:uid="{00000000-0005-0000-0000-0000161F0000}"/>
    <cellStyle name="Normal 9 2 3 2 2 3 3 2" xfId="14155" xr:uid="{A66B2E2C-89BA-47CB-9BB9-A82744218EC1}"/>
    <cellStyle name="Normal 9 2 3 2 2 3 4" xfId="9937" xr:uid="{CC412148-D925-40FA-A5C3-23FF4EAD781F}"/>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EC145F0E-CD50-416F-863A-0AEE02DA8BB7}"/>
    <cellStyle name="Normal 9 2 3 2 2 4 2 3" xfId="12495" xr:uid="{AD1AAE87-8DC0-41DC-B082-12D65E152FAD}"/>
    <cellStyle name="Normal 9 2 3 2 2 4 3" xfId="6126" xr:uid="{00000000-0005-0000-0000-00001A1F0000}"/>
    <cellStyle name="Normal 9 2 3 2 2 4 3 2" xfId="14568" xr:uid="{B5E2B803-7E36-4828-9CFA-946BCBAA04AA}"/>
    <cellStyle name="Normal 9 2 3 2 2 4 4" xfId="10350" xr:uid="{00046176-6854-48A3-9BA1-8965C2676A39}"/>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0FDF8ADF-2656-46F2-847D-CBB1BDEB34E0}"/>
    <cellStyle name="Normal 9 2 3 2 2 5 2 3" xfId="12908" xr:uid="{3CC156BF-C645-4F4C-9A03-AE4A73BB855C}"/>
    <cellStyle name="Normal 9 2 3 2 2 5 3" xfId="6539" xr:uid="{00000000-0005-0000-0000-00001E1F0000}"/>
    <cellStyle name="Normal 9 2 3 2 2 5 3 2" xfId="14981" xr:uid="{3FC720E3-56CE-467E-880D-438DFE81A062}"/>
    <cellStyle name="Normal 9 2 3 2 2 5 4" xfId="10763" xr:uid="{1942E553-80D3-4C12-9643-1B9499555E6A}"/>
    <cellStyle name="Normal 9 2 3 2 2 6" xfId="2668" xr:uid="{00000000-0005-0000-0000-00001F1F0000}"/>
    <cellStyle name="Normal 9 2 3 2 2 6 2" xfId="6952" xr:uid="{00000000-0005-0000-0000-0000201F0000}"/>
    <cellStyle name="Normal 9 2 3 2 2 6 2 2" xfId="15394" xr:uid="{9701FF2C-AB2F-4319-AA9E-8D4D5D081F5A}"/>
    <cellStyle name="Normal 9 2 3 2 2 6 3" xfId="11176" xr:uid="{C919BFC0-D835-49C0-B574-3D68B310401C}"/>
    <cellStyle name="Normal 9 2 3 2 2 7" xfId="4887" xr:uid="{00000000-0005-0000-0000-0000211F0000}"/>
    <cellStyle name="Normal 9 2 3 2 2 7 2" xfId="13329" xr:uid="{AE28E450-ADBE-4B93-BE9B-324C7C6D09C9}"/>
    <cellStyle name="Normal 9 2 3 2 2 8" xfId="9111" xr:uid="{39ED25F7-FB29-4C44-9F76-45D9100731AF}"/>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E3CD87A0-A08A-414C-9760-BD71F671A5AC}"/>
    <cellStyle name="Normal 9 2 3 2 3 2 3" xfId="11668" xr:uid="{33E3F574-120E-4BD4-AF05-275285E0C00B}"/>
    <cellStyle name="Normal 9 2 3 2 3 3" xfId="5299" xr:uid="{00000000-0005-0000-0000-0000251F0000}"/>
    <cellStyle name="Normal 9 2 3 2 3 3 2" xfId="13741" xr:uid="{F2D485AA-7B7D-4BE7-B8A4-B0F3F55CEB43}"/>
    <cellStyle name="Normal 9 2 3 2 3 4" xfId="9523" xr:uid="{7475FC23-DF1A-4F14-9B5C-4289413F13C0}"/>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FAD86537-C603-4938-938D-C7F271EB8E3C}"/>
    <cellStyle name="Normal 9 2 3 2 4 2 3" xfId="12081" xr:uid="{363ECA0B-C95A-4ABE-A993-772E83A668EF}"/>
    <cellStyle name="Normal 9 2 3 2 4 3" xfId="5712" xr:uid="{00000000-0005-0000-0000-0000291F0000}"/>
    <cellStyle name="Normal 9 2 3 2 4 3 2" xfId="14154" xr:uid="{411E581C-46C5-4019-A4FD-D77A85459128}"/>
    <cellStyle name="Normal 9 2 3 2 4 4" xfId="9936" xr:uid="{FFE9707D-72F4-48F2-BC85-04D8B32E6E0D}"/>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FE715658-D0D3-467B-8899-528802F4D996}"/>
    <cellStyle name="Normal 9 2 3 2 5 2 3" xfId="12494" xr:uid="{38AA22B8-27C4-4DC3-B6DE-41BE2FB0D463}"/>
    <cellStyle name="Normal 9 2 3 2 5 3" xfId="6125" xr:uid="{00000000-0005-0000-0000-00002D1F0000}"/>
    <cellStyle name="Normal 9 2 3 2 5 3 2" xfId="14567" xr:uid="{5D46F2AB-4207-460E-8A95-B3BC189E99A2}"/>
    <cellStyle name="Normal 9 2 3 2 5 4" xfId="10349" xr:uid="{EBA0AF66-B7E6-4F9F-A6DA-E6DA9E96D764}"/>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98CF3A92-A464-4502-85DA-197FD506F45C}"/>
    <cellStyle name="Normal 9 2 3 2 6 2 3" xfId="12907" xr:uid="{E491B8AC-2A56-4643-AB0F-A9232B6A4B76}"/>
    <cellStyle name="Normal 9 2 3 2 6 3" xfId="6538" xr:uid="{00000000-0005-0000-0000-0000311F0000}"/>
    <cellStyle name="Normal 9 2 3 2 6 3 2" xfId="14980" xr:uid="{3DFA26B0-FB1C-4C94-8E4A-9D002A060966}"/>
    <cellStyle name="Normal 9 2 3 2 6 4" xfId="10762" xr:uid="{F2225CF7-0B6A-4FC7-9021-5C935EBAE97E}"/>
    <cellStyle name="Normal 9 2 3 2 7" xfId="2667" xr:uid="{00000000-0005-0000-0000-0000321F0000}"/>
    <cellStyle name="Normal 9 2 3 2 7 2" xfId="6951" xr:uid="{00000000-0005-0000-0000-0000331F0000}"/>
    <cellStyle name="Normal 9 2 3 2 7 2 2" xfId="15393" xr:uid="{8C01392D-4AD1-45D2-B30B-68AE037E11AA}"/>
    <cellStyle name="Normal 9 2 3 2 7 3" xfId="11175" xr:uid="{6838F1D8-0AE1-4179-9116-A092D6FA8EE1}"/>
    <cellStyle name="Normal 9 2 3 2 8" xfId="4886" xr:uid="{00000000-0005-0000-0000-0000341F0000}"/>
    <cellStyle name="Normal 9 2 3 2 8 2" xfId="13328" xr:uid="{1C5D2DB7-5836-4529-A7DB-A24E0F9AEAFB}"/>
    <cellStyle name="Normal 9 2 3 2 9" xfId="9110" xr:uid="{FE7F5C7F-47EF-4054-B59E-B786242D8DE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FD485865-0F85-47C3-B8BC-D97D8A9D2155}"/>
    <cellStyle name="Normal 9 2 3 3 2 2 3" xfId="11670" xr:uid="{ED136FF0-9AB3-414B-A9FC-302D35E1D693}"/>
    <cellStyle name="Normal 9 2 3 3 2 3" xfId="5301" xr:uid="{00000000-0005-0000-0000-0000391F0000}"/>
    <cellStyle name="Normal 9 2 3 3 2 3 2" xfId="13743" xr:uid="{FE2FBFA1-2A5A-4BAE-82CE-217FFFE59BE5}"/>
    <cellStyle name="Normal 9 2 3 3 2 4" xfId="9525" xr:uid="{BB9BB7A9-B91A-4818-928B-36918424BE52}"/>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A878DC3D-B4F6-4396-8F33-9307F1E89FF0}"/>
    <cellStyle name="Normal 9 2 3 3 3 2 3" xfId="12083" xr:uid="{A3D3454F-7660-4013-A879-D9167D456BEF}"/>
    <cellStyle name="Normal 9 2 3 3 3 3" xfId="5714" xr:uid="{00000000-0005-0000-0000-00003D1F0000}"/>
    <cellStyle name="Normal 9 2 3 3 3 3 2" xfId="14156" xr:uid="{E9FA5728-9AF6-4819-9F46-C471859495CA}"/>
    <cellStyle name="Normal 9 2 3 3 3 4" xfId="9938" xr:uid="{3A25120B-11F8-4B6A-ACB4-391638CB4B7E}"/>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0B5EF836-74EB-4A63-9B5B-C0097AA9C778}"/>
    <cellStyle name="Normal 9 2 3 3 4 2 3" xfId="12496" xr:uid="{1D662020-9665-4708-A1AF-D84DBFBD6168}"/>
    <cellStyle name="Normal 9 2 3 3 4 3" xfId="6127" xr:uid="{00000000-0005-0000-0000-0000411F0000}"/>
    <cellStyle name="Normal 9 2 3 3 4 3 2" xfId="14569" xr:uid="{36E2270E-59BD-4FA0-A2EC-D22FA9B0D3F8}"/>
    <cellStyle name="Normal 9 2 3 3 4 4" xfId="10351" xr:uid="{881E2365-393B-4927-A34E-079320F2DBB7}"/>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FE683C01-4D7F-4AC8-A88A-4511FDE6BCDC}"/>
    <cellStyle name="Normal 9 2 3 3 5 2 3" xfId="12909" xr:uid="{460C3546-18BE-4C90-93F2-A07F41DE91A5}"/>
    <cellStyle name="Normal 9 2 3 3 5 3" xfId="6540" xr:uid="{00000000-0005-0000-0000-0000451F0000}"/>
    <cellStyle name="Normal 9 2 3 3 5 3 2" xfId="14982" xr:uid="{FB76A619-D1D3-44AE-86A8-1EC17553B710}"/>
    <cellStyle name="Normal 9 2 3 3 5 4" xfId="10764" xr:uid="{C96D9730-09C1-4D86-A7BE-2038B05B84EC}"/>
    <cellStyle name="Normal 9 2 3 3 6" xfId="2669" xr:uid="{00000000-0005-0000-0000-0000461F0000}"/>
    <cellStyle name="Normal 9 2 3 3 6 2" xfId="6953" xr:uid="{00000000-0005-0000-0000-0000471F0000}"/>
    <cellStyle name="Normal 9 2 3 3 6 2 2" xfId="15395" xr:uid="{FD13887C-7044-4606-BE22-5BE87ED9DC24}"/>
    <cellStyle name="Normal 9 2 3 3 6 3" xfId="11177" xr:uid="{177204D0-08C4-4445-83AE-977549CBEAE0}"/>
    <cellStyle name="Normal 9 2 3 3 7" xfId="4888" xr:uid="{00000000-0005-0000-0000-0000481F0000}"/>
    <cellStyle name="Normal 9 2 3 3 7 2" xfId="13330" xr:uid="{43826D22-C08F-49D5-81A2-40E47F2C7C6C}"/>
    <cellStyle name="Normal 9 2 3 3 8" xfId="9112" xr:uid="{242CB688-DD8D-4DB4-B3E2-763A4860C518}"/>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1C0F0EBD-48F7-4A9B-AEBF-46896E540B0F}"/>
    <cellStyle name="Normal 9 2 3 4 2 3" xfId="11667" xr:uid="{B03AD13A-E49A-485E-8AED-BB4FB892D02A}"/>
    <cellStyle name="Normal 9 2 3 4 3" xfId="5298" xr:uid="{00000000-0005-0000-0000-00004C1F0000}"/>
    <cellStyle name="Normal 9 2 3 4 3 2" xfId="13740" xr:uid="{6A1ABDB8-85B3-4303-8A18-5358AF6C1CA6}"/>
    <cellStyle name="Normal 9 2 3 4 4" xfId="9522" xr:uid="{44E7D59F-A2D1-4D06-B13C-D62F69762674}"/>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AF20E7F9-17DE-4A1E-AF81-E0D4082B3A05}"/>
    <cellStyle name="Normal 9 2 3 5 2 3" xfId="12080" xr:uid="{CD70F0B6-EA46-401D-9D12-4314BAE7386F}"/>
    <cellStyle name="Normal 9 2 3 5 3" xfId="5711" xr:uid="{00000000-0005-0000-0000-0000501F0000}"/>
    <cellStyle name="Normal 9 2 3 5 3 2" xfId="14153" xr:uid="{980143D0-B151-43B7-8914-41E412AEE7CC}"/>
    <cellStyle name="Normal 9 2 3 5 4" xfId="9935" xr:uid="{6585A2A8-CA05-4BB4-A39D-92BA3E52D37D}"/>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48BAD14A-0AE0-44EB-9D12-635688D0CBC0}"/>
    <cellStyle name="Normal 9 2 3 6 2 3" xfId="12493" xr:uid="{43992780-B9B2-4790-831A-203517A10545}"/>
    <cellStyle name="Normal 9 2 3 6 3" xfId="6124" xr:uid="{00000000-0005-0000-0000-0000541F0000}"/>
    <cellStyle name="Normal 9 2 3 6 3 2" xfId="14566" xr:uid="{B39181C9-849C-447E-9D7C-FEAE52C3D61B}"/>
    <cellStyle name="Normal 9 2 3 6 4" xfId="10348" xr:uid="{25D625B5-B2A9-4184-84ED-E94D113B76E6}"/>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7A34F04D-78C1-471F-BCC1-189909EE4A93}"/>
    <cellStyle name="Normal 9 2 3 7 2 3" xfId="12906" xr:uid="{CF258D5B-0FA1-4457-8F5D-D8BA3903B19D}"/>
    <cellStyle name="Normal 9 2 3 7 3" xfId="6537" xr:uid="{00000000-0005-0000-0000-0000581F0000}"/>
    <cellStyle name="Normal 9 2 3 7 3 2" xfId="14979" xr:uid="{CD75F414-96E2-458C-8515-D8F16D640C6C}"/>
    <cellStyle name="Normal 9 2 3 7 4" xfId="10761" xr:uid="{6407E1B4-F747-411E-8F8A-DBFF5C6AC48C}"/>
    <cellStyle name="Normal 9 2 3 8" xfId="2666" xr:uid="{00000000-0005-0000-0000-0000591F0000}"/>
    <cellStyle name="Normal 9 2 3 8 2" xfId="6950" xr:uid="{00000000-0005-0000-0000-00005A1F0000}"/>
    <cellStyle name="Normal 9 2 3 8 2 2" xfId="15392" xr:uid="{A98A6199-79DA-44E3-9CFD-2BA322384359}"/>
    <cellStyle name="Normal 9 2 3 8 3" xfId="11174" xr:uid="{2D1EE1D1-405E-4F7F-8A1B-8DA8ED713B7D}"/>
    <cellStyle name="Normal 9 2 3 9" xfId="4885" xr:uid="{00000000-0005-0000-0000-00005B1F0000}"/>
    <cellStyle name="Normal 9 2 3 9 2" xfId="13327" xr:uid="{366A622E-E00F-4306-8B4F-0D65638BCDAC}"/>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523BBAA2-2065-49FF-8778-1728CF880EB0}"/>
    <cellStyle name="Normal 9 2 4 2 2 2 3" xfId="11672" xr:uid="{5B0B798C-6BB9-4F0E-9117-6A312B737E00}"/>
    <cellStyle name="Normal 9 2 4 2 2 3" xfId="5303" xr:uid="{00000000-0005-0000-0000-0000611F0000}"/>
    <cellStyle name="Normal 9 2 4 2 2 3 2" xfId="13745" xr:uid="{61C5EE73-E898-4393-B938-1E72549F6321}"/>
    <cellStyle name="Normal 9 2 4 2 2 4" xfId="9527" xr:uid="{B96E2BA3-A3B7-4048-BF19-408910737537}"/>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2F251A7D-6BDD-4D52-91B9-8A4FEE4561F5}"/>
    <cellStyle name="Normal 9 2 4 2 3 2 3" xfId="12085" xr:uid="{C2CEA6FA-1C24-41E8-AA30-342671F47014}"/>
    <cellStyle name="Normal 9 2 4 2 3 3" xfId="5716" xr:uid="{00000000-0005-0000-0000-0000651F0000}"/>
    <cellStyle name="Normal 9 2 4 2 3 3 2" xfId="14158" xr:uid="{CBD80C03-1DF1-43C3-ACE4-216F8913C96A}"/>
    <cellStyle name="Normal 9 2 4 2 3 4" xfId="9940" xr:uid="{DC0D61F1-5796-416F-A4DB-EF7578545DD2}"/>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58DE8FEC-496A-46D1-8B3A-E1ADBD0F781A}"/>
    <cellStyle name="Normal 9 2 4 2 4 2 3" xfId="12498" xr:uid="{8C8BC868-C687-4C2F-9A9F-30D579291B73}"/>
    <cellStyle name="Normal 9 2 4 2 4 3" xfId="6129" xr:uid="{00000000-0005-0000-0000-0000691F0000}"/>
    <cellStyle name="Normal 9 2 4 2 4 3 2" xfId="14571" xr:uid="{1A520BD3-8686-4E7D-A8C5-6DA8F3C218CB}"/>
    <cellStyle name="Normal 9 2 4 2 4 4" xfId="10353" xr:uid="{F91864BA-734A-48A3-87E8-D600EA8ECB9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44E7F5D3-7122-4290-BECA-44C9C20FD22B}"/>
    <cellStyle name="Normal 9 2 4 2 5 2 3" xfId="12911" xr:uid="{EF0E0362-7B0C-4B3E-A5C6-BCA6D70C83AA}"/>
    <cellStyle name="Normal 9 2 4 2 5 3" xfId="6542" xr:uid="{00000000-0005-0000-0000-00006D1F0000}"/>
    <cellStyle name="Normal 9 2 4 2 5 3 2" xfId="14984" xr:uid="{92D51070-21B4-42F8-A011-CD6B6F89735C}"/>
    <cellStyle name="Normal 9 2 4 2 5 4" xfId="10766" xr:uid="{4D4D7B46-1839-4B1E-B4B2-7FAF248380AD}"/>
    <cellStyle name="Normal 9 2 4 2 6" xfId="2671" xr:uid="{00000000-0005-0000-0000-00006E1F0000}"/>
    <cellStyle name="Normal 9 2 4 2 6 2" xfId="6955" xr:uid="{00000000-0005-0000-0000-00006F1F0000}"/>
    <cellStyle name="Normal 9 2 4 2 6 2 2" xfId="15397" xr:uid="{B1C98EF9-7B7D-4201-A93D-1F0DF7E2800B}"/>
    <cellStyle name="Normal 9 2 4 2 6 3" xfId="11179" xr:uid="{73CC3EE0-694B-4837-B092-EE8785729A3A}"/>
    <cellStyle name="Normal 9 2 4 2 7" xfId="4890" xr:uid="{00000000-0005-0000-0000-0000701F0000}"/>
    <cellStyle name="Normal 9 2 4 2 7 2" xfId="13332" xr:uid="{9FFFA393-819A-4B8C-91B4-5779A6D43ED5}"/>
    <cellStyle name="Normal 9 2 4 2 8" xfId="9114" xr:uid="{3D28F741-8F66-4E52-A953-FB663E9D7587}"/>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41576197-946D-497A-A8A2-9EBD79EDCE3E}"/>
    <cellStyle name="Normal 9 2 4 3 2 3" xfId="11671" xr:uid="{88AEE2B8-D863-45A1-B4F3-03712024B9BB}"/>
    <cellStyle name="Normal 9 2 4 3 3" xfId="5302" xr:uid="{00000000-0005-0000-0000-0000741F0000}"/>
    <cellStyle name="Normal 9 2 4 3 3 2" xfId="13744" xr:uid="{9F66A4D5-A7D5-4D1A-AE19-E4E9F71705C7}"/>
    <cellStyle name="Normal 9 2 4 3 4" xfId="9526" xr:uid="{667F60E1-7BFF-4965-A7A6-B9CD5DF7A5AC}"/>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6B835B7D-0A7A-45CF-ACDA-A1F0C2B6644D}"/>
    <cellStyle name="Normal 9 2 4 4 2 3" xfId="12084" xr:uid="{37034848-89B7-48A5-93D5-C827BC2ED29A}"/>
    <cellStyle name="Normal 9 2 4 4 3" xfId="5715" xr:uid="{00000000-0005-0000-0000-0000781F0000}"/>
    <cellStyle name="Normal 9 2 4 4 3 2" xfId="14157" xr:uid="{DF5423F6-40BC-499A-978F-22684781AC0C}"/>
    <cellStyle name="Normal 9 2 4 4 4" xfId="9939" xr:uid="{29F68495-124D-4F6D-818A-654D3F28CB03}"/>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DBA3097F-F857-47B2-A495-4612329C12EA}"/>
    <cellStyle name="Normal 9 2 4 5 2 3" xfId="12497" xr:uid="{4F12A446-034B-4DA3-9CC2-A2A3B73424F6}"/>
    <cellStyle name="Normal 9 2 4 5 3" xfId="6128" xr:uid="{00000000-0005-0000-0000-00007C1F0000}"/>
    <cellStyle name="Normal 9 2 4 5 3 2" xfId="14570" xr:uid="{8FF87BE9-1617-4556-B0FB-C59E42238BBC}"/>
    <cellStyle name="Normal 9 2 4 5 4" xfId="10352" xr:uid="{89DA3507-8119-40F3-BDD6-9B0F4A91E9CF}"/>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E34E7133-F715-4278-ABD8-9E86032D1D5C}"/>
    <cellStyle name="Normal 9 2 4 6 2 3" xfId="12910" xr:uid="{96B84E34-7059-4153-9B25-B62A0F8E5681}"/>
    <cellStyle name="Normal 9 2 4 6 3" xfId="6541" xr:uid="{00000000-0005-0000-0000-0000801F0000}"/>
    <cellStyle name="Normal 9 2 4 6 3 2" xfId="14983" xr:uid="{D1EAA6A5-C1D8-41CB-9798-8AEE1889ADB2}"/>
    <cellStyle name="Normal 9 2 4 6 4" xfId="10765" xr:uid="{5E4889FB-B461-4CBC-B1E6-C47868B584CE}"/>
    <cellStyle name="Normal 9 2 4 7" xfId="2670" xr:uid="{00000000-0005-0000-0000-0000811F0000}"/>
    <cellStyle name="Normal 9 2 4 7 2" xfId="6954" xr:uid="{00000000-0005-0000-0000-0000821F0000}"/>
    <cellStyle name="Normal 9 2 4 7 2 2" xfId="15396" xr:uid="{B343E87C-A7A4-40E4-B31B-4C638F1E8B5A}"/>
    <cellStyle name="Normal 9 2 4 7 3" xfId="11178" xr:uid="{F1FA935C-0AE4-46A3-A49A-21056FDE31FC}"/>
    <cellStyle name="Normal 9 2 4 8" xfId="4889" xr:uid="{00000000-0005-0000-0000-0000831F0000}"/>
    <cellStyle name="Normal 9 2 4 8 2" xfId="13331" xr:uid="{213F27FC-E7A1-4766-A6A4-7DF3BB59AC48}"/>
    <cellStyle name="Normal 9 2 4 9" xfId="9113" xr:uid="{EE27239E-CB93-493B-B1EE-D43F45AC5997}"/>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7A59BA5A-AC62-4EB8-8012-EAA6DBA9D738}"/>
    <cellStyle name="Normal 9 2 5 2 2 3" xfId="11673" xr:uid="{9A4D70F6-05A7-4A47-9FDD-476910F2D1A9}"/>
    <cellStyle name="Normal 9 2 5 2 3" xfId="5304" xr:uid="{00000000-0005-0000-0000-0000881F0000}"/>
    <cellStyle name="Normal 9 2 5 2 3 2" xfId="13746" xr:uid="{B3E3E349-E131-443D-9AF4-6426F701BF59}"/>
    <cellStyle name="Normal 9 2 5 2 4" xfId="9528" xr:uid="{317DE08A-350F-4B64-AE80-F8DA4E03D860}"/>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0E37A5AB-986B-4B2E-893A-72E57D732CF4}"/>
    <cellStyle name="Normal 9 2 5 3 2 3" xfId="12086" xr:uid="{B7E37748-B18C-4451-A13F-8D7393DE5B8A}"/>
    <cellStyle name="Normal 9 2 5 3 3" xfId="5717" xr:uid="{00000000-0005-0000-0000-00008C1F0000}"/>
    <cellStyle name="Normal 9 2 5 3 3 2" xfId="14159" xr:uid="{80717F6A-7BE3-4F68-A6EF-7D1B4B840EF5}"/>
    <cellStyle name="Normal 9 2 5 3 4" xfId="9941" xr:uid="{843E63A5-33F5-4E56-BB8E-13C943B99607}"/>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6108E8FA-3511-4BB1-9580-AD64A2C73D5F}"/>
    <cellStyle name="Normal 9 2 5 4 2 3" xfId="12499" xr:uid="{A5CE6E6C-C79E-41FA-9F92-85CC7C0429CE}"/>
    <cellStyle name="Normal 9 2 5 4 3" xfId="6130" xr:uid="{00000000-0005-0000-0000-0000901F0000}"/>
    <cellStyle name="Normal 9 2 5 4 3 2" xfId="14572" xr:uid="{658E1FB4-50E1-4848-A85A-9584096EDDD0}"/>
    <cellStyle name="Normal 9 2 5 4 4" xfId="10354" xr:uid="{E34E12F7-D505-4302-A6F8-17CBED0670A1}"/>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C3F1D008-72F3-4D3D-B331-62065827DB89}"/>
    <cellStyle name="Normal 9 2 5 5 2 3" xfId="12912" xr:uid="{2BAAD54D-5448-4EEC-8B9A-1F3B02D31B08}"/>
    <cellStyle name="Normal 9 2 5 5 3" xfId="6543" xr:uid="{00000000-0005-0000-0000-0000941F0000}"/>
    <cellStyle name="Normal 9 2 5 5 3 2" xfId="14985" xr:uid="{B62DEAAA-71A8-4B16-B05B-5580CD066439}"/>
    <cellStyle name="Normal 9 2 5 5 4" xfId="10767" xr:uid="{F72F6DAE-05F7-41A5-BC3A-2A6F0D0C939E}"/>
    <cellStyle name="Normal 9 2 5 6" xfId="2672" xr:uid="{00000000-0005-0000-0000-0000951F0000}"/>
    <cellStyle name="Normal 9 2 5 6 2" xfId="6956" xr:uid="{00000000-0005-0000-0000-0000961F0000}"/>
    <cellStyle name="Normal 9 2 5 6 2 2" xfId="15398" xr:uid="{29D1A0AC-CB13-4792-8F10-7A7D4B404A54}"/>
    <cellStyle name="Normal 9 2 5 6 3" xfId="11180" xr:uid="{4E09CDEA-09C1-46F7-8445-919C6E64213F}"/>
    <cellStyle name="Normal 9 2 5 7" xfId="4891" xr:uid="{00000000-0005-0000-0000-0000971F0000}"/>
    <cellStyle name="Normal 9 2 5 7 2" xfId="13333" xr:uid="{27A2C99F-632D-41C7-B5ED-069AD4933721}"/>
    <cellStyle name="Normal 9 2 5 8" xfId="9115" xr:uid="{27387509-1E7E-437D-8AD5-A6B4238FC42B}"/>
    <cellStyle name="Normal 9 2 6" xfId="978" xr:uid="{00000000-0005-0000-0000-0000981F0000}"/>
    <cellStyle name="Normal 9 2 6 2" xfId="3211" xr:uid="{00000000-0005-0000-0000-0000991F0000}"/>
    <cellStyle name="Normal 9 2 6 2 2" xfId="7434" xr:uid="{00000000-0005-0000-0000-00009A1F0000}"/>
    <cellStyle name="Normal 9 2 6 2 2 2" xfId="15876" xr:uid="{DB701BF6-513C-47EC-9378-4F577D65ED88}"/>
    <cellStyle name="Normal 9 2 6 2 3" xfId="11658" xr:uid="{AC8E3CCC-04C1-4B3E-8349-4A9B9D5B12D4}"/>
    <cellStyle name="Normal 9 2 6 3" xfId="5289" xr:uid="{00000000-0005-0000-0000-00009B1F0000}"/>
    <cellStyle name="Normal 9 2 6 3 2" xfId="13731" xr:uid="{45EA4C32-DC1D-4A52-B541-437E1921F1C7}"/>
    <cellStyle name="Normal 9 2 6 4" xfId="9513" xr:uid="{017BB42D-E7C1-4B05-8E3A-E7A75EDB1228}"/>
    <cellStyle name="Normal 9 2 7" xfId="1394" xr:uid="{00000000-0005-0000-0000-00009C1F0000}"/>
    <cellStyle name="Normal 9 2 7 2" xfId="3624" xr:uid="{00000000-0005-0000-0000-00009D1F0000}"/>
    <cellStyle name="Normal 9 2 7 2 2" xfId="7847" xr:uid="{00000000-0005-0000-0000-00009E1F0000}"/>
    <cellStyle name="Normal 9 2 7 2 2 2" xfId="16289" xr:uid="{3E54F350-ADA5-4741-AC54-512FA766B97E}"/>
    <cellStyle name="Normal 9 2 7 2 3" xfId="12071" xr:uid="{A3DF577C-96E8-4269-898A-D2E24958B0AE}"/>
    <cellStyle name="Normal 9 2 7 3" xfId="5702" xr:uid="{00000000-0005-0000-0000-00009F1F0000}"/>
    <cellStyle name="Normal 9 2 7 3 2" xfId="14144" xr:uid="{46502ECD-6F7C-4318-B9DF-E06E601A65E5}"/>
    <cellStyle name="Normal 9 2 7 4" xfId="9926" xr:uid="{22CA2FAA-8F7C-4CF2-B6A3-691856F78D00}"/>
    <cellStyle name="Normal 9 2 8" xfId="1807" xr:uid="{00000000-0005-0000-0000-0000A01F0000}"/>
    <cellStyle name="Normal 9 2 8 2" xfId="4037" xr:uid="{00000000-0005-0000-0000-0000A11F0000}"/>
    <cellStyle name="Normal 9 2 8 2 2" xfId="8260" xr:uid="{00000000-0005-0000-0000-0000A21F0000}"/>
    <cellStyle name="Normal 9 2 8 2 2 2" xfId="16702" xr:uid="{0D3F45E2-B7B0-4605-81C1-15408E598508}"/>
    <cellStyle name="Normal 9 2 8 2 3" xfId="12484" xr:uid="{2B122BFA-00C9-4ED9-802F-70430CE21A68}"/>
    <cellStyle name="Normal 9 2 8 3" xfId="6115" xr:uid="{00000000-0005-0000-0000-0000A31F0000}"/>
    <cellStyle name="Normal 9 2 8 3 2" xfId="14557" xr:uid="{193D4444-3437-4EA2-BA20-94930591D41F}"/>
    <cellStyle name="Normal 9 2 8 4" xfId="10339" xr:uid="{A00593EB-B32B-4C2D-B19F-85F30BFAB83D}"/>
    <cellStyle name="Normal 9 2 9" xfId="2221" xr:uid="{00000000-0005-0000-0000-0000A41F0000}"/>
    <cellStyle name="Normal 9 2 9 2" xfId="4450" xr:uid="{00000000-0005-0000-0000-0000A51F0000}"/>
    <cellStyle name="Normal 9 2 9 2 2" xfId="8673" xr:uid="{00000000-0005-0000-0000-0000A61F0000}"/>
    <cellStyle name="Normal 9 2 9 2 2 2" xfId="17115" xr:uid="{CB119C23-3688-4034-8457-270654E1DB12}"/>
    <cellStyle name="Normal 9 2 9 2 3" xfId="12897" xr:uid="{DB280DB6-3624-4ABE-9839-FE4CD443E933}"/>
    <cellStyle name="Normal 9 2 9 3" xfId="6528" xr:uid="{00000000-0005-0000-0000-0000A71F0000}"/>
    <cellStyle name="Normal 9 2 9 3 2" xfId="14970" xr:uid="{68A4101E-C4E2-4014-B606-7A16D7E6FC2E}"/>
    <cellStyle name="Normal 9 2 9 4" xfId="10752" xr:uid="{B282E453-E237-4FB2-AD82-9834FFC41B6B}"/>
    <cellStyle name="Normal 9 3" xfId="527" xr:uid="{00000000-0005-0000-0000-0000A81F0000}"/>
    <cellStyle name="Normal 9 3 10" xfId="4892" xr:uid="{00000000-0005-0000-0000-0000A91F0000}"/>
    <cellStyle name="Normal 9 3 10 2" xfId="13334" xr:uid="{67B2ED91-7138-4482-A545-5D3AADB4A1D3}"/>
    <cellStyle name="Normal 9 3 11" xfId="9116" xr:uid="{090BF80C-FF70-48EC-8AA1-D3752840312F}"/>
    <cellStyle name="Normal 9 3 2" xfId="528" xr:uid="{00000000-0005-0000-0000-0000AA1F0000}"/>
    <cellStyle name="Normal 9 3 2 10" xfId="9117" xr:uid="{80C11BCB-AE62-467E-B10B-91A04334A31E}"/>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5AB36398-64A7-422E-84E3-ADA99056E24B}"/>
    <cellStyle name="Normal 9 3 2 2 2 2 2 3" xfId="11677" xr:uid="{4E20F15E-9413-4468-8A2A-60C67A887A7D}"/>
    <cellStyle name="Normal 9 3 2 2 2 2 3" xfId="5308" xr:uid="{00000000-0005-0000-0000-0000B01F0000}"/>
    <cellStyle name="Normal 9 3 2 2 2 2 3 2" xfId="13750" xr:uid="{991C23C3-B486-427C-B314-687F4315C88F}"/>
    <cellStyle name="Normal 9 3 2 2 2 2 4" xfId="9532" xr:uid="{904FF7AA-DB9A-4613-9834-BEB9B7C8BAF4}"/>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9990A31A-4850-46D3-BB12-C24246B4BB35}"/>
    <cellStyle name="Normal 9 3 2 2 2 3 2 3" xfId="12090" xr:uid="{D549AC17-DB7C-40F5-9B04-F530C5A9141D}"/>
    <cellStyle name="Normal 9 3 2 2 2 3 3" xfId="5721" xr:uid="{00000000-0005-0000-0000-0000B41F0000}"/>
    <cellStyle name="Normal 9 3 2 2 2 3 3 2" xfId="14163" xr:uid="{C569B543-9456-44A5-B044-1698CCF0837F}"/>
    <cellStyle name="Normal 9 3 2 2 2 3 4" xfId="9945" xr:uid="{E111E073-9EE0-4462-935D-4624D6DD100D}"/>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1129F28E-A622-41A4-A2AA-36F87F9BA402}"/>
    <cellStyle name="Normal 9 3 2 2 2 4 2 3" xfId="12503" xr:uid="{111A70DC-EACE-4093-9BD2-EDE348DDE486}"/>
    <cellStyle name="Normal 9 3 2 2 2 4 3" xfId="6134" xr:uid="{00000000-0005-0000-0000-0000B81F0000}"/>
    <cellStyle name="Normal 9 3 2 2 2 4 3 2" xfId="14576" xr:uid="{C5B5BF04-67B6-49F5-95A5-124551C367EE}"/>
    <cellStyle name="Normal 9 3 2 2 2 4 4" xfId="10358" xr:uid="{AFEDDF93-5388-4FBE-8A4D-8F888EF16348}"/>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3C8A2550-E2AE-4CAE-B6AC-95859B6AF3D0}"/>
    <cellStyle name="Normal 9 3 2 2 2 5 2 3" xfId="12916" xr:uid="{403389B4-5D53-41E1-AA7A-5ECA195EB06A}"/>
    <cellStyle name="Normal 9 3 2 2 2 5 3" xfId="6547" xr:uid="{00000000-0005-0000-0000-0000BC1F0000}"/>
    <cellStyle name="Normal 9 3 2 2 2 5 3 2" xfId="14989" xr:uid="{EF061C0E-2072-47BC-96E5-56053497E02F}"/>
    <cellStyle name="Normal 9 3 2 2 2 5 4" xfId="10771" xr:uid="{0CAA3E60-3CAF-4180-AAF3-A38AB7C83542}"/>
    <cellStyle name="Normal 9 3 2 2 2 6" xfId="2676" xr:uid="{00000000-0005-0000-0000-0000BD1F0000}"/>
    <cellStyle name="Normal 9 3 2 2 2 6 2" xfId="6960" xr:uid="{00000000-0005-0000-0000-0000BE1F0000}"/>
    <cellStyle name="Normal 9 3 2 2 2 6 2 2" xfId="15402" xr:uid="{8CC94EFC-BE4F-45AD-95C7-B2EC9681D72B}"/>
    <cellStyle name="Normal 9 3 2 2 2 6 3" xfId="11184" xr:uid="{FD6B1291-BACB-48E1-813E-5F015FDF68AD}"/>
    <cellStyle name="Normal 9 3 2 2 2 7" xfId="4895" xr:uid="{00000000-0005-0000-0000-0000BF1F0000}"/>
    <cellStyle name="Normal 9 3 2 2 2 7 2" xfId="13337" xr:uid="{411423E9-B7A1-4000-8EFF-CFEFB39CD6CF}"/>
    <cellStyle name="Normal 9 3 2 2 2 8" xfId="9119" xr:uid="{D0C70E64-9D24-4D44-BD9E-18F332C57791}"/>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5DCE76BF-C831-41CF-9655-59986CEC461A}"/>
    <cellStyle name="Normal 9 3 2 2 3 2 3" xfId="11676" xr:uid="{77E7A8EB-CB9A-4AE3-BE6A-EB1AE58931AD}"/>
    <cellStyle name="Normal 9 3 2 2 3 3" xfId="5307" xr:uid="{00000000-0005-0000-0000-0000C31F0000}"/>
    <cellStyle name="Normal 9 3 2 2 3 3 2" xfId="13749" xr:uid="{8FDB9808-870D-4775-9BFB-AA9285253899}"/>
    <cellStyle name="Normal 9 3 2 2 3 4" xfId="9531" xr:uid="{48A8408C-562E-4440-B5AA-F271493636C2}"/>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9A555313-F3A6-4423-9C90-207CEEA35694}"/>
    <cellStyle name="Normal 9 3 2 2 4 2 3" xfId="12089" xr:uid="{8745EDE1-EE96-42D6-9131-204FDF3B9B81}"/>
    <cellStyle name="Normal 9 3 2 2 4 3" xfId="5720" xr:uid="{00000000-0005-0000-0000-0000C71F0000}"/>
    <cellStyle name="Normal 9 3 2 2 4 3 2" xfId="14162" xr:uid="{4A456DC5-BBD0-4582-B605-9E89E3933C67}"/>
    <cellStyle name="Normal 9 3 2 2 4 4" xfId="9944" xr:uid="{DEB91D0B-CB7D-4FE9-9675-7B771FB9BDDA}"/>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3981421F-7537-4CEF-8361-8AFA9E74F94C}"/>
    <cellStyle name="Normal 9 3 2 2 5 2 3" xfId="12502" xr:uid="{750F0898-2D2D-4AA1-8278-4594E8CE0ED5}"/>
    <cellStyle name="Normal 9 3 2 2 5 3" xfId="6133" xr:uid="{00000000-0005-0000-0000-0000CB1F0000}"/>
    <cellStyle name="Normal 9 3 2 2 5 3 2" xfId="14575" xr:uid="{111954B6-C083-49E0-8F23-98B0CB6B939E}"/>
    <cellStyle name="Normal 9 3 2 2 5 4" xfId="10357" xr:uid="{C85AC924-05BB-4E96-BEF4-8B15E26827BB}"/>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D60FF71C-3C17-47BD-B476-07E599F8EF00}"/>
    <cellStyle name="Normal 9 3 2 2 6 2 3" xfId="12915" xr:uid="{76271CD3-A5AD-4E38-A892-193E61795870}"/>
    <cellStyle name="Normal 9 3 2 2 6 3" xfId="6546" xr:uid="{00000000-0005-0000-0000-0000CF1F0000}"/>
    <cellStyle name="Normal 9 3 2 2 6 3 2" xfId="14988" xr:uid="{88BEF790-CA0E-4FAF-A0E0-ADE34BF54316}"/>
    <cellStyle name="Normal 9 3 2 2 6 4" xfId="10770" xr:uid="{828E977F-78AB-4B44-A6E9-D02DC32B204F}"/>
    <cellStyle name="Normal 9 3 2 2 7" xfId="2675" xr:uid="{00000000-0005-0000-0000-0000D01F0000}"/>
    <cellStyle name="Normal 9 3 2 2 7 2" xfId="6959" xr:uid="{00000000-0005-0000-0000-0000D11F0000}"/>
    <cellStyle name="Normal 9 3 2 2 7 2 2" xfId="15401" xr:uid="{B4BFEE11-D063-4B7C-A242-756EE39839FA}"/>
    <cellStyle name="Normal 9 3 2 2 7 3" xfId="11183" xr:uid="{5DA1D00D-9647-4A89-B842-1D06E857B5C2}"/>
    <cellStyle name="Normal 9 3 2 2 8" xfId="4894" xr:uid="{00000000-0005-0000-0000-0000D21F0000}"/>
    <cellStyle name="Normal 9 3 2 2 8 2" xfId="13336" xr:uid="{F05C08B8-16E9-47D3-8669-F22DA9724428}"/>
    <cellStyle name="Normal 9 3 2 2 9" xfId="9118" xr:uid="{CA2AB10B-6FD5-4749-8EC7-87F6008FDA77}"/>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F36D7FEE-D8A5-4A03-9DE4-D1184F86FBA2}"/>
    <cellStyle name="Normal 9 3 2 3 2 2 3" xfId="11678" xr:uid="{98073F48-6F2B-4294-A277-8174BEC758FF}"/>
    <cellStyle name="Normal 9 3 2 3 2 3" xfId="5309" xr:uid="{00000000-0005-0000-0000-0000D71F0000}"/>
    <cellStyle name="Normal 9 3 2 3 2 3 2" xfId="13751" xr:uid="{7E999144-F697-4AF1-87CA-F427949D7893}"/>
    <cellStyle name="Normal 9 3 2 3 2 4" xfId="9533" xr:uid="{E7ECD80A-7EB3-41CA-9CEC-E3D2D1D0262D}"/>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8F9E30D7-7BAE-4019-B3DF-29BCE67FCA74}"/>
    <cellStyle name="Normal 9 3 2 3 3 2 3" xfId="12091" xr:uid="{8DD6F9FE-1DC6-4434-809E-5B49BCE753C6}"/>
    <cellStyle name="Normal 9 3 2 3 3 3" xfId="5722" xr:uid="{00000000-0005-0000-0000-0000DB1F0000}"/>
    <cellStyle name="Normal 9 3 2 3 3 3 2" xfId="14164" xr:uid="{EA881FBC-BD54-48FA-99A2-116CF39CF72E}"/>
    <cellStyle name="Normal 9 3 2 3 3 4" xfId="9946" xr:uid="{A12AF223-E2EC-4C12-92B7-4F46E006B58E}"/>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3B4197A1-0FF8-41FB-A058-9516FBFB082E}"/>
    <cellStyle name="Normal 9 3 2 3 4 2 3" xfId="12504" xr:uid="{BB6CA029-E0FB-4245-BC45-D27167B0780B}"/>
    <cellStyle name="Normal 9 3 2 3 4 3" xfId="6135" xr:uid="{00000000-0005-0000-0000-0000DF1F0000}"/>
    <cellStyle name="Normal 9 3 2 3 4 3 2" xfId="14577" xr:uid="{577EC4FE-A96C-4BE3-B213-76403FAB1EC7}"/>
    <cellStyle name="Normal 9 3 2 3 4 4" xfId="10359" xr:uid="{BA6C151C-473D-4EFB-BB7B-B2E89BD57453}"/>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248A94F5-B843-4346-BA47-BE65C283100B}"/>
    <cellStyle name="Normal 9 3 2 3 5 2 3" xfId="12917" xr:uid="{258B54E2-C981-4612-B2C7-0A498A4343A6}"/>
    <cellStyle name="Normal 9 3 2 3 5 3" xfId="6548" xr:uid="{00000000-0005-0000-0000-0000E31F0000}"/>
    <cellStyle name="Normal 9 3 2 3 5 3 2" xfId="14990" xr:uid="{599A2132-6197-46D1-83C0-1E23B2EE5837}"/>
    <cellStyle name="Normal 9 3 2 3 5 4" xfId="10772" xr:uid="{83EC4D79-0E7E-46B0-BDCA-8A4887D81C40}"/>
    <cellStyle name="Normal 9 3 2 3 6" xfId="2677" xr:uid="{00000000-0005-0000-0000-0000E41F0000}"/>
    <cellStyle name="Normal 9 3 2 3 6 2" xfId="6961" xr:uid="{00000000-0005-0000-0000-0000E51F0000}"/>
    <cellStyle name="Normal 9 3 2 3 6 2 2" xfId="15403" xr:uid="{AAD820F7-9432-4416-B3A1-859D60580FF9}"/>
    <cellStyle name="Normal 9 3 2 3 6 3" xfId="11185" xr:uid="{4F734A81-EBD6-4D72-95D9-123C9F4289BC}"/>
    <cellStyle name="Normal 9 3 2 3 7" xfId="4896" xr:uid="{00000000-0005-0000-0000-0000E61F0000}"/>
    <cellStyle name="Normal 9 3 2 3 7 2" xfId="13338" xr:uid="{8973471C-1FDC-4710-AFE0-85F4E0E06DE6}"/>
    <cellStyle name="Normal 9 3 2 3 8" xfId="9120" xr:uid="{AABA069C-7A80-43FD-AB6A-36B512395FCA}"/>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9F7B8F8E-927C-441D-9E62-6605160CBB8F}"/>
    <cellStyle name="Normal 9 3 2 4 2 3" xfId="11675" xr:uid="{E895F86D-EA70-4C9A-A8FA-349795ABF111}"/>
    <cellStyle name="Normal 9 3 2 4 3" xfId="5306" xr:uid="{00000000-0005-0000-0000-0000EA1F0000}"/>
    <cellStyle name="Normal 9 3 2 4 3 2" xfId="13748" xr:uid="{B3ED6023-D292-44DB-B148-A64A52B8421B}"/>
    <cellStyle name="Normal 9 3 2 4 4" xfId="9530" xr:uid="{B69B9007-8DB8-46CD-AFC1-3EFD0D481B31}"/>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B9F2B681-5607-472C-8E34-13A0046F5E92}"/>
    <cellStyle name="Normal 9 3 2 5 2 3" xfId="12088" xr:uid="{8FA9BD2C-A2D4-46F6-A78E-3ACE757369AA}"/>
    <cellStyle name="Normal 9 3 2 5 3" xfId="5719" xr:uid="{00000000-0005-0000-0000-0000EE1F0000}"/>
    <cellStyle name="Normal 9 3 2 5 3 2" xfId="14161" xr:uid="{636A75AF-1878-447C-95C2-4E53A4263CC3}"/>
    <cellStyle name="Normal 9 3 2 5 4" xfId="9943" xr:uid="{E0E5A87E-F48F-4670-82D6-CC844701D244}"/>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6739C15B-4A94-46E5-A7A6-C0D164E82198}"/>
    <cellStyle name="Normal 9 3 2 6 2 3" xfId="12501" xr:uid="{E8C65936-C07D-4A9A-9A7B-001CFBF17579}"/>
    <cellStyle name="Normal 9 3 2 6 3" xfId="6132" xr:uid="{00000000-0005-0000-0000-0000F21F0000}"/>
    <cellStyle name="Normal 9 3 2 6 3 2" xfId="14574" xr:uid="{CD881C8A-7D98-4E20-B54C-5F7E7F9BBF87}"/>
    <cellStyle name="Normal 9 3 2 6 4" xfId="10356" xr:uid="{7E9BBFFB-05FD-41B8-9225-A850EE67D296}"/>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A59166BC-AA8B-4DC5-B640-EC4B53C7B705}"/>
    <cellStyle name="Normal 9 3 2 7 2 3" xfId="12914" xr:uid="{261604DC-09AE-4FCE-A2D2-129FF7DE4A92}"/>
    <cellStyle name="Normal 9 3 2 7 3" xfId="6545" xr:uid="{00000000-0005-0000-0000-0000F61F0000}"/>
    <cellStyle name="Normal 9 3 2 7 3 2" xfId="14987" xr:uid="{BEA6C018-59A9-4152-B7B3-D4F9981E29B6}"/>
    <cellStyle name="Normal 9 3 2 7 4" xfId="10769" xr:uid="{FB240B38-67E7-4B0D-9E4E-352964C5ED95}"/>
    <cellStyle name="Normal 9 3 2 8" xfId="2674" xr:uid="{00000000-0005-0000-0000-0000F71F0000}"/>
    <cellStyle name="Normal 9 3 2 8 2" xfId="6958" xr:uid="{00000000-0005-0000-0000-0000F81F0000}"/>
    <cellStyle name="Normal 9 3 2 8 2 2" xfId="15400" xr:uid="{64DC1690-153D-4D41-9DD5-6F15423FA3B1}"/>
    <cellStyle name="Normal 9 3 2 8 3" xfId="11182" xr:uid="{8CB87827-013F-4C4C-9FC1-5CA797E7579B}"/>
    <cellStyle name="Normal 9 3 2 9" xfId="4893" xr:uid="{00000000-0005-0000-0000-0000F91F0000}"/>
    <cellStyle name="Normal 9 3 2 9 2" xfId="13335" xr:uid="{1F21D1FD-901C-445D-96B3-99F51DC55855}"/>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6185BD43-1D03-47FE-BDDD-8ABE6EF0A5AB}"/>
    <cellStyle name="Normal 9 3 3 2 2 2 3" xfId="11680" xr:uid="{EB742555-500D-4A44-8E64-452D788E3526}"/>
    <cellStyle name="Normal 9 3 3 2 2 3" xfId="5311" xr:uid="{00000000-0005-0000-0000-0000FF1F0000}"/>
    <cellStyle name="Normal 9 3 3 2 2 3 2" xfId="13753" xr:uid="{76D98A04-092D-457E-BE00-D3D840AF4DE9}"/>
    <cellStyle name="Normal 9 3 3 2 2 4" xfId="9535" xr:uid="{68CBB19E-A0D8-4CEE-9A41-DD40DA37DD47}"/>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BC08E76D-23FA-4FCE-9C9F-00FACC09BB45}"/>
    <cellStyle name="Normal 9 3 3 2 3 2 3" xfId="12093" xr:uid="{20071DCB-939A-4972-A64B-5E9F793FC8CC}"/>
    <cellStyle name="Normal 9 3 3 2 3 3" xfId="5724" xr:uid="{00000000-0005-0000-0000-000003200000}"/>
    <cellStyle name="Normal 9 3 3 2 3 3 2" xfId="14166" xr:uid="{F6118B66-BEC8-4E01-8349-90A8363B1562}"/>
    <cellStyle name="Normal 9 3 3 2 3 4" xfId="9948" xr:uid="{56B026A8-848F-42B4-9B11-5A686FC70ED9}"/>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9C0ADD2A-4FCC-498D-B88D-BBCF6DC1BD27}"/>
    <cellStyle name="Normal 9 3 3 2 4 2 3" xfId="12506" xr:uid="{69F7451A-65E1-4A47-97E4-C99A523FE642}"/>
    <cellStyle name="Normal 9 3 3 2 4 3" xfId="6137" xr:uid="{00000000-0005-0000-0000-000007200000}"/>
    <cellStyle name="Normal 9 3 3 2 4 3 2" xfId="14579" xr:uid="{D4391B1F-DC5B-4648-9602-091D5137416A}"/>
    <cellStyle name="Normal 9 3 3 2 4 4" xfId="10361" xr:uid="{8D1F8BE3-F357-4EE2-8D72-A2F249DA1FC0}"/>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54E0F03D-2E43-4CA2-AB77-302C8CBF8C35}"/>
    <cellStyle name="Normal 9 3 3 2 5 2 3" xfId="12919" xr:uid="{3C7B3742-E685-4FF3-990F-915188D8C838}"/>
    <cellStyle name="Normal 9 3 3 2 5 3" xfId="6550" xr:uid="{00000000-0005-0000-0000-00000B200000}"/>
    <cellStyle name="Normal 9 3 3 2 5 3 2" xfId="14992" xr:uid="{96995658-9580-4111-8A77-01A2F998ED25}"/>
    <cellStyle name="Normal 9 3 3 2 5 4" xfId="10774" xr:uid="{CC54CE8A-529C-4ECE-BA94-6BB6A26DED99}"/>
    <cellStyle name="Normal 9 3 3 2 6" xfId="2679" xr:uid="{00000000-0005-0000-0000-00000C200000}"/>
    <cellStyle name="Normal 9 3 3 2 6 2" xfId="6963" xr:uid="{00000000-0005-0000-0000-00000D200000}"/>
    <cellStyle name="Normal 9 3 3 2 6 2 2" xfId="15405" xr:uid="{D552885B-1BCC-49D3-8CA3-D29B35A699B5}"/>
    <cellStyle name="Normal 9 3 3 2 6 3" xfId="11187" xr:uid="{A9F3BF40-35C6-4CB9-BADB-9242C024875C}"/>
    <cellStyle name="Normal 9 3 3 2 7" xfId="4898" xr:uid="{00000000-0005-0000-0000-00000E200000}"/>
    <cellStyle name="Normal 9 3 3 2 7 2" xfId="13340" xr:uid="{4E5B75C3-3911-43AA-AED1-3FB692C61A7B}"/>
    <cellStyle name="Normal 9 3 3 2 8" xfId="9122" xr:uid="{E20A3C44-677A-4C23-B832-FB60212F1639}"/>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4707B607-52C0-43E5-86F5-E37E34E6F74A}"/>
    <cellStyle name="Normal 9 3 3 3 2 3" xfId="11679" xr:uid="{912CAC73-5C9D-4537-97F1-B146EC19DFD8}"/>
    <cellStyle name="Normal 9 3 3 3 3" xfId="5310" xr:uid="{00000000-0005-0000-0000-000012200000}"/>
    <cellStyle name="Normal 9 3 3 3 3 2" xfId="13752" xr:uid="{BF45ADD4-A42B-4049-977C-7DAACF886999}"/>
    <cellStyle name="Normal 9 3 3 3 4" xfId="9534" xr:uid="{A9587DC3-67D7-4963-8ABA-0D37049D4048}"/>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7A9F488B-0DAC-4412-815E-ACA0D16D000B}"/>
    <cellStyle name="Normal 9 3 3 4 2 3" xfId="12092" xr:uid="{5B2093A4-26D9-46FF-9AFB-CAA43E4E4424}"/>
    <cellStyle name="Normal 9 3 3 4 3" xfId="5723" xr:uid="{00000000-0005-0000-0000-000016200000}"/>
    <cellStyle name="Normal 9 3 3 4 3 2" xfId="14165" xr:uid="{46AEB7F7-BE64-4A37-A8EB-55FF098A8AE5}"/>
    <cellStyle name="Normal 9 3 3 4 4" xfId="9947" xr:uid="{71481CF9-DF02-4AF8-8DF9-6F153E3988A1}"/>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6A3C2B39-855C-4774-AF0E-43E6B0EDE7BE}"/>
    <cellStyle name="Normal 9 3 3 5 2 3" xfId="12505" xr:uid="{737BF685-C2D9-4BC7-AF80-1BC2BBFA896C}"/>
    <cellStyle name="Normal 9 3 3 5 3" xfId="6136" xr:uid="{00000000-0005-0000-0000-00001A200000}"/>
    <cellStyle name="Normal 9 3 3 5 3 2" xfId="14578" xr:uid="{A47FE7E1-173D-4CFE-A49B-C16054C41303}"/>
    <cellStyle name="Normal 9 3 3 5 4" xfId="10360" xr:uid="{CAE9B136-7D87-41A7-83EE-FB8220F14BA9}"/>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45676366-4010-4F8D-B036-F355FC2B64F3}"/>
    <cellStyle name="Normal 9 3 3 6 2 3" xfId="12918" xr:uid="{44F96C4A-F4DA-4565-A537-FA10FEDCA325}"/>
    <cellStyle name="Normal 9 3 3 6 3" xfId="6549" xr:uid="{00000000-0005-0000-0000-00001E200000}"/>
    <cellStyle name="Normal 9 3 3 6 3 2" xfId="14991" xr:uid="{CE100E96-A654-4EB4-B90E-7FD7BF02A7E8}"/>
    <cellStyle name="Normal 9 3 3 6 4" xfId="10773" xr:uid="{7F5D1513-2B7E-4EA0-AC4B-8CEA3DEBF9CE}"/>
    <cellStyle name="Normal 9 3 3 7" xfId="2678" xr:uid="{00000000-0005-0000-0000-00001F200000}"/>
    <cellStyle name="Normal 9 3 3 7 2" xfId="6962" xr:uid="{00000000-0005-0000-0000-000020200000}"/>
    <cellStyle name="Normal 9 3 3 7 2 2" xfId="15404" xr:uid="{F4A1DEA3-05FE-40D1-9C60-CF0149245C6A}"/>
    <cellStyle name="Normal 9 3 3 7 3" xfId="11186" xr:uid="{BAB78354-8248-4B0B-85D5-BF72CBB4CABD}"/>
    <cellStyle name="Normal 9 3 3 8" xfId="4897" xr:uid="{00000000-0005-0000-0000-000021200000}"/>
    <cellStyle name="Normal 9 3 3 8 2" xfId="13339" xr:uid="{37D528D7-5987-4008-A827-558EE4F428B5}"/>
    <cellStyle name="Normal 9 3 3 9" xfId="9121" xr:uid="{2A13B566-C53B-411D-BD08-5822C7D30457}"/>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651AC6B8-779A-4CF9-912B-911E05E5F0B0}"/>
    <cellStyle name="Normal 9 3 4 2 2 3" xfId="11681" xr:uid="{BA6687AB-79CF-4E67-9BA5-4B011D8E9A24}"/>
    <cellStyle name="Normal 9 3 4 2 3" xfId="5312" xr:uid="{00000000-0005-0000-0000-000026200000}"/>
    <cellStyle name="Normal 9 3 4 2 3 2" xfId="13754" xr:uid="{BA9AB5CA-299A-4F93-94F1-05B2D32FE833}"/>
    <cellStyle name="Normal 9 3 4 2 4" xfId="9536" xr:uid="{54A3FBF8-9A68-4187-8277-CDC23B74A7AB}"/>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82065C23-B50D-49CA-85DB-109D43C582E3}"/>
    <cellStyle name="Normal 9 3 4 3 2 3" xfId="12094" xr:uid="{AD221F08-A558-449D-86CE-E525002B651D}"/>
    <cellStyle name="Normal 9 3 4 3 3" xfId="5725" xr:uid="{00000000-0005-0000-0000-00002A200000}"/>
    <cellStyle name="Normal 9 3 4 3 3 2" xfId="14167" xr:uid="{46A3BFA1-FC83-4A0C-B4AC-F4190B0149C7}"/>
    <cellStyle name="Normal 9 3 4 3 4" xfId="9949" xr:uid="{78114898-D0A5-487D-B392-421DFF4FC74F}"/>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C5F92BDA-E204-46A0-931F-31EDDA20E5F7}"/>
    <cellStyle name="Normal 9 3 4 4 2 3" xfId="12507" xr:uid="{71D20B81-C858-408C-A48A-B4EA16CCD39E}"/>
    <cellStyle name="Normal 9 3 4 4 3" xfId="6138" xr:uid="{00000000-0005-0000-0000-00002E200000}"/>
    <cellStyle name="Normal 9 3 4 4 3 2" xfId="14580" xr:uid="{E6225FA3-C507-442D-B9CE-B5D8217C3D5A}"/>
    <cellStyle name="Normal 9 3 4 4 4" xfId="10362" xr:uid="{C9550A5E-C193-4B77-BFF2-20995B079891}"/>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F1CC871A-20FF-409E-B97E-2CDD93121339}"/>
    <cellStyle name="Normal 9 3 4 5 2 3" xfId="12920" xr:uid="{6AD7838B-6B2D-4A82-93BC-6047DCF506D6}"/>
    <cellStyle name="Normal 9 3 4 5 3" xfId="6551" xr:uid="{00000000-0005-0000-0000-000032200000}"/>
    <cellStyle name="Normal 9 3 4 5 3 2" xfId="14993" xr:uid="{07A9C3FB-7FDB-408B-A6A7-BECED3226802}"/>
    <cellStyle name="Normal 9 3 4 5 4" xfId="10775" xr:uid="{10F0F83E-06E8-4127-BB03-1133EA6DA078}"/>
    <cellStyle name="Normal 9 3 4 6" xfId="2680" xr:uid="{00000000-0005-0000-0000-000033200000}"/>
    <cellStyle name="Normal 9 3 4 6 2" xfId="6964" xr:uid="{00000000-0005-0000-0000-000034200000}"/>
    <cellStyle name="Normal 9 3 4 6 2 2" xfId="15406" xr:uid="{1198334A-BB58-41F4-9406-D33B8B30520F}"/>
    <cellStyle name="Normal 9 3 4 6 3" xfId="11188" xr:uid="{15B3B1A4-8630-4268-A65D-52C5140A0924}"/>
    <cellStyle name="Normal 9 3 4 7" xfId="4899" xr:uid="{00000000-0005-0000-0000-000035200000}"/>
    <cellStyle name="Normal 9 3 4 7 2" xfId="13341" xr:uid="{DE5C6CFB-4255-4172-85E7-8ABB426FB1A4}"/>
    <cellStyle name="Normal 9 3 4 8" xfId="9123" xr:uid="{71EDFD47-3670-45E5-849A-74CD914E8537}"/>
    <cellStyle name="Normal 9 3 5" xfId="994" xr:uid="{00000000-0005-0000-0000-000036200000}"/>
    <cellStyle name="Normal 9 3 5 2" xfId="3227" xr:uid="{00000000-0005-0000-0000-000037200000}"/>
    <cellStyle name="Normal 9 3 5 2 2" xfId="7450" xr:uid="{00000000-0005-0000-0000-000038200000}"/>
    <cellStyle name="Normal 9 3 5 2 2 2" xfId="15892" xr:uid="{B586BC2F-BE92-43E3-B6E5-DD30808D1DC6}"/>
    <cellStyle name="Normal 9 3 5 2 3" xfId="11674" xr:uid="{65B4FDD0-6A51-45DE-AC38-604A3EA072D7}"/>
    <cellStyle name="Normal 9 3 5 3" xfId="5305" xr:uid="{00000000-0005-0000-0000-000039200000}"/>
    <cellStyle name="Normal 9 3 5 3 2" xfId="13747" xr:uid="{83DCD309-A8AB-4FAC-9D93-194EB28C5FD1}"/>
    <cellStyle name="Normal 9 3 5 4" xfId="9529" xr:uid="{5208C4CA-D5DE-4851-B2C2-E0ACA27E76F1}"/>
    <cellStyle name="Normal 9 3 6" xfId="1410" xr:uid="{00000000-0005-0000-0000-00003A200000}"/>
    <cellStyle name="Normal 9 3 6 2" xfId="3640" xr:uid="{00000000-0005-0000-0000-00003B200000}"/>
    <cellStyle name="Normal 9 3 6 2 2" xfId="7863" xr:uid="{00000000-0005-0000-0000-00003C200000}"/>
    <cellStyle name="Normal 9 3 6 2 2 2" xfId="16305" xr:uid="{4733874A-2EF2-40C7-B684-4210037CB7EF}"/>
    <cellStyle name="Normal 9 3 6 2 3" xfId="12087" xr:uid="{D29354BB-0649-4607-B5B8-DD3651E6AC93}"/>
    <cellStyle name="Normal 9 3 6 3" xfId="5718" xr:uid="{00000000-0005-0000-0000-00003D200000}"/>
    <cellStyle name="Normal 9 3 6 3 2" xfId="14160" xr:uid="{4C122B49-EDFA-44E9-9A34-C172569F1F65}"/>
    <cellStyle name="Normal 9 3 6 4" xfId="9942" xr:uid="{1A22AEF8-1227-4BEC-AB2E-98C2D15ECF1C}"/>
    <cellStyle name="Normal 9 3 7" xfId="1823" xr:uid="{00000000-0005-0000-0000-00003E200000}"/>
    <cellStyle name="Normal 9 3 7 2" xfId="4053" xr:uid="{00000000-0005-0000-0000-00003F200000}"/>
    <cellStyle name="Normal 9 3 7 2 2" xfId="8276" xr:uid="{00000000-0005-0000-0000-000040200000}"/>
    <cellStyle name="Normal 9 3 7 2 2 2" xfId="16718" xr:uid="{31505F5A-A147-43FF-99D8-34D7A22F202D}"/>
    <cellStyle name="Normal 9 3 7 2 3" xfId="12500" xr:uid="{DE20F90B-B8DC-471A-9C7B-8F7347FC8B94}"/>
    <cellStyle name="Normal 9 3 7 3" xfId="6131" xr:uid="{00000000-0005-0000-0000-000041200000}"/>
    <cellStyle name="Normal 9 3 7 3 2" xfId="14573" xr:uid="{96B725E1-EA08-4E27-925D-08712958914E}"/>
    <cellStyle name="Normal 9 3 7 4" xfId="10355" xr:uid="{CE631CCD-A4DB-48E9-9736-FA773FB613C3}"/>
    <cellStyle name="Normal 9 3 8" xfId="2237" xr:uid="{00000000-0005-0000-0000-000042200000}"/>
    <cellStyle name="Normal 9 3 8 2" xfId="4466" xr:uid="{00000000-0005-0000-0000-000043200000}"/>
    <cellStyle name="Normal 9 3 8 2 2" xfId="8689" xr:uid="{00000000-0005-0000-0000-000044200000}"/>
    <cellStyle name="Normal 9 3 8 2 2 2" xfId="17131" xr:uid="{D4E62975-1778-46B6-AE64-82479C87F0DE}"/>
    <cellStyle name="Normal 9 3 8 2 3" xfId="12913" xr:uid="{A8C09C06-DDAF-4FA1-9873-7E036AB859AB}"/>
    <cellStyle name="Normal 9 3 8 3" xfId="6544" xr:uid="{00000000-0005-0000-0000-000045200000}"/>
    <cellStyle name="Normal 9 3 8 3 2" xfId="14986" xr:uid="{4FE86E6E-FCFC-468B-AF52-579EFAF31A4D}"/>
    <cellStyle name="Normal 9 3 8 4" xfId="10768" xr:uid="{A0B56E5B-0644-441C-B3CB-6448BF4FB07A}"/>
    <cellStyle name="Normal 9 3 9" xfId="2673" xr:uid="{00000000-0005-0000-0000-000046200000}"/>
    <cellStyle name="Normal 9 3 9 2" xfId="6957" xr:uid="{00000000-0005-0000-0000-000047200000}"/>
    <cellStyle name="Normal 9 3 9 2 2" xfId="15399" xr:uid="{49384705-7EE4-458A-83B4-2A2E7C6FD651}"/>
    <cellStyle name="Normal 9 3 9 3" xfId="11181" xr:uid="{EB2C1E3B-3EF8-4009-9B33-309DD3F4C2B6}"/>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6B850B24-AB1F-4939-85CB-C8E86D8C946A}"/>
    <cellStyle name="Normal 9 5 2 2 2 3" xfId="11683" xr:uid="{000D65AC-5B65-4E6F-8071-3955534FFB6E}"/>
    <cellStyle name="Normal 9 5 2 2 3" xfId="5314" xr:uid="{00000000-0005-0000-0000-00004F200000}"/>
    <cellStyle name="Normal 9 5 2 2 3 2" xfId="13756" xr:uid="{A597F190-102C-47D9-8C54-D9432A2B9D9A}"/>
    <cellStyle name="Normal 9 5 2 2 4" xfId="9538" xr:uid="{9D977758-2DD6-4FE7-A2E0-0F1A132768FF}"/>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6B1A750D-D9E5-4401-8ABE-85513DED589F}"/>
    <cellStyle name="Normal 9 5 2 3 2 3" xfId="12096" xr:uid="{41561611-CA4D-4DAF-B827-D79E7A04CA49}"/>
    <cellStyle name="Normal 9 5 2 3 3" xfId="5727" xr:uid="{00000000-0005-0000-0000-000053200000}"/>
    <cellStyle name="Normal 9 5 2 3 3 2" xfId="14169" xr:uid="{7096DA3F-AF33-4796-B89A-5CA2CA84B5C8}"/>
    <cellStyle name="Normal 9 5 2 3 4" xfId="9951" xr:uid="{86C88B4D-B93C-4B28-93B9-6709F3437A48}"/>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B5E55EBF-9208-4B7E-80F1-6F113BE8010E}"/>
    <cellStyle name="Normal 9 5 2 4 2 3" xfId="12509" xr:uid="{6A2DB2B7-221E-4A06-B1C2-50476344BA30}"/>
    <cellStyle name="Normal 9 5 2 4 3" xfId="6140" xr:uid="{00000000-0005-0000-0000-000057200000}"/>
    <cellStyle name="Normal 9 5 2 4 3 2" xfId="14582" xr:uid="{535C35A4-FCA8-4948-A931-5F81404A8AED}"/>
    <cellStyle name="Normal 9 5 2 4 4" xfId="10364" xr:uid="{8A31D2AF-ED02-4A96-A2F3-D49D9DF2092A}"/>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1B21C6CE-ABF0-4F3C-98EC-8C4A3AFE29CC}"/>
    <cellStyle name="Normal 9 5 2 5 2 3" xfId="12922" xr:uid="{EB5A376C-D686-463A-9940-3971C8922B2F}"/>
    <cellStyle name="Normal 9 5 2 5 3" xfId="6553" xr:uid="{00000000-0005-0000-0000-00005B200000}"/>
    <cellStyle name="Normal 9 5 2 5 3 2" xfId="14995" xr:uid="{ECDDDD0C-1D89-4AF9-B11F-DC125B825F9F}"/>
    <cellStyle name="Normal 9 5 2 5 4" xfId="10777" xr:uid="{6E511779-053A-47AD-A25A-27E14BE339DE}"/>
    <cellStyle name="Normal 9 5 2 6" xfId="2682" xr:uid="{00000000-0005-0000-0000-00005C200000}"/>
    <cellStyle name="Normal 9 5 2 6 2" xfId="6966" xr:uid="{00000000-0005-0000-0000-00005D200000}"/>
    <cellStyle name="Normal 9 5 2 6 2 2" xfId="15408" xr:uid="{5A3B5AED-41AA-4C81-A84E-4EAB85CA0B76}"/>
    <cellStyle name="Normal 9 5 2 6 3" xfId="11190" xr:uid="{1BC262B1-BA22-43B3-B3BE-CF6284F604C3}"/>
    <cellStyle name="Normal 9 5 2 7" xfId="4901" xr:uid="{00000000-0005-0000-0000-00005E200000}"/>
    <cellStyle name="Normal 9 5 2 7 2" xfId="13343" xr:uid="{B1D6A893-7703-40F5-A20F-39C2D7DD22B9}"/>
    <cellStyle name="Normal 9 5 2 8" xfId="9125" xr:uid="{2EA42BD0-2EE7-42AA-80EB-E0B48E1A560C}"/>
    <cellStyle name="Normal 9 5 3" xfId="1003" xr:uid="{00000000-0005-0000-0000-00005F200000}"/>
    <cellStyle name="Normal 9 5 3 2" xfId="3235" xr:uid="{00000000-0005-0000-0000-000060200000}"/>
    <cellStyle name="Normal 9 5 3 2 2" xfId="7458" xr:uid="{00000000-0005-0000-0000-000061200000}"/>
    <cellStyle name="Normal 9 5 3 2 2 2" xfId="15900" xr:uid="{B11C200B-FA34-40A1-A2D5-0CBE352EF9ED}"/>
    <cellStyle name="Normal 9 5 3 2 3" xfId="11682" xr:uid="{C0A2DB13-31E3-425B-A267-E2638489D1C5}"/>
    <cellStyle name="Normal 9 5 3 3" xfId="5313" xr:uid="{00000000-0005-0000-0000-000062200000}"/>
    <cellStyle name="Normal 9 5 3 3 2" xfId="13755" xr:uid="{42A6F803-F671-44BC-AF88-FD60E8EAE292}"/>
    <cellStyle name="Normal 9 5 3 4" xfId="9537" xr:uid="{7E625CE4-3653-4E4E-BAA6-777D79153DBC}"/>
    <cellStyle name="Normal 9 5 4" xfId="1418" xr:uid="{00000000-0005-0000-0000-000063200000}"/>
    <cellStyle name="Normal 9 5 4 2" xfId="3648" xr:uid="{00000000-0005-0000-0000-000064200000}"/>
    <cellStyle name="Normal 9 5 4 2 2" xfId="7871" xr:uid="{00000000-0005-0000-0000-000065200000}"/>
    <cellStyle name="Normal 9 5 4 2 2 2" xfId="16313" xr:uid="{503A61DB-B9F0-4A9B-9338-CD9BEC7B5338}"/>
    <cellStyle name="Normal 9 5 4 2 3" xfId="12095" xr:uid="{F4098F55-4507-46EE-BC1C-134B57C11FF0}"/>
    <cellStyle name="Normal 9 5 4 3" xfId="5726" xr:uid="{00000000-0005-0000-0000-000066200000}"/>
    <cellStyle name="Normal 9 5 4 3 2" xfId="14168" xr:uid="{CC41D191-B6AE-4296-9C44-1B714408998C}"/>
    <cellStyle name="Normal 9 5 4 4" xfId="9950" xr:uid="{EA44E215-73DF-418F-8A20-7153C9CFA80A}"/>
    <cellStyle name="Normal 9 5 5" xfId="1831" xr:uid="{00000000-0005-0000-0000-000067200000}"/>
    <cellStyle name="Normal 9 5 5 2" xfId="4061" xr:uid="{00000000-0005-0000-0000-000068200000}"/>
    <cellStyle name="Normal 9 5 5 2 2" xfId="8284" xr:uid="{00000000-0005-0000-0000-000069200000}"/>
    <cellStyle name="Normal 9 5 5 2 2 2" xfId="16726" xr:uid="{3ADBE2EF-488D-4D6A-89A6-7B2941FED51F}"/>
    <cellStyle name="Normal 9 5 5 2 3" xfId="12508" xr:uid="{D9B61A1B-61E4-479A-AA74-C310868BE53D}"/>
    <cellStyle name="Normal 9 5 5 3" xfId="6139" xr:uid="{00000000-0005-0000-0000-00006A200000}"/>
    <cellStyle name="Normal 9 5 5 3 2" xfId="14581" xr:uid="{4392E99B-1AF9-4ED4-930A-FF7C0EDD5475}"/>
    <cellStyle name="Normal 9 5 5 4" xfId="10363" xr:uid="{0BFD6D4D-5421-4F59-871C-B8B6D7CB91F4}"/>
    <cellStyle name="Normal 9 5 6" xfId="2245" xr:uid="{00000000-0005-0000-0000-00006B200000}"/>
    <cellStyle name="Normal 9 5 6 2" xfId="4474" xr:uid="{00000000-0005-0000-0000-00006C200000}"/>
    <cellStyle name="Normal 9 5 6 2 2" xfId="8697" xr:uid="{00000000-0005-0000-0000-00006D200000}"/>
    <cellStyle name="Normal 9 5 6 2 2 2" xfId="17139" xr:uid="{1652BD9F-E7C0-43D1-B0D3-C6E95CFCDD4A}"/>
    <cellStyle name="Normal 9 5 6 2 3" xfId="12921" xr:uid="{17F14FF5-964F-4A1C-8DBB-E293CFA816E6}"/>
    <cellStyle name="Normal 9 5 6 3" xfId="6552" xr:uid="{00000000-0005-0000-0000-00006E200000}"/>
    <cellStyle name="Normal 9 5 6 3 2" xfId="14994" xr:uid="{2242DD28-6465-4FF5-9820-D223D525464E}"/>
    <cellStyle name="Normal 9 5 6 4" xfId="10776" xr:uid="{082F3627-1671-4767-A4D7-18726D125177}"/>
    <cellStyle name="Normal 9 5 7" xfId="2681" xr:uid="{00000000-0005-0000-0000-00006F200000}"/>
    <cellStyle name="Normal 9 5 7 2" xfId="6965" xr:uid="{00000000-0005-0000-0000-000070200000}"/>
    <cellStyle name="Normal 9 5 7 2 2" xfId="15407" xr:uid="{249772DE-FDAA-446F-8393-660CB8A33BD0}"/>
    <cellStyle name="Normal 9 5 7 3" xfId="11189" xr:uid="{7C2BD888-D8B3-4CFA-800B-00DFAEB5E6B1}"/>
    <cellStyle name="Normal 9 5 8" xfId="4900" xr:uid="{00000000-0005-0000-0000-000071200000}"/>
    <cellStyle name="Normal 9 5 8 2" xfId="13342" xr:uid="{1F3B9EA5-97D3-456A-AA15-E6A31A695A70}"/>
    <cellStyle name="Normal 9 5 9" xfId="9124" xr:uid="{60F99326-E0C5-4665-BC86-3B0908D24881}"/>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023A0619-C5CF-434A-896A-D68AE4E8A1C2}"/>
    <cellStyle name="Normal 9 6 2 2 3" xfId="11684" xr:uid="{DFA7B5A6-A7D6-492C-91B1-9DE3955117C5}"/>
    <cellStyle name="Normal 9 6 2 3" xfId="5315" xr:uid="{00000000-0005-0000-0000-000076200000}"/>
    <cellStyle name="Normal 9 6 2 3 2" xfId="13757" xr:uid="{C4B5F92A-320C-4935-AF1A-D7C99D368155}"/>
    <cellStyle name="Normal 9 6 2 4" xfId="9539" xr:uid="{4A61ECA9-D719-43F7-8337-DB1583F44D38}"/>
    <cellStyle name="Normal 9 6 3" xfId="1420" xr:uid="{00000000-0005-0000-0000-000077200000}"/>
    <cellStyle name="Normal 9 6 3 2" xfId="3650" xr:uid="{00000000-0005-0000-0000-000078200000}"/>
    <cellStyle name="Normal 9 6 3 2 2" xfId="7873" xr:uid="{00000000-0005-0000-0000-000079200000}"/>
    <cellStyle name="Normal 9 6 3 2 2 2" xfId="16315" xr:uid="{F6B9F35E-0E4A-43E0-A737-734E51B7255A}"/>
    <cellStyle name="Normal 9 6 3 2 3" xfId="12097" xr:uid="{87F2B8A4-8E35-4BE6-B133-7BDC7C61EC6B}"/>
    <cellStyle name="Normal 9 6 3 3" xfId="5728" xr:uid="{00000000-0005-0000-0000-00007A200000}"/>
    <cellStyle name="Normal 9 6 3 3 2" xfId="14170" xr:uid="{DA74165E-E7D9-4DD5-98A1-92B2C79059E5}"/>
    <cellStyle name="Normal 9 6 3 4" xfId="9952" xr:uid="{2D6AEFED-863B-4BCD-AA81-D7D18A247292}"/>
    <cellStyle name="Normal 9 6 4" xfId="1833" xr:uid="{00000000-0005-0000-0000-00007B200000}"/>
    <cellStyle name="Normal 9 6 4 2" xfId="4063" xr:uid="{00000000-0005-0000-0000-00007C200000}"/>
    <cellStyle name="Normal 9 6 4 2 2" xfId="8286" xr:uid="{00000000-0005-0000-0000-00007D200000}"/>
    <cellStyle name="Normal 9 6 4 2 2 2" xfId="16728" xr:uid="{CA3F8B17-2E9B-4B10-B27F-E8F978E15567}"/>
    <cellStyle name="Normal 9 6 4 2 3" xfId="12510" xr:uid="{CE663C05-FBB4-4F7F-B4A3-2C8E64AD5AF8}"/>
    <cellStyle name="Normal 9 6 4 3" xfId="6141" xr:uid="{00000000-0005-0000-0000-00007E200000}"/>
    <cellStyle name="Normal 9 6 4 3 2" xfId="14583" xr:uid="{60A0AFB6-E7CF-4851-A415-D48716DA00D9}"/>
    <cellStyle name="Normal 9 6 4 4" xfId="10365" xr:uid="{3E0FE0AD-4EC5-418D-8F7F-1212CF6D87E8}"/>
    <cellStyle name="Normal 9 6 5" xfId="2247" xr:uid="{00000000-0005-0000-0000-00007F200000}"/>
    <cellStyle name="Normal 9 6 5 2" xfId="4476" xr:uid="{00000000-0005-0000-0000-000080200000}"/>
    <cellStyle name="Normal 9 6 5 2 2" xfId="8699" xr:uid="{00000000-0005-0000-0000-000081200000}"/>
    <cellStyle name="Normal 9 6 5 2 2 2" xfId="17141" xr:uid="{40C44AC1-D2E6-493E-82D4-D604EECD42AE}"/>
    <cellStyle name="Normal 9 6 5 2 3" xfId="12923" xr:uid="{CAF60B06-A933-4D12-9F6B-51D0EF459CA1}"/>
    <cellStyle name="Normal 9 6 5 3" xfId="6554" xr:uid="{00000000-0005-0000-0000-000082200000}"/>
    <cellStyle name="Normal 9 6 5 3 2" xfId="14996" xr:uid="{3700F4E1-CD58-4AB7-909C-8C9159CFE6F4}"/>
    <cellStyle name="Normal 9 6 5 4" xfId="10778" xr:uid="{26D01316-5D5D-4A22-A812-840AEA1222FB}"/>
    <cellStyle name="Normal 9 6 6" xfId="2683" xr:uid="{00000000-0005-0000-0000-000083200000}"/>
    <cellStyle name="Normal 9 6 6 2" xfId="6967" xr:uid="{00000000-0005-0000-0000-000084200000}"/>
    <cellStyle name="Normal 9 6 6 2 2" xfId="15409" xr:uid="{B26F54DA-7BD5-4E3F-B0E6-33ECBACF7788}"/>
    <cellStyle name="Normal 9 6 6 3" xfId="11191" xr:uid="{CE0AD7F0-EAA7-4D3D-BFC4-92771B5B340F}"/>
    <cellStyle name="Normal 9 6 7" xfId="4902" xr:uid="{00000000-0005-0000-0000-000085200000}"/>
    <cellStyle name="Normal 9 6 7 2" xfId="13344" xr:uid="{1B9ED167-96CB-4BE9-A61E-AB227044632B}"/>
    <cellStyle name="Normal 9 6 8" xfId="9126" xr:uid="{7C4565A8-4C05-4980-8C69-8B3A394DEB79}"/>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056E4BF8-94B0-4EF4-9BEA-556390F7E034}"/>
    <cellStyle name="Note 2 2 10 3" xfId="11272" xr:uid="{3C163904-0A08-4467-9314-87F79CA97F3E}"/>
    <cellStyle name="Note 2 2 11" xfId="4903" xr:uid="{00000000-0005-0000-0000-000094200000}"/>
    <cellStyle name="Note 2 2 11 2" xfId="13345" xr:uid="{21C9658B-27FD-4467-B4C6-682ECB84D736}"/>
    <cellStyle name="Note 2 2 12" xfId="9127" xr:uid="{44C0F19D-CB52-424B-B1AF-B8BBC5DF30CE}"/>
    <cellStyle name="Note 2 2 2" xfId="546" xr:uid="{00000000-0005-0000-0000-000095200000}"/>
    <cellStyle name="Note 2 2 2 10" xfId="4904" xr:uid="{00000000-0005-0000-0000-000096200000}"/>
    <cellStyle name="Note 2 2 2 10 2" xfId="13346" xr:uid="{0D36B5EF-DA68-4DC8-B10E-C3BB1717DEE5}"/>
    <cellStyle name="Note 2 2 2 11" xfId="9128" xr:uid="{DEACD062-4C12-45AD-8C9D-1DB225E83185}"/>
    <cellStyle name="Note 2 2 2 2" xfId="547" xr:uid="{00000000-0005-0000-0000-000097200000}"/>
    <cellStyle name="Note 2 2 2 2 10" xfId="9129" xr:uid="{63204317-2340-4B6E-B852-DE8A345B5F55}"/>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8F4549E2-C0AF-430D-8C44-13A08612A6C2}"/>
    <cellStyle name="Note 2 2 2 2 2 2 3" xfId="11687" xr:uid="{2112EB41-C8FB-4E70-8C05-B7C47F3EB9D7}"/>
    <cellStyle name="Note 2 2 2 2 2 3" xfId="5318" xr:uid="{00000000-0005-0000-0000-00009B200000}"/>
    <cellStyle name="Note 2 2 2 2 2 3 2" xfId="13760" xr:uid="{DF4BD1F1-6787-40F6-BD42-30118CF2BFB7}"/>
    <cellStyle name="Note 2 2 2 2 2 4" xfId="9542" xr:uid="{4B8EA546-9C04-4A79-8D0D-1DDDC1679D23}"/>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9928F9F9-0315-4634-A3BA-5AC028ADF8B3}"/>
    <cellStyle name="Note 2 2 2 2 3 2 3" xfId="12100" xr:uid="{89307142-5D47-4972-9260-3546151F2A99}"/>
    <cellStyle name="Note 2 2 2 2 3 3" xfId="5731" xr:uid="{00000000-0005-0000-0000-00009F200000}"/>
    <cellStyle name="Note 2 2 2 2 3 3 2" xfId="14173" xr:uid="{935CCFD2-89B0-4ABC-8128-726E08C24AA5}"/>
    <cellStyle name="Note 2 2 2 2 3 4" xfId="9955" xr:uid="{38C89391-4ABF-4767-A7F4-2337E52BE228}"/>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166B5001-F683-44F2-8E5D-6D4D8110BD00}"/>
    <cellStyle name="Note 2 2 2 2 4 2 3" xfId="12513" xr:uid="{51977A7B-5DEE-406E-B3C7-D60299B4C9F8}"/>
    <cellStyle name="Note 2 2 2 2 4 3" xfId="6144" xr:uid="{00000000-0005-0000-0000-0000A3200000}"/>
    <cellStyle name="Note 2 2 2 2 4 3 2" xfId="14586" xr:uid="{D7C55F4A-72FC-48D6-B521-E98E5847E614}"/>
    <cellStyle name="Note 2 2 2 2 4 4" xfId="10368" xr:uid="{B1B88014-411A-492F-BFB1-7AFEEC584EF5}"/>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C519C153-63C4-4AE9-B056-DC5A41EFCCBE}"/>
    <cellStyle name="Note 2 2 2 2 5 2 3" xfId="12926" xr:uid="{BB425506-B4C4-4B39-87B4-1AA19966B182}"/>
    <cellStyle name="Note 2 2 2 2 5 3" xfId="6557" xr:uid="{00000000-0005-0000-0000-0000A7200000}"/>
    <cellStyle name="Note 2 2 2 2 5 3 2" xfId="14999" xr:uid="{4B26AD07-84B7-4083-98DC-500306A5D6A2}"/>
    <cellStyle name="Note 2 2 2 2 5 4" xfId="10781" xr:uid="{7A9E7CDF-4BD8-49C1-A6BC-5C0F24BE2789}"/>
    <cellStyle name="Note 2 2 2 2 6" xfId="2686" xr:uid="{00000000-0005-0000-0000-0000A8200000}"/>
    <cellStyle name="Note 2 2 2 2 6 2" xfId="6970" xr:uid="{00000000-0005-0000-0000-0000A9200000}"/>
    <cellStyle name="Note 2 2 2 2 6 2 2" xfId="15412" xr:uid="{AD6FED6F-EF35-4981-B23D-91A30A898E4A}"/>
    <cellStyle name="Note 2 2 2 2 6 3" xfId="11194" xr:uid="{0B54A287-9F43-48C1-B88E-EADB768266FC}"/>
    <cellStyle name="Note 2 2 2 2 7" xfId="2745" xr:uid="{00000000-0005-0000-0000-0000AA200000}"/>
    <cellStyle name="Note 2 2 2 2 8" xfId="2826" xr:uid="{00000000-0005-0000-0000-0000AB200000}"/>
    <cellStyle name="Note 2 2 2 2 8 2" xfId="7050" xr:uid="{00000000-0005-0000-0000-0000AC200000}"/>
    <cellStyle name="Note 2 2 2 2 8 2 2" xfId="15492" xr:uid="{6A980C3B-42A2-4FDB-82D5-7DA7136CA761}"/>
    <cellStyle name="Note 2 2 2 2 8 3" xfId="11274" xr:uid="{B7478BAB-80C1-4269-A523-FA58D6573F94}"/>
    <cellStyle name="Note 2 2 2 2 9" xfId="4905" xr:uid="{00000000-0005-0000-0000-0000AD200000}"/>
    <cellStyle name="Note 2 2 2 2 9 2" xfId="13347" xr:uid="{D592B623-522F-4EA0-BC4D-74BF7B034DCE}"/>
    <cellStyle name="Note 2 2 2 3" xfId="1007" xr:uid="{00000000-0005-0000-0000-0000AE200000}"/>
    <cellStyle name="Note 2 2 2 3 2" xfId="3239" xr:uid="{00000000-0005-0000-0000-0000AF200000}"/>
    <cellStyle name="Note 2 2 2 3 2 2" xfId="7462" xr:uid="{00000000-0005-0000-0000-0000B0200000}"/>
    <cellStyle name="Note 2 2 2 3 2 2 2" xfId="15904" xr:uid="{53A699B4-D72D-4A37-8847-C36413BE9F84}"/>
    <cellStyle name="Note 2 2 2 3 2 3" xfId="11686" xr:uid="{5FB46AAB-B3E9-4E7D-91C3-5917EA35EF7B}"/>
    <cellStyle name="Note 2 2 2 3 3" xfId="5317" xr:uid="{00000000-0005-0000-0000-0000B1200000}"/>
    <cellStyle name="Note 2 2 2 3 3 2" xfId="13759" xr:uid="{12D74DA2-8919-4E01-A3D0-5BD1E34487EF}"/>
    <cellStyle name="Note 2 2 2 3 4" xfId="9541" xr:uid="{28753EF7-F686-4946-8D86-D25BFEF5A752}"/>
    <cellStyle name="Note 2 2 2 4" xfId="1422" xr:uid="{00000000-0005-0000-0000-0000B2200000}"/>
    <cellStyle name="Note 2 2 2 4 2" xfId="3652" xr:uid="{00000000-0005-0000-0000-0000B3200000}"/>
    <cellStyle name="Note 2 2 2 4 2 2" xfId="7875" xr:uid="{00000000-0005-0000-0000-0000B4200000}"/>
    <cellStyle name="Note 2 2 2 4 2 2 2" xfId="16317" xr:uid="{BDBD103B-5C1A-4161-8944-E3B2FE640B33}"/>
    <cellStyle name="Note 2 2 2 4 2 3" xfId="12099" xr:uid="{F83CC490-C962-4E11-A4A6-BBEE310C072E}"/>
    <cellStyle name="Note 2 2 2 4 3" xfId="5730" xr:uid="{00000000-0005-0000-0000-0000B5200000}"/>
    <cellStyle name="Note 2 2 2 4 3 2" xfId="14172" xr:uid="{E0874D95-468F-4F5F-A8D8-7EFC0690C590}"/>
    <cellStyle name="Note 2 2 2 4 4" xfId="9954" xr:uid="{C4C361D7-5E62-43D2-9E8D-837A16FD896A}"/>
    <cellStyle name="Note 2 2 2 5" xfId="1836" xr:uid="{00000000-0005-0000-0000-0000B6200000}"/>
    <cellStyle name="Note 2 2 2 5 2" xfId="4065" xr:uid="{00000000-0005-0000-0000-0000B7200000}"/>
    <cellStyle name="Note 2 2 2 5 2 2" xfId="8288" xr:uid="{00000000-0005-0000-0000-0000B8200000}"/>
    <cellStyle name="Note 2 2 2 5 2 2 2" xfId="16730" xr:uid="{E5AEF5AC-2187-4DA5-8F6A-5C59A284BA43}"/>
    <cellStyle name="Note 2 2 2 5 2 3" xfId="12512" xr:uid="{8B920882-8727-408A-989C-C38B291A71EE}"/>
    <cellStyle name="Note 2 2 2 5 3" xfId="6143" xr:uid="{00000000-0005-0000-0000-0000B9200000}"/>
    <cellStyle name="Note 2 2 2 5 3 2" xfId="14585" xr:uid="{4939411F-7114-4575-97C5-F190DF372CF7}"/>
    <cellStyle name="Note 2 2 2 5 4" xfId="10367" xr:uid="{B24C205F-F1C9-47FC-9636-0E5886ECB8C8}"/>
    <cellStyle name="Note 2 2 2 6" xfId="2249" xr:uid="{00000000-0005-0000-0000-0000BA200000}"/>
    <cellStyle name="Note 2 2 2 6 2" xfId="4478" xr:uid="{00000000-0005-0000-0000-0000BB200000}"/>
    <cellStyle name="Note 2 2 2 6 2 2" xfId="8701" xr:uid="{00000000-0005-0000-0000-0000BC200000}"/>
    <cellStyle name="Note 2 2 2 6 2 2 2" xfId="17143" xr:uid="{E332B59D-AC87-47DA-9347-435798534D95}"/>
    <cellStyle name="Note 2 2 2 6 2 3" xfId="12925" xr:uid="{EC13C3D0-3720-4778-ADF9-293B7F46B762}"/>
    <cellStyle name="Note 2 2 2 6 3" xfId="6556" xr:uid="{00000000-0005-0000-0000-0000BD200000}"/>
    <cellStyle name="Note 2 2 2 6 3 2" xfId="14998" xr:uid="{4073652C-25E8-414E-8CD4-9E3B9DA7A204}"/>
    <cellStyle name="Note 2 2 2 6 4" xfId="10780" xr:uid="{6F812F29-205E-4111-8280-2CBF81204E83}"/>
    <cellStyle name="Note 2 2 2 7" xfId="2685" xr:uid="{00000000-0005-0000-0000-0000BE200000}"/>
    <cellStyle name="Note 2 2 2 7 2" xfId="6969" xr:uid="{00000000-0005-0000-0000-0000BF200000}"/>
    <cellStyle name="Note 2 2 2 7 2 2" xfId="15411" xr:uid="{8563A195-228E-4043-8288-4A976F249E94}"/>
    <cellStyle name="Note 2 2 2 7 3" xfId="11193" xr:uid="{D3DB2B31-7185-40A3-8DED-18A732372B30}"/>
    <cellStyle name="Note 2 2 2 8" xfId="2744" xr:uid="{00000000-0005-0000-0000-0000C0200000}"/>
    <cellStyle name="Note 2 2 2 9" xfId="2825" xr:uid="{00000000-0005-0000-0000-0000C1200000}"/>
    <cellStyle name="Note 2 2 2 9 2" xfId="7049" xr:uid="{00000000-0005-0000-0000-0000C2200000}"/>
    <cellStyle name="Note 2 2 2 9 2 2" xfId="15491" xr:uid="{44FC524E-5548-4250-A8CC-77B27CB77E0E}"/>
    <cellStyle name="Note 2 2 2 9 3" xfId="11273" xr:uid="{CD8FA029-8111-4F41-B7E5-AA5A74A009CA}"/>
    <cellStyle name="Note 2 2 3" xfId="548" xr:uid="{00000000-0005-0000-0000-0000C3200000}"/>
    <cellStyle name="Note 2 2 3 10" xfId="9130" xr:uid="{787F411D-D91A-45AD-BB40-C12E95E116B4}"/>
    <cellStyle name="Note 2 2 3 2" xfId="1009" xr:uid="{00000000-0005-0000-0000-0000C4200000}"/>
    <cellStyle name="Note 2 2 3 2 2" xfId="3241" xr:uid="{00000000-0005-0000-0000-0000C5200000}"/>
    <cellStyle name="Note 2 2 3 2 2 2" xfId="7464" xr:uid="{00000000-0005-0000-0000-0000C6200000}"/>
    <cellStyle name="Note 2 2 3 2 2 2 2" xfId="15906" xr:uid="{45EEB96E-C123-4D18-9AA2-A3E3FF3816BA}"/>
    <cellStyle name="Note 2 2 3 2 2 3" xfId="11688" xr:uid="{F3051229-291B-4674-B9F3-FAD8188F2A86}"/>
    <cellStyle name="Note 2 2 3 2 3" xfId="5319" xr:uid="{00000000-0005-0000-0000-0000C7200000}"/>
    <cellStyle name="Note 2 2 3 2 3 2" xfId="13761" xr:uid="{8122021D-F7A2-4766-95BA-E31FDB537E72}"/>
    <cellStyle name="Note 2 2 3 2 4" xfId="9543" xr:uid="{595A2A05-5497-49D5-903B-B409EE20CB1D}"/>
    <cellStyle name="Note 2 2 3 3" xfId="1424" xr:uid="{00000000-0005-0000-0000-0000C8200000}"/>
    <cellStyle name="Note 2 2 3 3 2" xfId="3654" xr:uid="{00000000-0005-0000-0000-0000C9200000}"/>
    <cellStyle name="Note 2 2 3 3 2 2" xfId="7877" xr:uid="{00000000-0005-0000-0000-0000CA200000}"/>
    <cellStyle name="Note 2 2 3 3 2 2 2" xfId="16319" xr:uid="{6D5A4962-6E31-4693-9933-C23CB2CF2594}"/>
    <cellStyle name="Note 2 2 3 3 2 3" xfId="12101" xr:uid="{190E5525-87D0-4D67-BBD4-0C49EDD8E415}"/>
    <cellStyle name="Note 2 2 3 3 3" xfId="5732" xr:uid="{00000000-0005-0000-0000-0000CB200000}"/>
    <cellStyle name="Note 2 2 3 3 3 2" xfId="14174" xr:uid="{E7D95925-D937-499F-8C47-6380DF1E922B}"/>
    <cellStyle name="Note 2 2 3 3 4" xfId="9956" xr:uid="{671906EA-5C2A-4297-B664-A39EDD8F3BDB}"/>
    <cellStyle name="Note 2 2 3 4" xfId="1838" xr:uid="{00000000-0005-0000-0000-0000CC200000}"/>
    <cellStyle name="Note 2 2 3 4 2" xfId="4067" xr:uid="{00000000-0005-0000-0000-0000CD200000}"/>
    <cellStyle name="Note 2 2 3 4 2 2" xfId="8290" xr:uid="{00000000-0005-0000-0000-0000CE200000}"/>
    <cellStyle name="Note 2 2 3 4 2 2 2" xfId="16732" xr:uid="{C9D93504-AFF0-47C8-B855-F751A8882E8D}"/>
    <cellStyle name="Note 2 2 3 4 2 3" xfId="12514" xr:uid="{B656CDE0-7422-401F-8A11-B20A8A0EBBAD}"/>
    <cellStyle name="Note 2 2 3 4 3" xfId="6145" xr:uid="{00000000-0005-0000-0000-0000CF200000}"/>
    <cellStyle name="Note 2 2 3 4 3 2" xfId="14587" xr:uid="{FF2D421C-B2A7-428A-8522-5510E9B4F02E}"/>
    <cellStyle name="Note 2 2 3 4 4" xfId="10369" xr:uid="{DC3FE6F5-CA8D-48D5-B352-4C6417942A60}"/>
    <cellStyle name="Note 2 2 3 5" xfId="2251" xr:uid="{00000000-0005-0000-0000-0000D0200000}"/>
    <cellStyle name="Note 2 2 3 5 2" xfId="4480" xr:uid="{00000000-0005-0000-0000-0000D1200000}"/>
    <cellStyle name="Note 2 2 3 5 2 2" xfId="8703" xr:uid="{00000000-0005-0000-0000-0000D2200000}"/>
    <cellStyle name="Note 2 2 3 5 2 2 2" xfId="17145" xr:uid="{6627FFA7-C692-4B8D-A670-B354CC6235D9}"/>
    <cellStyle name="Note 2 2 3 5 2 3" xfId="12927" xr:uid="{5AD60253-FF53-4E30-B6BB-499437AC736B}"/>
    <cellStyle name="Note 2 2 3 5 3" xfId="6558" xr:uid="{00000000-0005-0000-0000-0000D3200000}"/>
    <cellStyle name="Note 2 2 3 5 3 2" xfId="15000" xr:uid="{F18C2D48-4E9D-40D6-BA7A-5B208D7B1453}"/>
    <cellStyle name="Note 2 2 3 5 4" xfId="10782" xr:uid="{7879F2E1-825B-4113-90E5-F0D9028AD6EE}"/>
    <cellStyle name="Note 2 2 3 6" xfId="2687" xr:uid="{00000000-0005-0000-0000-0000D4200000}"/>
    <cellStyle name="Note 2 2 3 6 2" xfId="6971" xr:uid="{00000000-0005-0000-0000-0000D5200000}"/>
    <cellStyle name="Note 2 2 3 6 2 2" xfId="15413" xr:uid="{03B8ACC6-804C-4EB8-998F-1EB69385055D}"/>
    <cellStyle name="Note 2 2 3 6 3" xfId="11195" xr:uid="{C4FA3C78-9D27-47C8-8C89-19F911EE7780}"/>
    <cellStyle name="Note 2 2 3 7" xfId="2746" xr:uid="{00000000-0005-0000-0000-0000D6200000}"/>
    <cellStyle name="Note 2 2 3 8" xfId="2827" xr:uid="{00000000-0005-0000-0000-0000D7200000}"/>
    <cellStyle name="Note 2 2 3 8 2" xfId="7051" xr:uid="{00000000-0005-0000-0000-0000D8200000}"/>
    <cellStyle name="Note 2 2 3 8 2 2" xfId="15493" xr:uid="{647EFF31-F722-49CF-897B-57409762FFC4}"/>
    <cellStyle name="Note 2 2 3 8 3" xfId="11275" xr:uid="{B4D42E12-061E-43BF-A3B3-A57A74870D8E}"/>
    <cellStyle name="Note 2 2 3 9" xfId="4906" xr:uid="{00000000-0005-0000-0000-0000D9200000}"/>
    <cellStyle name="Note 2 2 3 9 2" xfId="13348" xr:uid="{D02304F9-75CF-4737-9D09-7F48BB240267}"/>
    <cellStyle name="Note 2 2 4" xfId="1006" xr:uid="{00000000-0005-0000-0000-0000DA200000}"/>
    <cellStyle name="Note 2 2 4 2" xfId="3238" xr:uid="{00000000-0005-0000-0000-0000DB200000}"/>
    <cellStyle name="Note 2 2 4 2 2" xfId="7461" xr:uid="{00000000-0005-0000-0000-0000DC200000}"/>
    <cellStyle name="Note 2 2 4 2 2 2" xfId="15903" xr:uid="{E20F5E4B-D0FF-42E1-920F-0B52297EE011}"/>
    <cellStyle name="Note 2 2 4 2 3" xfId="11685" xr:uid="{1147C162-C8C0-46AE-847C-7CEB097570ED}"/>
    <cellStyle name="Note 2 2 4 3" xfId="5316" xr:uid="{00000000-0005-0000-0000-0000DD200000}"/>
    <cellStyle name="Note 2 2 4 3 2" xfId="13758" xr:uid="{3A131CAA-F0E3-49BA-82B7-FA41156DA5F3}"/>
    <cellStyle name="Note 2 2 4 4" xfId="9540" xr:uid="{1A92829B-66D4-4D91-89DF-EAAB5433D3AE}"/>
    <cellStyle name="Note 2 2 5" xfId="1421" xr:uid="{00000000-0005-0000-0000-0000DE200000}"/>
    <cellStyle name="Note 2 2 5 2" xfId="3651" xr:uid="{00000000-0005-0000-0000-0000DF200000}"/>
    <cellStyle name="Note 2 2 5 2 2" xfId="7874" xr:uid="{00000000-0005-0000-0000-0000E0200000}"/>
    <cellStyle name="Note 2 2 5 2 2 2" xfId="16316" xr:uid="{A99F7B4B-CC9A-442D-B2D5-F1448AEDEAE7}"/>
    <cellStyle name="Note 2 2 5 2 3" xfId="12098" xr:uid="{13188CB1-B5F9-4032-B71B-B75052C13C06}"/>
    <cellStyle name="Note 2 2 5 3" xfId="5729" xr:uid="{00000000-0005-0000-0000-0000E1200000}"/>
    <cellStyle name="Note 2 2 5 3 2" xfId="14171" xr:uid="{1FDC5141-3AB0-40E2-B700-6B82FF4BC1F8}"/>
    <cellStyle name="Note 2 2 5 4" xfId="9953" xr:uid="{D2C72B46-4C50-48B3-94FB-9E0BA8FD1277}"/>
    <cellStyle name="Note 2 2 6" xfId="1835" xr:uid="{00000000-0005-0000-0000-0000E2200000}"/>
    <cellStyle name="Note 2 2 6 2" xfId="4064" xr:uid="{00000000-0005-0000-0000-0000E3200000}"/>
    <cellStyle name="Note 2 2 6 2 2" xfId="8287" xr:uid="{00000000-0005-0000-0000-0000E4200000}"/>
    <cellStyle name="Note 2 2 6 2 2 2" xfId="16729" xr:uid="{B739CDF0-24D7-48BE-B508-94A735994FAB}"/>
    <cellStyle name="Note 2 2 6 2 3" xfId="12511" xr:uid="{7304DD76-EFA0-46AF-A0ED-1B8A0BA99CD7}"/>
    <cellStyle name="Note 2 2 6 3" xfId="6142" xr:uid="{00000000-0005-0000-0000-0000E5200000}"/>
    <cellStyle name="Note 2 2 6 3 2" xfId="14584" xr:uid="{D81ABA29-38F9-49B7-9301-A2CAAF82FED8}"/>
    <cellStyle name="Note 2 2 6 4" xfId="10366" xr:uid="{47F2423B-8020-4DE0-B6AA-4AD11FF86D2D}"/>
    <cellStyle name="Note 2 2 7" xfId="2248" xr:uid="{00000000-0005-0000-0000-0000E6200000}"/>
    <cellStyle name="Note 2 2 7 2" xfId="4477" xr:uid="{00000000-0005-0000-0000-0000E7200000}"/>
    <cellStyle name="Note 2 2 7 2 2" xfId="8700" xr:uid="{00000000-0005-0000-0000-0000E8200000}"/>
    <cellStyle name="Note 2 2 7 2 2 2" xfId="17142" xr:uid="{8E836F75-9EB8-4DE1-9A80-9CC5078D5F27}"/>
    <cellStyle name="Note 2 2 7 2 3" xfId="12924" xr:uid="{6A5FFACD-3CA1-4434-9237-C4A9B986F657}"/>
    <cellStyle name="Note 2 2 7 3" xfId="6555" xr:uid="{00000000-0005-0000-0000-0000E9200000}"/>
    <cellStyle name="Note 2 2 7 3 2" xfId="14997" xr:uid="{B15800D1-7673-473D-AEFA-9993F131D987}"/>
    <cellStyle name="Note 2 2 7 4" xfId="10779" xr:uid="{76E30522-3A89-42C4-B79A-028D766543A8}"/>
    <cellStyle name="Note 2 2 8" xfId="2684" xr:uid="{00000000-0005-0000-0000-0000EA200000}"/>
    <cellStyle name="Note 2 2 8 2" xfId="6968" xr:uid="{00000000-0005-0000-0000-0000EB200000}"/>
    <cellStyle name="Note 2 2 8 2 2" xfId="15410" xr:uid="{715CFA24-09ED-4347-8F66-8A2A0A8AFA72}"/>
    <cellStyle name="Note 2 2 8 3" xfId="11192" xr:uid="{C570018A-B50A-4403-A451-526F6636EA3D}"/>
    <cellStyle name="Note 2 2 9" xfId="2743" xr:uid="{00000000-0005-0000-0000-0000EC200000}"/>
    <cellStyle name="Note 2 3" xfId="549" xr:uid="{00000000-0005-0000-0000-0000ED200000}"/>
    <cellStyle name="Note 2 3 10" xfId="4907" xr:uid="{00000000-0005-0000-0000-0000EE200000}"/>
    <cellStyle name="Note 2 3 10 2" xfId="13349" xr:uid="{00616A41-2E1B-46F5-974C-D4D9A0B2AF99}"/>
    <cellStyle name="Note 2 3 11" xfId="9131" xr:uid="{2A34116A-9CCA-49BA-B20C-0ADC3ED89596}"/>
    <cellStyle name="Note 2 3 2" xfId="550" xr:uid="{00000000-0005-0000-0000-0000EF200000}"/>
    <cellStyle name="Note 2 3 2 10" xfId="9132" xr:uid="{04F4E399-2629-4498-81F4-D8C0389A2F69}"/>
    <cellStyle name="Note 2 3 2 2" xfId="1011" xr:uid="{00000000-0005-0000-0000-0000F0200000}"/>
    <cellStyle name="Note 2 3 2 2 2" xfId="3243" xr:uid="{00000000-0005-0000-0000-0000F1200000}"/>
    <cellStyle name="Note 2 3 2 2 2 2" xfId="7466" xr:uid="{00000000-0005-0000-0000-0000F2200000}"/>
    <cellStyle name="Note 2 3 2 2 2 2 2" xfId="15908" xr:uid="{C36CAF2D-4419-443E-8EE9-3A3EAA278567}"/>
    <cellStyle name="Note 2 3 2 2 2 3" xfId="11690" xr:uid="{E82B1BA5-D540-41D3-A983-D1DB0E0875A7}"/>
    <cellStyle name="Note 2 3 2 2 3" xfId="5321" xr:uid="{00000000-0005-0000-0000-0000F3200000}"/>
    <cellStyle name="Note 2 3 2 2 3 2" xfId="13763" xr:uid="{58D2D480-BD55-49D8-B246-72D60BB8ED3B}"/>
    <cellStyle name="Note 2 3 2 2 4" xfId="9545" xr:uid="{6D7B1191-9D45-43DD-9C39-5DFB0DD78503}"/>
    <cellStyle name="Note 2 3 2 3" xfId="1426" xr:uid="{00000000-0005-0000-0000-0000F4200000}"/>
    <cellStyle name="Note 2 3 2 3 2" xfId="3656" xr:uid="{00000000-0005-0000-0000-0000F5200000}"/>
    <cellStyle name="Note 2 3 2 3 2 2" xfId="7879" xr:uid="{00000000-0005-0000-0000-0000F6200000}"/>
    <cellStyle name="Note 2 3 2 3 2 2 2" xfId="16321" xr:uid="{E7FB29DB-0CF5-4080-A584-1FD5786582BB}"/>
    <cellStyle name="Note 2 3 2 3 2 3" xfId="12103" xr:uid="{C86B0591-92F5-487A-B18B-901FBD79B552}"/>
    <cellStyle name="Note 2 3 2 3 3" xfId="5734" xr:uid="{00000000-0005-0000-0000-0000F7200000}"/>
    <cellStyle name="Note 2 3 2 3 3 2" xfId="14176" xr:uid="{43EB3CA1-B3D6-4ACD-86DB-A855CFEE714E}"/>
    <cellStyle name="Note 2 3 2 3 4" xfId="9958" xr:uid="{2C66E893-2065-447E-BD8C-497F9B54A95C}"/>
    <cellStyle name="Note 2 3 2 4" xfId="1840" xr:uid="{00000000-0005-0000-0000-0000F8200000}"/>
    <cellStyle name="Note 2 3 2 4 2" xfId="4069" xr:uid="{00000000-0005-0000-0000-0000F9200000}"/>
    <cellStyle name="Note 2 3 2 4 2 2" xfId="8292" xr:uid="{00000000-0005-0000-0000-0000FA200000}"/>
    <cellStyle name="Note 2 3 2 4 2 2 2" xfId="16734" xr:uid="{D42916B1-63DB-4F24-96AE-328EBAD89597}"/>
    <cellStyle name="Note 2 3 2 4 2 3" xfId="12516" xr:uid="{76A84F96-EE4F-4454-ACB8-1709939FC0DB}"/>
    <cellStyle name="Note 2 3 2 4 3" xfId="6147" xr:uid="{00000000-0005-0000-0000-0000FB200000}"/>
    <cellStyle name="Note 2 3 2 4 3 2" xfId="14589" xr:uid="{961C71DB-CDAF-4195-AF5B-A2A763B016E4}"/>
    <cellStyle name="Note 2 3 2 4 4" xfId="10371" xr:uid="{AC29AD35-FAD3-49E2-B856-C1A2AED764EE}"/>
    <cellStyle name="Note 2 3 2 5" xfId="2253" xr:uid="{00000000-0005-0000-0000-0000FC200000}"/>
    <cellStyle name="Note 2 3 2 5 2" xfId="4482" xr:uid="{00000000-0005-0000-0000-0000FD200000}"/>
    <cellStyle name="Note 2 3 2 5 2 2" xfId="8705" xr:uid="{00000000-0005-0000-0000-0000FE200000}"/>
    <cellStyle name="Note 2 3 2 5 2 2 2" xfId="17147" xr:uid="{7E19105C-8D76-4CB4-8DD2-BEF80D95C762}"/>
    <cellStyle name="Note 2 3 2 5 2 3" xfId="12929" xr:uid="{01A01B58-FC47-4A2C-9401-009CD71C8AEA}"/>
    <cellStyle name="Note 2 3 2 5 3" xfId="6560" xr:uid="{00000000-0005-0000-0000-0000FF200000}"/>
    <cellStyle name="Note 2 3 2 5 3 2" xfId="15002" xr:uid="{E6A518E3-B068-4B97-B56D-06E7B459A1E5}"/>
    <cellStyle name="Note 2 3 2 5 4" xfId="10784" xr:uid="{7A07D06D-89DC-4047-9CA1-2B6C66C61E91}"/>
    <cellStyle name="Note 2 3 2 6" xfId="2689" xr:uid="{00000000-0005-0000-0000-000000210000}"/>
    <cellStyle name="Note 2 3 2 6 2" xfId="6973" xr:uid="{00000000-0005-0000-0000-000001210000}"/>
    <cellStyle name="Note 2 3 2 6 2 2" xfId="15415" xr:uid="{8991EC0B-CF11-4CCF-AF81-38A08C518F15}"/>
    <cellStyle name="Note 2 3 2 6 3" xfId="11197" xr:uid="{6B54DFAD-17ED-4332-B135-E31BA4341B05}"/>
    <cellStyle name="Note 2 3 2 7" xfId="2748" xr:uid="{00000000-0005-0000-0000-000002210000}"/>
    <cellStyle name="Note 2 3 2 8" xfId="2829" xr:uid="{00000000-0005-0000-0000-000003210000}"/>
    <cellStyle name="Note 2 3 2 8 2" xfId="7053" xr:uid="{00000000-0005-0000-0000-000004210000}"/>
    <cellStyle name="Note 2 3 2 8 2 2" xfId="15495" xr:uid="{808C8048-036A-4D83-83FD-0C5EB738EE60}"/>
    <cellStyle name="Note 2 3 2 8 3" xfId="11277" xr:uid="{C7E8C804-AE41-4F52-9974-24716713334B}"/>
    <cellStyle name="Note 2 3 2 9" xfId="4908" xr:uid="{00000000-0005-0000-0000-000005210000}"/>
    <cellStyle name="Note 2 3 2 9 2" xfId="13350" xr:uid="{8C85F995-4AE6-4B52-BE26-AB92401B3084}"/>
    <cellStyle name="Note 2 3 3" xfId="1010" xr:uid="{00000000-0005-0000-0000-000006210000}"/>
    <cellStyle name="Note 2 3 3 2" xfId="3242" xr:uid="{00000000-0005-0000-0000-000007210000}"/>
    <cellStyle name="Note 2 3 3 2 2" xfId="7465" xr:uid="{00000000-0005-0000-0000-000008210000}"/>
    <cellStyle name="Note 2 3 3 2 2 2" xfId="15907" xr:uid="{9E18C3EC-B2A5-4752-B5C3-67150096F85F}"/>
    <cellStyle name="Note 2 3 3 2 3" xfId="11689" xr:uid="{F1FB3F71-ACB0-4211-A9BF-B9566164B4A8}"/>
    <cellStyle name="Note 2 3 3 3" xfId="5320" xr:uid="{00000000-0005-0000-0000-000009210000}"/>
    <cellStyle name="Note 2 3 3 3 2" xfId="13762" xr:uid="{E82C5207-0436-4EE3-9E38-858732B759C8}"/>
    <cellStyle name="Note 2 3 3 4" xfId="9544" xr:uid="{1C1C814C-33C9-45E2-A81C-4E9D85F742D6}"/>
    <cellStyle name="Note 2 3 4" xfId="1425" xr:uid="{00000000-0005-0000-0000-00000A210000}"/>
    <cellStyle name="Note 2 3 4 2" xfId="3655" xr:uid="{00000000-0005-0000-0000-00000B210000}"/>
    <cellStyle name="Note 2 3 4 2 2" xfId="7878" xr:uid="{00000000-0005-0000-0000-00000C210000}"/>
    <cellStyle name="Note 2 3 4 2 2 2" xfId="16320" xr:uid="{19388F8D-D445-48CD-9EAC-F38B9E2E5F22}"/>
    <cellStyle name="Note 2 3 4 2 3" xfId="12102" xr:uid="{82CCF09F-E850-4AB7-86F0-D5435CDAB741}"/>
    <cellStyle name="Note 2 3 4 3" xfId="5733" xr:uid="{00000000-0005-0000-0000-00000D210000}"/>
    <cellStyle name="Note 2 3 4 3 2" xfId="14175" xr:uid="{AADD4ABB-9F1B-4E44-97E9-8D5EAE8BF369}"/>
    <cellStyle name="Note 2 3 4 4" xfId="9957" xr:uid="{1211468C-1AC2-4079-A0F6-1F7ED36EB31F}"/>
    <cellStyle name="Note 2 3 5" xfId="1839" xr:uid="{00000000-0005-0000-0000-00000E210000}"/>
    <cellStyle name="Note 2 3 5 2" xfId="4068" xr:uid="{00000000-0005-0000-0000-00000F210000}"/>
    <cellStyle name="Note 2 3 5 2 2" xfId="8291" xr:uid="{00000000-0005-0000-0000-000010210000}"/>
    <cellStyle name="Note 2 3 5 2 2 2" xfId="16733" xr:uid="{89053AFC-55DA-4161-B332-B2ED5B408C16}"/>
    <cellStyle name="Note 2 3 5 2 3" xfId="12515" xr:uid="{1953F3FE-1130-4256-B279-B2DF407BBDE1}"/>
    <cellStyle name="Note 2 3 5 3" xfId="6146" xr:uid="{00000000-0005-0000-0000-000011210000}"/>
    <cellStyle name="Note 2 3 5 3 2" xfId="14588" xr:uid="{F8E961C1-93B4-4560-BDB0-E6F3C578456A}"/>
    <cellStyle name="Note 2 3 5 4" xfId="10370" xr:uid="{8FC0C4A2-AC6B-481E-8E79-8C7EB4CF0268}"/>
    <cellStyle name="Note 2 3 6" xfId="2252" xr:uid="{00000000-0005-0000-0000-000012210000}"/>
    <cellStyle name="Note 2 3 6 2" xfId="4481" xr:uid="{00000000-0005-0000-0000-000013210000}"/>
    <cellStyle name="Note 2 3 6 2 2" xfId="8704" xr:uid="{00000000-0005-0000-0000-000014210000}"/>
    <cellStyle name="Note 2 3 6 2 2 2" xfId="17146" xr:uid="{10BC6FC6-DEDB-4752-B8C3-8FBCAC72BC32}"/>
    <cellStyle name="Note 2 3 6 2 3" xfId="12928" xr:uid="{979FDA3C-3CD7-49E5-9C36-AAA4CD23305C}"/>
    <cellStyle name="Note 2 3 6 3" xfId="6559" xr:uid="{00000000-0005-0000-0000-000015210000}"/>
    <cellStyle name="Note 2 3 6 3 2" xfId="15001" xr:uid="{1102D072-F694-456F-B760-B56DF7B36C9A}"/>
    <cellStyle name="Note 2 3 6 4" xfId="10783" xr:uid="{9D0F43A0-DBC6-4D46-A664-D318DD38B504}"/>
    <cellStyle name="Note 2 3 7" xfId="2688" xr:uid="{00000000-0005-0000-0000-000016210000}"/>
    <cellStyle name="Note 2 3 7 2" xfId="6972" xr:uid="{00000000-0005-0000-0000-000017210000}"/>
    <cellStyle name="Note 2 3 7 2 2" xfId="15414" xr:uid="{6257CF49-AE0A-4D00-84FC-EE238CAF5DBA}"/>
    <cellStyle name="Note 2 3 7 3" xfId="11196" xr:uid="{20F0C74C-03D2-43E3-A69F-18FCD0167167}"/>
    <cellStyle name="Note 2 3 8" xfId="2747" xr:uid="{00000000-0005-0000-0000-000018210000}"/>
    <cellStyle name="Note 2 3 9" xfId="2828" xr:uid="{00000000-0005-0000-0000-000019210000}"/>
    <cellStyle name="Note 2 3 9 2" xfId="7052" xr:uid="{00000000-0005-0000-0000-00001A210000}"/>
    <cellStyle name="Note 2 3 9 2 2" xfId="15494" xr:uid="{AB860EE7-1919-4B48-8081-EE1F9A12CA24}"/>
    <cellStyle name="Note 2 3 9 3" xfId="11276" xr:uid="{1EB1BFE1-9669-46CF-9171-9C6E418A0B9E}"/>
    <cellStyle name="Note 2 4" xfId="551" xr:uid="{00000000-0005-0000-0000-00001B210000}"/>
    <cellStyle name="Note 2 4 10" xfId="9133" xr:uid="{6D498273-01ED-4942-BCA8-CCACEE99CB0E}"/>
    <cellStyle name="Note 2 4 2" xfId="1012" xr:uid="{00000000-0005-0000-0000-00001C210000}"/>
    <cellStyle name="Note 2 4 2 2" xfId="3244" xr:uid="{00000000-0005-0000-0000-00001D210000}"/>
    <cellStyle name="Note 2 4 2 2 2" xfId="7467" xr:uid="{00000000-0005-0000-0000-00001E210000}"/>
    <cellStyle name="Note 2 4 2 2 2 2" xfId="15909" xr:uid="{2E4E442E-37AE-4DFF-963D-515D82EED07B}"/>
    <cellStyle name="Note 2 4 2 2 3" xfId="11691" xr:uid="{E652C065-6AD8-479F-9DEF-C5F43BA7F660}"/>
    <cellStyle name="Note 2 4 2 3" xfId="5322" xr:uid="{00000000-0005-0000-0000-00001F210000}"/>
    <cellStyle name="Note 2 4 2 3 2" xfId="13764" xr:uid="{392B7FE9-5A3B-40E5-AC3C-380FA7BEA19D}"/>
    <cellStyle name="Note 2 4 2 4" xfId="9546" xr:uid="{D507530A-215D-4F7A-A38D-57D94A537C74}"/>
    <cellStyle name="Note 2 4 3" xfId="1427" xr:uid="{00000000-0005-0000-0000-000020210000}"/>
    <cellStyle name="Note 2 4 3 2" xfId="3657" xr:uid="{00000000-0005-0000-0000-000021210000}"/>
    <cellStyle name="Note 2 4 3 2 2" xfId="7880" xr:uid="{00000000-0005-0000-0000-000022210000}"/>
    <cellStyle name="Note 2 4 3 2 2 2" xfId="16322" xr:uid="{3865A967-9F7B-4FA1-B3C1-9B091EB6422F}"/>
    <cellStyle name="Note 2 4 3 2 3" xfId="12104" xr:uid="{2477EE9E-894A-4B54-88C0-E0BCBDD67786}"/>
    <cellStyle name="Note 2 4 3 3" xfId="5735" xr:uid="{00000000-0005-0000-0000-000023210000}"/>
    <cellStyle name="Note 2 4 3 3 2" xfId="14177" xr:uid="{9F1DDC1D-569C-4E2A-9D64-42023CA759AD}"/>
    <cellStyle name="Note 2 4 3 4" xfId="9959" xr:uid="{5DC53A55-5F68-42C5-8AA8-E7B8F2D27EBB}"/>
    <cellStyle name="Note 2 4 4" xfId="1841" xr:uid="{00000000-0005-0000-0000-000024210000}"/>
    <cellStyle name="Note 2 4 4 2" xfId="4070" xr:uid="{00000000-0005-0000-0000-000025210000}"/>
    <cellStyle name="Note 2 4 4 2 2" xfId="8293" xr:uid="{00000000-0005-0000-0000-000026210000}"/>
    <cellStyle name="Note 2 4 4 2 2 2" xfId="16735" xr:uid="{BF99AF5C-D40D-499D-8730-C04925783416}"/>
    <cellStyle name="Note 2 4 4 2 3" xfId="12517" xr:uid="{F8653DE9-BF12-48FC-AFED-E072E6357077}"/>
    <cellStyle name="Note 2 4 4 3" xfId="6148" xr:uid="{00000000-0005-0000-0000-000027210000}"/>
    <cellStyle name="Note 2 4 4 3 2" xfId="14590" xr:uid="{E8CAFD54-48A6-4EEA-9983-A0EE0B11D16F}"/>
    <cellStyle name="Note 2 4 4 4" xfId="10372" xr:uid="{D31B26F4-337D-4901-8AFA-5ED23517B474}"/>
    <cellStyle name="Note 2 4 5" xfId="2254" xr:uid="{00000000-0005-0000-0000-000028210000}"/>
    <cellStyle name="Note 2 4 5 2" xfId="4483" xr:uid="{00000000-0005-0000-0000-000029210000}"/>
    <cellStyle name="Note 2 4 5 2 2" xfId="8706" xr:uid="{00000000-0005-0000-0000-00002A210000}"/>
    <cellStyle name="Note 2 4 5 2 2 2" xfId="17148" xr:uid="{B4509E46-3E63-4E7A-92F1-65156A8C5AC5}"/>
    <cellStyle name="Note 2 4 5 2 3" xfId="12930" xr:uid="{17BBEC45-9F70-4099-A384-79A2228FE3B8}"/>
    <cellStyle name="Note 2 4 5 3" xfId="6561" xr:uid="{00000000-0005-0000-0000-00002B210000}"/>
    <cellStyle name="Note 2 4 5 3 2" xfId="15003" xr:uid="{639DD072-745A-4507-90D3-59C9B8532CCD}"/>
    <cellStyle name="Note 2 4 5 4" xfId="10785" xr:uid="{DF15D3F7-8256-4215-A71A-6B8D422C0DF5}"/>
    <cellStyle name="Note 2 4 6" xfId="2690" xr:uid="{00000000-0005-0000-0000-00002C210000}"/>
    <cellStyle name="Note 2 4 6 2" xfId="6974" xr:uid="{00000000-0005-0000-0000-00002D210000}"/>
    <cellStyle name="Note 2 4 6 2 2" xfId="15416" xr:uid="{81BEE363-483E-482B-AEAA-8D7598404DE2}"/>
    <cellStyle name="Note 2 4 6 3" xfId="11198" xr:uid="{3E0F953C-5A81-4CC1-B242-B6599A8D0EAB}"/>
    <cellStyle name="Note 2 4 7" xfId="2749" xr:uid="{00000000-0005-0000-0000-00002E210000}"/>
    <cellStyle name="Note 2 4 8" xfId="2830" xr:uid="{00000000-0005-0000-0000-00002F210000}"/>
    <cellStyle name="Note 2 4 8 2" xfId="7054" xr:uid="{00000000-0005-0000-0000-000030210000}"/>
    <cellStyle name="Note 2 4 8 2 2" xfId="15496" xr:uid="{CD120714-B01E-458C-A17A-F183B64F066F}"/>
    <cellStyle name="Note 2 4 8 3" xfId="11278" xr:uid="{C56B1206-F10E-46F5-88F8-D3E924274BA3}"/>
    <cellStyle name="Note 2 4 9" xfId="4909" xr:uid="{00000000-0005-0000-0000-000031210000}"/>
    <cellStyle name="Note 2 4 9 2" xfId="13351" xr:uid="{A1610CA9-DC7C-4293-A9EF-E03CA22DE1A0}"/>
    <cellStyle name="Note 2 5" xfId="552" xr:uid="{00000000-0005-0000-0000-000032210000}"/>
    <cellStyle name="Note 2 5 10" xfId="9134" xr:uid="{00F8D1A2-02F9-4620-AAE2-7FCAC017CFB4}"/>
    <cellStyle name="Note 2 5 2" xfId="1013" xr:uid="{00000000-0005-0000-0000-000033210000}"/>
    <cellStyle name="Note 2 5 2 2" xfId="3245" xr:uid="{00000000-0005-0000-0000-000034210000}"/>
    <cellStyle name="Note 2 5 2 2 2" xfId="7468" xr:uid="{00000000-0005-0000-0000-000035210000}"/>
    <cellStyle name="Note 2 5 2 2 2 2" xfId="15910" xr:uid="{22AC6634-12D9-4308-8A5F-511EF3AEE0EA}"/>
    <cellStyle name="Note 2 5 2 2 3" xfId="11692" xr:uid="{D5D8CC33-2A68-4F06-B50E-3155354DCB62}"/>
    <cellStyle name="Note 2 5 2 3" xfId="5323" xr:uid="{00000000-0005-0000-0000-000036210000}"/>
    <cellStyle name="Note 2 5 2 3 2" xfId="13765" xr:uid="{3C1BD862-FAE6-41FA-A566-601348E4F709}"/>
    <cellStyle name="Note 2 5 2 4" xfId="9547" xr:uid="{6C8EBB46-7EA2-4814-908E-65508C94BE11}"/>
    <cellStyle name="Note 2 5 3" xfId="1428" xr:uid="{00000000-0005-0000-0000-000037210000}"/>
    <cellStyle name="Note 2 5 3 2" xfId="3658" xr:uid="{00000000-0005-0000-0000-000038210000}"/>
    <cellStyle name="Note 2 5 3 2 2" xfId="7881" xr:uid="{00000000-0005-0000-0000-000039210000}"/>
    <cellStyle name="Note 2 5 3 2 2 2" xfId="16323" xr:uid="{434667CB-F75B-4A5F-A299-856E5ECEA1C9}"/>
    <cellStyle name="Note 2 5 3 2 3" xfId="12105" xr:uid="{83F889DD-8CCB-446E-AE23-6523D2D2D777}"/>
    <cellStyle name="Note 2 5 3 3" xfId="5736" xr:uid="{00000000-0005-0000-0000-00003A210000}"/>
    <cellStyle name="Note 2 5 3 3 2" xfId="14178" xr:uid="{D598C703-4039-4E0B-8A29-5329AA6D5B0D}"/>
    <cellStyle name="Note 2 5 3 4" xfId="9960" xr:uid="{34BB2DEF-E448-4A0F-B0AE-3C729F011349}"/>
    <cellStyle name="Note 2 5 4" xfId="1842" xr:uid="{00000000-0005-0000-0000-00003B210000}"/>
    <cellStyle name="Note 2 5 4 2" xfId="4071" xr:uid="{00000000-0005-0000-0000-00003C210000}"/>
    <cellStyle name="Note 2 5 4 2 2" xfId="8294" xr:uid="{00000000-0005-0000-0000-00003D210000}"/>
    <cellStyle name="Note 2 5 4 2 2 2" xfId="16736" xr:uid="{24434AF7-41CB-4DA2-85B4-CBA7DDC7D2BA}"/>
    <cellStyle name="Note 2 5 4 2 3" xfId="12518" xr:uid="{8236EC4A-3023-4152-932A-D6DC025E7017}"/>
    <cellStyle name="Note 2 5 4 3" xfId="6149" xr:uid="{00000000-0005-0000-0000-00003E210000}"/>
    <cellStyle name="Note 2 5 4 3 2" xfId="14591" xr:uid="{0517A0CA-2358-42C7-B0CF-C830C30BCD7B}"/>
    <cellStyle name="Note 2 5 4 4" xfId="10373" xr:uid="{13EBAAD9-5492-462D-AF73-C2ED0511B7E3}"/>
    <cellStyle name="Note 2 5 5" xfId="2255" xr:uid="{00000000-0005-0000-0000-00003F210000}"/>
    <cellStyle name="Note 2 5 5 2" xfId="4484" xr:uid="{00000000-0005-0000-0000-000040210000}"/>
    <cellStyle name="Note 2 5 5 2 2" xfId="8707" xr:uid="{00000000-0005-0000-0000-000041210000}"/>
    <cellStyle name="Note 2 5 5 2 2 2" xfId="17149" xr:uid="{C14A2C92-603A-4B78-840E-10ED6F1ADDFF}"/>
    <cellStyle name="Note 2 5 5 2 3" xfId="12931" xr:uid="{4949FF6F-A6D9-4C73-814C-4D5A4F7CE784}"/>
    <cellStyle name="Note 2 5 5 3" xfId="6562" xr:uid="{00000000-0005-0000-0000-000042210000}"/>
    <cellStyle name="Note 2 5 5 3 2" xfId="15004" xr:uid="{E5191AB8-9DDF-4B5A-829A-2D3B1321B8C3}"/>
    <cellStyle name="Note 2 5 5 4" xfId="10786" xr:uid="{CDD1EC4D-C960-49A1-917C-8F4C0065196A}"/>
    <cellStyle name="Note 2 5 6" xfId="2691" xr:uid="{00000000-0005-0000-0000-000043210000}"/>
    <cellStyle name="Note 2 5 6 2" xfId="6975" xr:uid="{00000000-0005-0000-0000-000044210000}"/>
    <cellStyle name="Note 2 5 6 2 2" xfId="15417" xr:uid="{C85BEF45-8C2E-425B-AFFA-3DD29057B428}"/>
    <cellStyle name="Note 2 5 6 3" xfId="11199" xr:uid="{8ACAE8D1-CA65-4473-8695-33B8FD8D06F9}"/>
    <cellStyle name="Note 2 5 7" xfId="2750" xr:uid="{00000000-0005-0000-0000-000045210000}"/>
    <cellStyle name="Note 2 5 8" xfId="2831" xr:uid="{00000000-0005-0000-0000-000046210000}"/>
    <cellStyle name="Note 2 5 8 2" xfId="7055" xr:uid="{00000000-0005-0000-0000-000047210000}"/>
    <cellStyle name="Note 2 5 8 2 2" xfId="15497" xr:uid="{0066018C-6142-4122-9998-099E7934CBA9}"/>
    <cellStyle name="Note 2 5 8 3" xfId="11279" xr:uid="{24C5C5A0-31C6-4B81-9775-5C7D0068C873}"/>
    <cellStyle name="Note 2 5 9" xfId="4910" xr:uid="{00000000-0005-0000-0000-000048210000}"/>
    <cellStyle name="Note 2 5 9 2" xfId="13352" xr:uid="{05102D19-89C0-4CE2-B242-2ECC62CC589B}"/>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3A79491C-7231-420A-B005-693D334E0961}"/>
    <cellStyle name="Note 3 2 10 3" xfId="11280" xr:uid="{9F873A1A-B179-4B44-8618-FAF45632C3AB}"/>
    <cellStyle name="Note 3 2 11" xfId="4911" xr:uid="{00000000-0005-0000-0000-00004D210000}"/>
    <cellStyle name="Note 3 2 11 2" xfId="13353" xr:uid="{163E4D5B-50AD-41C3-AE86-46E971AA2D82}"/>
    <cellStyle name="Note 3 2 12" xfId="9135" xr:uid="{FC8F324C-1EB1-4258-8068-84EEFC1F2ED8}"/>
    <cellStyle name="Note 3 2 2" xfId="555" xr:uid="{00000000-0005-0000-0000-00004E210000}"/>
    <cellStyle name="Note 3 2 2 10" xfId="4912" xr:uid="{00000000-0005-0000-0000-00004F210000}"/>
    <cellStyle name="Note 3 2 2 10 2" xfId="13354" xr:uid="{6ABB9E12-CE72-453D-8353-0996B4CEE682}"/>
    <cellStyle name="Note 3 2 2 11" xfId="9136" xr:uid="{341CFF45-75A0-4EC2-B2DD-74F6DD8FC2A5}"/>
    <cellStyle name="Note 3 2 2 2" xfId="556" xr:uid="{00000000-0005-0000-0000-000050210000}"/>
    <cellStyle name="Note 3 2 2 2 10" xfId="9137" xr:uid="{FE1EABA6-5DA4-4599-94CF-22DB56ED3F53}"/>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BC739A50-67D1-468B-9D9A-D7881CAE1161}"/>
    <cellStyle name="Note 3 2 2 2 2 2 3" xfId="11695" xr:uid="{8B42DB6B-AB66-4FDE-A389-C225BC13E676}"/>
    <cellStyle name="Note 3 2 2 2 2 3" xfId="5326" xr:uid="{00000000-0005-0000-0000-000054210000}"/>
    <cellStyle name="Note 3 2 2 2 2 3 2" xfId="13768" xr:uid="{374716B7-D9FA-4729-8CBA-FBF1A0E429E9}"/>
    <cellStyle name="Note 3 2 2 2 2 4" xfId="9550" xr:uid="{574D7455-A95C-40EE-81B6-58B8BD5C964C}"/>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8EE67F94-7E10-4EB9-A88E-7A59085D1096}"/>
    <cellStyle name="Note 3 2 2 2 3 2 3" xfId="12108" xr:uid="{911AFE5B-B0E2-4529-B639-D8DC1F02E9B5}"/>
    <cellStyle name="Note 3 2 2 2 3 3" xfId="5739" xr:uid="{00000000-0005-0000-0000-000058210000}"/>
    <cellStyle name="Note 3 2 2 2 3 3 2" xfId="14181" xr:uid="{CB040C8C-C3C3-45A2-95E5-6C1501523D5E}"/>
    <cellStyle name="Note 3 2 2 2 3 4" xfId="9963" xr:uid="{87D64E89-D3B3-427F-9A02-E06F33D74183}"/>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5716E063-4D8F-4159-AA3A-1F87C5194DBF}"/>
    <cellStyle name="Note 3 2 2 2 4 2 3" xfId="12521" xr:uid="{720EF0ED-F3A0-42D1-9FC1-23E8610B15E9}"/>
    <cellStyle name="Note 3 2 2 2 4 3" xfId="6152" xr:uid="{00000000-0005-0000-0000-00005C210000}"/>
    <cellStyle name="Note 3 2 2 2 4 3 2" xfId="14594" xr:uid="{47BE7568-075C-47BA-8F41-764F19889EDB}"/>
    <cellStyle name="Note 3 2 2 2 4 4" xfId="10376" xr:uid="{5984A754-9E9E-4E26-8C54-AFF2BA0A9EE0}"/>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CD3E007A-F969-4C79-B49E-47D0EB15A0CC}"/>
    <cellStyle name="Note 3 2 2 2 5 2 3" xfId="12934" xr:uid="{296EB273-FA40-486C-AF3D-009899C4E00B}"/>
    <cellStyle name="Note 3 2 2 2 5 3" xfId="6565" xr:uid="{00000000-0005-0000-0000-000060210000}"/>
    <cellStyle name="Note 3 2 2 2 5 3 2" xfId="15007" xr:uid="{876BD3ED-538B-440C-8CDC-B2B33C829E5B}"/>
    <cellStyle name="Note 3 2 2 2 5 4" xfId="10789" xr:uid="{E68AE8CC-70F3-4BA0-B2E0-18EC5BCA632F}"/>
    <cellStyle name="Note 3 2 2 2 6" xfId="2694" xr:uid="{00000000-0005-0000-0000-000061210000}"/>
    <cellStyle name="Note 3 2 2 2 6 2" xfId="6978" xr:uid="{00000000-0005-0000-0000-000062210000}"/>
    <cellStyle name="Note 3 2 2 2 6 2 2" xfId="15420" xr:uid="{2032C56B-B59F-434E-8409-36CBC09A60F3}"/>
    <cellStyle name="Note 3 2 2 2 6 3" xfId="11202" xr:uid="{69DFC0A3-77EA-4201-8E08-467D359B9AD3}"/>
    <cellStyle name="Note 3 2 2 2 7" xfId="2753" xr:uid="{00000000-0005-0000-0000-000063210000}"/>
    <cellStyle name="Note 3 2 2 2 8" xfId="2834" xr:uid="{00000000-0005-0000-0000-000064210000}"/>
    <cellStyle name="Note 3 2 2 2 8 2" xfId="7058" xr:uid="{00000000-0005-0000-0000-000065210000}"/>
    <cellStyle name="Note 3 2 2 2 8 2 2" xfId="15500" xr:uid="{FF79EC4F-0BDA-41B3-99AD-A2DF07804473}"/>
    <cellStyle name="Note 3 2 2 2 8 3" xfId="11282" xr:uid="{4152989F-A5D2-480E-9AD9-5C1E25F7DDFF}"/>
    <cellStyle name="Note 3 2 2 2 9" xfId="4913" xr:uid="{00000000-0005-0000-0000-000066210000}"/>
    <cellStyle name="Note 3 2 2 2 9 2" xfId="13355" xr:uid="{467A5CCF-FA80-4C6A-898F-A19D0C08CB7D}"/>
    <cellStyle name="Note 3 2 2 3" xfId="1015" xr:uid="{00000000-0005-0000-0000-000067210000}"/>
    <cellStyle name="Note 3 2 2 3 2" xfId="3247" xr:uid="{00000000-0005-0000-0000-000068210000}"/>
    <cellStyle name="Note 3 2 2 3 2 2" xfId="7470" xr:uid="{00000000-0005-0000-0000-000069210000}"/>
    <cellStyle name="Note 3 2 2 3 2 2 2" xfId="15912" xr:uid="{0735A3C8-B07E-4457-B047-0BE9AE50B052}"/>
    <cellStyle name="Note 3 2 2 3 2 3" xfId="11694" xr:uid="{624979BB-4F79-49B9-A2DD-E81851C7A953}"/>
    <cellStyle name="Note 3 2 2 3 3" xfId="5325" xr:uid="{00000000-0005-0000-0000-00006A210000}"/>
    <cellStyle name="Note 3 2 2 3 3 2" xfId="13767" xr:uid="{EEB1B861-227C-4834-9644-072E2258CE58}"/>
    <cellStyle name="Note 3 2 2 3 4" xfId="9549" xr:uid="{911816FD-8994-46AE-8A06-0EE5B10642E7}"/>
    <cellStyle name="Note 3 2 2 4" xfId="1430" xr:uid="{00000000-0005-0000-0000-00006B210000}"/>
    <cellStyle name="Note 3 2 2 4 2" xfId="3660" xr:uid="{00000000-0005-0000-0000-00006C210000}"/>
    <cellStyle name="Note 3 2 2 4 2 2" xfId="7883" xr:uid="{00000000-0005-0000-0000-00006D210000}"/>
    <cellStyle name="Note 3 2 2 4 2 2 2" xfId="16325" xr:uid="{E8C2EB26-30C2-4E74-8AC9-38A07CF5DE78}"/>
    <cellStyle name="Note 3 2 2 4 2 3" xfId="12107" xr:uid="{7D3FA2C4-5CB3-4685-ACA6-3EA632EEFCB2}"/>
    <cellStyle name="Note 3 2 2 4 3" xfId="5738" xr:uid="{00000000-0005-0000-0000-00006E210000}"/>
    <cellStyle name="Note 3 2 2 4 3 2" xfId="14180" xr:uid="{BFDDF4E7-3D59-461E-BFA2-A08E67CC4016}"/>
    <cellStyle name="Note 3 2 2 4 4" xfId="9962" xr:uid="{41E83763-516F-4BCB-B345-D16E1AEC095D}"/>
    <cellStyle name="Note 3 2 2 5" xfId="1844" xr:uid="{00000000-0005-0000-0000-00006F210000}"/>
    <cellStyle name="Note 3 2 2 5 2" xfId="4073" xr:uid="{00000000-0005-0000-0000-000070210000}"/>
    <cellStyle name="Note 3 2 2 5 2 2" xfId="8296" xr:uid="{00000000-0005-0000-0000-000071210000}"/>
    <cellStyle name="Note 3 2 2 5 2 2 2" xfId="16738" xr:uid="{00C069E3-2897-4008-AA5A-A4BDEFB1A5BC}"/>
    <cellStyle name="Note 3 2 2 5 2 3" xfId="12520" xr:uid="{9D0E610A-02BE-4B4F-B50C-38A5F7BFF654}"/>
    <cellStyle name="Note 3 2 2 5 3" xfId="6151" xr:uid="{00000000-0005-0000-0000-000072210000}"/>
    <cellStyle name="Note 3 2 2 5 3 2" xfId="14593" xr:uid="{FBE3626B-BB59-462F-8850-54A15D93F00A}"/>
    <cellStyle name="Note 3 2 2 5 4" xfId="10375" xr:uid="{385BCAC8-2D8E-4FBB-912E-C40926631F7E}"/>
    <cellStyle name="Note 3 2 2 6" xfId="2257" xr:uid="{00000000-0005-0000-0000-000073210000}"/>
    <cellStyle name="Note 3 2 2 6 2" xfId="4486" xr:uid="{00000000-0005-0000-0000-000074210000}"/>
    <cellStyle name="Note 3 2 2 6 2 2" xfId="8709" xr:uid="{00000000-0005-0000-0000-000075210000}"/>
    <cellStyle name="Note 3 2 2 6 2 2 2" xfId="17151" xr:uid="{627F7EFF-930F-4621-8C86-FECC051C634B}"/>
    <cellStyle name="Note 3 2 2 6 2 3" xfId="12933" xr:uid="{016A4400-3573-4464-87A6-774DF70D5883}"/>
    <cellStyle name="Note 3 2 2 6 3" xfId="6564" xr:uid="{00000000-0005-0000-0000-000076210000}"/>
    <cellStyle name="Note 3 2 2 6 3 2" xfId="15006" xr:uid="{569989F5-C434-4875-9A8F-49AA98926BEF}"/>
    <cellStyle name="Note 3 2 2 6 4" xfId="10788" xr:uid="{E553A15B-2660-4BA7-A3B7-0C4400507C12}"/>
    <cellStyle name="Note 3 2 2 7" xfId="2693" xr:uid="{00000000-0005-0000-0000-000077210000}"/>
    <cellStyle name="Note 3 2 2 7 2" xfId="6977" xr:uid="{00000000-0005-0000-0000-000078210000}"/>
    <cellStyle name="Note 3 2 2 7 2 2" xfId="15419" xr:uid="{C795B3FB-C5ED-4C9D-8E1F-36EA7E46AB06}"/>
    <cellStyle name="Note 3 2 2 7 3" xfId="11201" xr:uid="{6316A589-C04B-4A67-BE82-0D49343BEC3D}"/>
    <cellStyle name="Note 3 2 2 8" xfId="2752" xr:uid="{00000000-0005-0000-0000-000079210000}"/>
    <cellStyle name="Note 3 2 2 9" xfId="2833" xr:uid="{00000000-0005-0000-0000-00007A210000}"/>
    <cellStyle name="Note 3 2 2 9 2" xfId="7057" xr:uid="{00000000-0005-0000-0000-00007B210000}"/>
    <cellStyle name="Note 3 2 2 9 2 2" xfId="15499" xr:uid="{562AD304-A8F0-4FCF-8E42-CD75A5EE41E2}"/>
    <cellStyle name="Note 3 2 2 9 3" xfId="11281" xr:uid="{45B8D4D0-F2CA-4744-A9EF-9194C7A5C701}"/>
    <cellStyle name="Note 3 2 3" xfId="557" xr:uid="{00000000-0005-0000-0000-00007C210000}"/>
    <cellStyle name="Note 3 2 3 10" xfId="9138" xr:uid="{7D2F0D30-ADED-4134-8E45-D39559B220DF}"/>
    <cellStyle name="Note 3 2 3 2" xfId="1017" xr:uid="{00000000-0005-0000-0000-00007D210000}"/>
    <cellStyle name="Note 3 2 3 2 2" xfId="3249" xr:uid="{00000000-0005-0000-0000-00007E210000}"/>
    <cellStyle name="Note 3 2 3 2 2 2" xfId="7472" xr:uid="{00000000-0005-0000-0000-00007F210000}"/>
    <cellStyle name="Note 3 2 3 2 2 2 2" xfId="15914" xr:uid="{CCF79EF2-DEDE-4AC1-A41C-D2EE2948E4B4}"/>
    <cellStyle name="Note 3 2 3 2 2 3" xfId="11696" xr:uid="{113C8B2A-49EA-419A-9837-D21DA6AE633D}"/>
    <cellStyle name="Note 3 2 3 2 3" xfId="5327" xr:uid="{00000000-0005-0000-0000-000080210000}"/>
    <cellStyle name="Note 3 2 3 2 3 2" xfId="13769" xr:uid="{4C8FA9C6-6BB1-4FC9-B514-0ED6366E07F1}"/>
    <cellStyle name="Note 3 2 3 2 4" xfId="9551" xr:uid="{5AD4EED7-34F1-46B7-9548-2A4A060027AC}"/>
    <cellStyle name="Note 3 2 3 3" xfId="1432" xr:uid="{00000000-0005-0000-0000-000081210000}"/>
    <cellStyle name="Note 3 2 3 3 2" xfId="3662" xr:uid="{00000000-0005-0000-0000-000082210000}"/>
    <cellStyle name="Note 3 2 3 3 2 2" xfId="7885" xr:uid="{00000000-0005-0000-0000-000083210000}"/>
    <cellStyle name="Note 3 2 3 3 2 2 2" xfId="16327" xr:uid="{AEAAF91F-D755-45CC-8C3B-51DE180B5DC2}"/>
    <cellStyle name="Note 3 2 3 3 2 3" xfId="12109" xr:uid="{84038407-FCA5-4F75-9CD5-229FE224BCC3}"/>
    <cellStyle name="Note 3 2 3 3 3" xfId="5740" xr:uid="{00000000-0005-0000-0000-000084210000}"/>
    <cellStyle name="Note 3 2 3 3 3 2" xfId="14182" xr:uid="{84A66714-2BAC-4F09-AC69-42C93E3B7DAE}"/>
    <cellStyle name="Note 3 2 3 3 4" xfId="9964" xr:uid="{50212DBB-07D9-4A86-9E3F-417FFF0B0392}"/>
    <cellStyle name="Note 3 2 3 4" xfId="1846" xr:uid="{00000000-0005-0000-0000-000085210000}"/>
    <cellStyle name="Note 3 2 3 4 2" xfId="4075" xr:uid="{00000000-0005-0000-0000-000086210000}"/>
    <cellStyle name="Note 3 2 3 4 2 2" xfId="8298" xr:uid="{00000000-0005-0000-0000-000087210000}"/>
    <cellStyle name="Note 3 2 3 4 2 2 2" xfId="16740" xr:uid="{1E6D6CC8-B865-4E22-A5AA-E7F2456D361D}"/>
    <cellStyle name="Note 3 2 3 4 2 3" xfId="12522" xr:uid="{55D5BBFC-2FF6-40DD-A99F-8F40276EBB9F}"/>
    <cellStyle name="Note 3 2 3 4 3" xfId="6153" xr:uid="{00000000-0005-0000-0000-000088210000}"/>
    <cellStyle name="Note 3 2 3 4 3 2" xfId="14595" xr:uid="{94F5C4AD-61AD-46CE-B941-0F30ACCA56E6}"/>
    <cellStyle name="Note 3 2 3 4 4" xfId="10377" xr:uid="{ADBA71F2-FE10-45EB-A251-30FD952FA150}"/>
    <cellStyle name="Note 3 2 3 5" xfId="2259" xr:uid="{00000000-0005-0000-0000-000089210000}"/>
    <cellStyle name="Note 3 2 3 5 2" xfId="4488" xr:uid="{00000000-0005-0000-0000-00008A210000}"/>
    <cellStyle name="Note 3 2 3 5 2 2" xfId="8711" xr:uid="{00000000-0005-0000-0000-00008B210000}"/>
    <cellStyle name="Note 3 2 3 5 2 2 2" xfId="17153" xr:uid="{17CAC9F5-9BCB-4AC2-81DC-111179D1DEF2}"/>
    <cellStyle name="Note 3 2 3 5 2 3" xfId="12935" xr:uid="{9D9CBFAC-0C1D-4ECF-9737-0686EDDD6ECB}"/>
    <cellStyle name="Note 3 2 3 5 3" xfId="6566" xr:uid="{00000000-0005-0000-0000-00008C210000}"/>
    <cellStyle name="Note 3 2 3 5 3 2" xfId="15008" xr:uid="{A5E45948-D23B-4B05-99AD-233EEEC629E0}"/>
    <cellStyle name="Note 3 2 3 5 4" xfId="10790" xr:uid="{8E41C3D1-D0A7-44CB-8650-96972CEE93AC}"/>
    <cellStyle name="Note 3 2 3 6" xfId="2695" xr:uid="{00000000-0005-0000-0000-00008D210000}"/>
    <cellStyle name="Note 3 2 3 6 2" xfId="6979" xr:uid="{00000000-0005-0000-0000-00008E210000}"/>
    <cellStyle name="Note 3 2 3 6 2 2" xfId="15421" xr:uid="{2D2462CE-8167-46BD-BFAB-0E49A642F7F0}"/>
    <cellStyle name="Note 3 2 3 6 3" xfId="11203" xr:uid="{6367521F-A03F-4479-898E-48719A021FA8}"/>
    <cellStyle name="Note 3 2 3 7" xfId="2754" xr:uid="{00000000-0005-0000-0000-00008F210000}"/>
    <cellStyle name="Note 3 2 3 8" xfId="2835" xr:uid="{00000000-0005-0000-0000-000090210000}"/>
    <cellStyle name="Note 3 2 3 8 2" xfId="7059" xr:uid="{00000000-0005-0000-0000-000091210000}"/>
    <cellStyle name="Note 3 2 3 8 2 2" xfId="15501" xr:uid="{A78141F8-67A5-4752-B9E1-1788DA5C280A}"/>
    <cellStyle name="Note 3 2 3 8 3" xfId="11283" xr:uid="{01E57B64-C92A-4E78-BE79-5C937051A0E7}"/>
    <cellStyle name="Note 3 2 3 9" xfId="4914" xr:uid="{00000000-0005-0000-0000-000092210000}"/>
    <cellStyle name="Note 3 2 3 9 2" xfId="13356" xr:uid="{14D0ED50-4507-4858-AF5B-741DA75D5EDE}"/>
    <cellStyle name="Note 3 2 4" xfId="1014" xr:uid="{00000000-0005-0000-0000-000093210000}"/>
    <cellStyle name="Note 3 2 4 2" xfId="3246" xr:uid="{00000000-0005-0000-0000-000094210000}"/>
    <cellStyle name="Note 3 2 4 2 2" xfId="7469" xr:uid="{00000000-0005-0000-0000-000095210000}"/>
    <cellStyle name="Note 3 2 4 2 2 2" xfId="15911" xr:uid="{1D667C8E-75A3-4A5A-A1B0-C0359A0DFF83}"/>
    <cellStyle name="Note 3 2 4 2 3" xfId="11693" xr:uid="{BDBC2963-51EA-467E-81C7-B247A98C41E5}"/>
    <cellStyle name="Note 3 2 4 3" xfId="5324" xr:uid="{00000000-0005-0000-0000-000096210000}"/>
    <cellStyle name="Note 3 2 4 3 2" xfId="13766" xr:uid="{6C1F2F7C-86C6-45FE-BDD9-BB274F0700A0}"/>
    <cellStyle name="Note 3 2 4 4" xfId="9548" xr:uid="{F8106989-968D-47A2-89A0-B81AC076698E}"/>
    <cellStyle name="Note 3 2 5" xfId="1429" xr:uid="{00000000-0005-0000-0000-000097210000}"/>
    <cellStyle name="Note 3 2 5 2" xfId="3659" xr:uid="{00000000-0005-0000-0000-000098210000}"/>
    <cellStyle name="Note 3 2 5 2 2" xfId="7882" xr:uid="{00000000-0005-0000-0000-000099210000}"/>
    <cellStyle name="Note 3 2 5 2 2 2" xfId="16324" xr:uid="{99700021-FDA1-49F2-87BC-C0F1D9AB10C2}"/>
    <cellStyle name="Note 3 2 5 2 3" xfId="12106" xr:uid="{5350EE55-5CC9-4BC3-AD2B-B7BE08591287}"/>
    <cellStyle name="Note 3 2 5 3" xfId="5737" xr:uid="{00000000-0005-0000-0000-00009A210000}"/>
    <cellStyle name="Note 3 2 5 3 2" xfId="14179" xr:uid="{C822EA36-8637-4370-9C37-512D8F39E2F2}"/>
    <cellStyle name="Note 3 2 5 4" xfId="9961" xr:uid="{2E14B295-38D5-4DAA-8782-0576905A4CC1}"/>
    <cellStyle name="Note 3 2 6" xfId="1843" xr:uid="{00000000-0005-0000-0000-00009B210000}"/>
    <cellStyle name="Note 3 2 6 2" xfId="4072" xr:uid="{00000000-0005-0000-0000-00009C210000}"/>
    <cellStyle name="Note 3 2 6 2 2" xfId="8295" xr:uid="{00000000-0005-0000-0000-00009D210000}"/>
    <cellStyle name="Note 3 2 6 2 2 2" xfId="16737" xr:uid="{11D2DF85-933F-4439-9009-D13A80E52200}"/>
    <cellStyle name="Note 3 2 6 2 3" xfId="12519" xr:uid="{EF202C30-14D7-45F6-8447-5D23D7ECB43E}"/>
    <cellStyle name="Note 3 2 6 3" xfId="6150" xr:uid="{00000000-0005-0000-0000-00009E210000}"/>
    <cellStyle name="Note 3 2 6 3 2" xfId="14592" xr:uid="{A8E3DF6F-4BAF-4F75-A805-0601802B08F6}"/>
    <cellStyle name="Note 3 2 6 4" xfId="10374" xr:uid="{68C3D21A-A6B8-4559-96EA-AC3459BF320B}"/>
    <cellStyle name="Note 3 2 7" xfId="2256" xr:uid="{00000000-0005-0000-0000-00009F210000}"/>
    <cellStyle name="Note 3 2 7 2" xfId="4485" xr:uid="{00000000-0005-0000-0000-0000A0210000}"/>
    <cellStyle name="Note 3 2 7 2 2" xfId="8708" xr:uid="{00000000-0005-0000-0000-0000A1210000}"/>
    <cellStyle name="Note 3 2 7 2 2 2" xfId="17150" xr:uid="{D875B37F-3AB3-400C-9D9B-76F86618F686}"/>
    <cellStyle name="Note 3 2 7 2 3" xfId="12932" xr:uid="{7F23C210-8653-4EE0-B004-E25AEF15FB0C}"/>
    <cellStyle name="Note 3 2 7 3" xfId="6563" xr:uid="{00000000-0005-0000-0000-0000A2210000}"/>
    <cellStyle name="Note 3 2 7 3 2" xfId="15005" xr:uid="{B93396CC-A454-4A65-821F-00B5CA51A634}"/>
    <cellStyle name="Note 3 2 7 4" xfId="10787" xr:uid="{0C68E397-DC5D-4613-AE12-7BC7C04334E9}"/>
    <cellStyle name="Note 3 2 8" xfId="2692" xr:uid="{00000000-0005-0000-0000-0000A3210000}"/>
    <cellStyle name="Note 3 2 8 2" xfId="6976" xr:uid="{00000000-0005-0000-0000-0000A4210000}"/>
    <cellStyle name="Note 3 2 8 2 2" xfId="15418" xr:uid="{2C4A4854-9199-4DF8-B6A2-F92733DF57DB}"/>
    <cellStyle name="Note 3 2 8 3" xfId="11200" xr:uid="{B82EB16C-C821-424F-B280-2E3E8507F049}"/>
    <cellStyle name="Note 3 2 9" xfId="2751" xr:uid="{00000000-0005-0000-0000-0000A5210000}"/>
    <cellStyle name="Note 3 3" xfId="558" xr:uid="{00000000-0005-0000-0000-0000A6210000}"/>
    <cellStyle name="Note 3 3 10" xfId="4915" xr:uid="{00000000-0005-0000-0000-0000A7210000}"/>
    <cellStyle name="Note 3 3 10 2" xfId="13357" xr:uid="{3C6D21BA-7E9A-4F0D-A2F9-3299FCDAECDF}"/>
    <cellStyle name="Note 3 3 11" xfId="9139" xr:uid="{B8A3572B-2AA1-41C9-BA3E-42525F44CDE7}"/>
    <cellStyle name="Note 3 3 2" xfId="559" xr:uid="{00000000-0005-0000-0000-0000A8210000}"/>
    <cellStyle name="Note 3 3 2 10" xfId="9140" xr:uid="{7BB092C6-02F6-432E-AE63-0CEB666FAB9A}"/>
    <cellStyle name="Note 3 3 2 2" xfId="1019" xr:uid="{00000000-0005-0000-0000-0000A9210000}"/>
    <cellStyle name="Note 3 3 2 2 2" xfId="3251" xr:uid="{00000000-0005-0000-0000-0000AA210000}"/>
    <cellStyle name="Note 3 3 2 2 2 2" xfId="7474" xr:uid="{00000000-0005-0000-0000-0000AB210000}"/>
    <cellStyle name="Note 3 3 2 2 2 2 2" xfId="15916" xr:uid="{5B4C1C42-0C95-4E00-ACCA-BF80B2385046}"/>
    <cellStyle name="Note 3 3 2 2 2 3" xfId="11698" xr:uid="{4128B904-DF74-4A36-AA05-E483A4C4F722}"/>
    <cellStyle name="Note 3 3 2 2 3" xfId="5329" xr:uid="{00000000-0005-0000-0000-0000AC210000}"/>
    <cellStyle name="Note 3 3 2 2 3 2" xfId="13771" xr:uid="{26F0B4BA-C471-43D5-894C-39A27E375067}"/>
    <cellStyle name="Note 3 3 2 2 4" xfId="9553" xr:uid="{A43BA9E8-8CAB-4A8C-BA16-2A401F383333}"/>
    <cellStyle name="Note 3 3 2 3" xfId="1434" xr:uid="{00000000-0005-0000-0000-0000AD210000}"/>
    <cellStyle name="Note 3 3 2 3 2" xfId="3664" xr:uid="{00000000-0005-0000-0000-0000AE210000}"/>
    <cellStyle name="Note 3 3 2 3 2 2" xfId="7887" xr:uid="{00000000-0005-0000-0000-0000AF210000}"/>
    <cellStyle name="Note 3 3 2 3 2 2 2" xfId="16329" xr:uid="{0B839F98-493C-4A7E-B303-774191689ADB}"/>
    <cellStyle name="Note 3 3 2 3 2 3" xfId="12111" xr:uid="{57D0E556-F69D-4EBF-AF1D-60B921676F52}"/>
    <cellStyle name="Note 3 3 2 3 3" xfId="5742" xr:uid="{00000000-0005-0000-0000-0000B0210000}"/>
    <cellStyle name="Note 3 3 2 3 3 2" xfId="14184" xr:uid="{FD7CE8A4-FF04-4FDC-89A6-B5C3CC21D760}"/>
    <cellStyle name="Note 3 3 2 3 4" xfId="9966" xr:uid="{D3C80CA7-F40B-4FF1-A9CA-771C9CB3A00C}"/>
    <cellStyle name="Note 3 3 2 4" xfId="1848" xr:uid="{00000000-0005-0000-0000-0000B1210000}"/>
    <cellStyle name="Note 3 3 2 4 2" xfId="4077" xr:uid="{00000000-0005-0000-0000-0000B2210000}"/>
    <cellStyle name="Note 3 3 2 4 2 2" xfId="8300" xr:uid="{00000000-0005-0000-0000-0000B3210000}"/>
    <cellStyle name="Note 3 3 2 4 2 2 2" xfId="16742" xr:uid="{E7884B99-8CDB-4E76-8C01-84CF08B63869}"/>
    <cellStyle name="Note 3 3 2 4 2 3" xfId="12524" xr:uid="{FE01B655-2118-4CA7-91B1-58FFF80180C6}"/>
    <cellStyle name="Note 3 3 2 4 3" xfId="6155" xr:uid="{00000000-0005-0000-0000-0000B4210000}"/>
    <cellStyle name="Note 3 3 2 4 3 2" xfId="14597" xr:uid="{955AADC2-6B83-4775-A38D-F53EA850CD06}"/>
    <cellStyle name="Note 3 3 2 4 4" xfId="10379" xr:uid="{011DAAF9-973E-4658-A2AC-F913F6B75DAF}"/>
    <cellStyle name="Note 3 3 2 5" xfId="2261" xr:uid="{00000000-0005-0000-0000-0000B5210000}"/>
    <cellStyle name="Note 3 3 2 5 2" xfId="4490" xr:uid="{00000000-0005-0000-0000-0000B6210000}"/>
    <cellStyle name="Note 3 3 2 5 2 2" xfId="8713" xr:uid="{00000000-0005-0000-0000-0000B7210000}"/>
    <cellStyle name="Note 3 3 2 5 2 2 2" xfId="17155" xr:uid="{424D2D4B-8AA6-4729-8637-7ECD669449AC}"/>
    <cellStyle name="Note 3 3 2 5 2 3" xfId="12937" xr:uid="{F391C36D-AA87-41D1-BC47-BC12169CECFA}"/>
    <cellStyle name="Note 3 3 2 5 3" xfId="6568" xr:uid="{00000000-0005-0000-0000-0000B8210000}"/>
    <cellStyle name="Note 3 3 2 5 3 2" xfId="15010" xr:uid="{2223540E-648F-4244-BAA0-E2964B1B951D}"/>
    <cellStyle name="Note 3 3 2 5 4" xfId="10792" xr:uid="{12EC28F3-7D75-4011-A96A-49D43FE03555}"/>
    <cellStyle name="Note 3 3 2 6" xfId="2697" xr:uid="{00000000-0005-0000-0000-0000B9210000}"/>
    <cellStyle name="Note 3 3 2 6 2" xfId="6981" xr:uid="{00000000-0005-0000-0000-0000BA210000}"/>
    <cellStyle name="Note 3 3 2 6 2 2" xfId="15423" xr:uid="{4DCCBB93-9B8F-46EF-AC15-96936F2565F0}"/>
    <cellStyle name="Note 3 3 2 6 3" xfId="11205" xr:uid="{85CB8F0E-812C-4943-9B2A-2FC879BDCFCC}"/>
    <cellStyle name="Note 3 3 2 7" xfId="2756" xr:uid="{00000000-0005-0000-0000-0000BB210000}"/>
    <cellStyle name="Note 3 3 2 8" xfId="2837" xr:uid="{00000000-0005-0000-0000-0000BC210000}"/>
    <cellStyle name="Note 3 3 2 8 2" xfId="7061" xr:uid="{00000000-0005-0000-0000-0000BD210000}"/>
    <cellStyle name="Note 3 3 2 8 2 2" xfId="15503" xr:uid="{0481B8A3-9323-447B-A5F3-A0787FCCE5CC}"/>
    <cellStyle name="Note 3 3 2 8 3" xfId="11285" xr:uid="{DC720A8C-78B7-445F-8703-1D15702DABF5}"/>
    <cellStyle name="Note 3 3 2 9" xfId="4916" xr:uid="{00000000-0005-0000-0000-0000BE210000}"/>
    <cellStyle name="Note 3 3 2 9 2" xfId="13358" xr:uid="{F4EEAA34-1691-4879-ABF7-60D7A6B6D4E0}"/>
    <cellStyle name="Note 3 3 3" xfId="1018" xr:uid="{00000000-0005-0000-0000-0000BF210000}"/>
    <cellStyle name="Note 3 3 3 2" xfId="3250" xr:uid="{00000000-0005-0000-0000-0000C0210000}"/>
    <cellStyle name="Note 3 3 3 2 2" xfId="7473" xr:uid="{00000000-0005-0000-0000-0000C1210000}"/>
    <cellStyle name="Note 3 3 3 2 2 2" xfId="15915" xr:uid="{C173FD1A-CB57-4F71-BDAC-70A803BFE196}"/>
    <cellStyle name="Note 3 3 3 2 3" xfId="11697" xr:uid="{A29B45C3-DD12-47D5-BE5D-DD84131D6C58}"/>
    <cellStyle name="Note 3 3 3 3" xfId="5328" xr:uid="{00000000-0005-0000-0000-0000C2210000}"/>
    <cellStyle name="Note 3 3 3 3 2" xfId="13770" xr:uid="{120F14ED-2381-4DB1-ADD5-528240A93E0D}"/>
    <cellStyle name="Note 3 3 3 4" xfId="9552" xr:uid="{160AFCAC-6651-4AD1-B69A-C430E7507A54}"/>
    <cellStyle name="Note 3 3 4" xfId="1433" xr:uid="{00000000-0005-0000-0000-0000C3210000}"/>
    <cellStyle name="Note 3 3 4 2" xfId="3663" xr:uid="{00000000-0005-0000-0000-0000C4210000}"/>
    <cellStyle name="Note 3 3 4 2 2" xfId="7886" xr:uid="{00000000-0005-0000-0000-0000C5210000}"/>
    <cellStyle name="Note 3 3 4 2 2 2" xfId="16328" xr:uid="{898FDBBE-5963-4435-8EB1-6C54D3542A70}"/>
    <cellStyle name="Note 3 3 4 2 3" xfId="12110" xr:uid="{2B88D742-33F7-4E23-ADE8-FBAA6E2280E0}"/>
    <cellStyle name="Note 3 3 4 3" xfId="5741" xr:uid="{00000000-0005-0000-0000-0000C6210000}"/>
    <cellStyle name="Note 3 3 4 3 2" xfId="14183" xr:uid="{3C96B138-453A-43A7-BAA2-FC3C85420EED}"/>
    <cellStyle name="Note 3 3 4 4" xfId="9965" xr:uid="{F959A436-DEDD-402F-B718-163CD18844DB}"/>
    <cellStyle name="Note 3 3 5" xfId="1847" xr:uid="{00000000-0005-0000-0000-0000C7210000}"/>
    <cellStyle name="Note 3 3 5 2" xfId="4076" xr:uid="{00000000-0005-0000-0000-0000C8210000}"/>
    <cellStyle name="Note 3 3 5 2 2" xfId="8299" xr:uid="{00000000-0005-0000-0000-0000C9210000}"/>
    <cellStyle name="Note 3 3 5 2 2 2" xfId="16741" xr:uid="{A4528832-1596-4A62-9B55-3C793E603071}"/>
    <cellStyle name="Note 3 3 5 2 3" xfId="12523" xr:uid="{96CAF93B-3520-4488-8A9E-22BD3E6745A2}"/>
    <cellStyle name="Note 3 3 5 3" xfId="6154" xr:uid="{00000000-0005-0000-0000-0000CA210000}"/>
    <cellStyle name="Note 3 3 5 3 2" xfId="14596" xr:uid="{757B8FAE-B635-4A2C-9E2D-D43FB19BB2EF}"/>
    <cellStyle name="Note 3 3 5 4" xfId="10378" xr:uid="{063BA41B-D5AD-4C2E-A673-49C86230A1D5}"/>
    <cellStyle name="Note 3 3 6" xfId="2260" xr:uid="{00000000-0005-0000-0000-0000CB210000}"/>
    <cellStyle name="Note 3 3 6 2" xfId="4489" xr:uid="{00000000-0005-0000-0000-0000CC210000}"/>
    <cellStyle name="Note 3 3 6 2 2" xfId="8712" xr:uid="{00000000-0005-0000-0000-0000CD210000}"/>
    <cellStyle name="Note 3 3 6 2 2 2" xfId="17154" xr:uid="{43AE9E0E-DFED-400F-A7C7-D364EAF32045}"/>
    <cellStyle name="Note 3 3 6 2 3" xfId="12936" xr:uid="{64453A7A-6B87-477B-92D7-8202247182AB}"/>
    <cellStyle name="Note 3 3 6 3" xfId="6567" xr:uid="{00000000-0005-0000-0000-0000CE210000}"/>
    <cellStyle name="Note 3 3 6 3 2" xfId="15009" xr:uid="{05763528-7AEC-495A-BE8E-C9B7948D3965}"/>
    <cellStyle name="Note 3 3 6 4" xfId="10791" xr:uid="{AF8CDB7B-204B-451E-BE1D-6DF536075BCF}"/>
    <cellStyle name="Note 3 3 7" xfId="2696" xr:uid="{00000000-0005-0000-0000-0000CF210000}"/>
    <cellStyle name="Note 3 3 7 2" xfId="6980" xr:uid="{00000000-0005-0000-0000-0000D0210000}"/>
    <cellStyle name="Note 3 3 7 2 2" xfId="15422" xr:uid="{36887592-8DE6-43DB-9D24-B8FC373C32AC}"/>
    <cellStyle name="Note 3 3 7 3" xfId="11204" xr:uid="{B1DA93B1-2AF1-4628-A45F-C83066A977D2}"/>
    <cellStyle name="Note 3 3 8" xfId="2755" xr:uid="{00000000-0005-0000-0000-0000D1210000}"/>
    <cellStyle name="Note 3 3 9" xfId="2836" xr:uid="{00000000-0005-0000-0000-0000D2210000}"/>
    <cellStyle name="Note 3 3 9 2" xfId="7060" xr:uid="{00000000-0005-0000-0000-0000D3210000}"/>
    <cellStyle name="Note 3 3 9 2 2" xfId="15502" xr:uid="{D5706FA2-D7AB-4CEA-9705-BE48FF95B368}"/>
    <cellStyle name="Note 3 3 9 3" xfId="11284" xr:uid="{95F6A65D-B2DF-4DD8-95BD-E4CD845D874C}"/>
    <cellStyle name="Note 3 4" xfId="560" xr:uid="{00000000-0005-0000-0000-0000D4210000}"/>
    <cellStyle name="Note 3 4 10" xfId="9141" xr:uid="{999A6A95-D9D9-4706-B6B2-BE1D5539C5CE}"/>
    <cellStyle name="Note 3 4 2" xfId="1020" xr:uid="{00000000-0005-0000-0000-0000D5210000}"/>
    <cellStyle name="Note 3 4 2 2" xfId="3252" xr:uid="{00000000-0005-0000-0000-0000D6210000}"/>
    <cellStyle name="Note 3 4 2 2 2" xfId="7475" xr:uid="{00000000-0005-0000-0000-0000D7210000}"/>
    <cellStyle name="Note 3 4 2 2 2 2" xfId="15917" xr:uid="{5ADC18BE-E266-4C8B-AB22-166499E312F8}"/>
    <cellStyle name="Note 3 4 2 2 3" xfId="11699" xr:uid="{B4DE0938-B886-417C-A64F-0AB5DB733DC2}"/>
    <cellStyle name="Note 3 4 2 3" xfId="5330" xr:uid="{00000000-0005-0000-0000-0000D8210000}"/>
    <cellStyle name="Note 3 4 2 3 2" xfId="13772" xr:uid="{93DBDD60-5BC6-4F65-9AD8-664D6946AEA8}"/>
    <cellStyle name="Note 3 4 2 4" xfId="9554" xr:uid="{374FB9EC-CC95-4E48-B5DD-EC349C6CBEEC}"/>
    <cellStyle name="Note 3 4 3" xfId="1435" xr:uid="{00000000-0005-0000-0000-0000D9210000}"/>
    <cellStyle name="Note 3 4 3 2" xfId="3665" xr:uid="{00000000-0005-0000-0000-0000DA210000}"/>
    <cellStyle name="Note 3 4 3 2 2" xfId="7888" xr:uid="{00000000-0005-0000-0000-0000DB210000}"/>
    <cellStyle name="Note 3 4 3 2 2 2" xfId="16330" xr:uid="{B2788526-B4D5-4F31-BABE-13EF320B2CD3}"/>
    <cellStyle name="Note 3 4 3 2 3" xfId="12112" xr:uid="{71536E5B-A4CD-4956-9743-93D926C1BE6B}"/>
    <cellStyle name="Note 3 4 3 3" xfId="5743" xr:uid="{00000000-0005-0000-0000-0000DC210000}"/>
    <cellStyle name="Note 3 4 3 3 2" xfId="14185" xr:uid="{20FC83EE-34F4-474A-9A33-9C810FCEB458}"/>
    <cellStyle name="Note 3 4 3 4" xfId="9967" xr:uid="{A9F00E28-7FD8-471F-A342-FAF35E787395}"/>
    <cellStyle name="Note 3 4 4" xfId="1849" xr:uid="{00000000-0005-0000-0000-0000DD210000}"/>
    <cellStyle name="Note 3 4 4 2" xfId="4078" xr:uid="{00000000-0005-0000-0000-0000DE210000}"/>
    <cellStyle name="Note 3 4 4 2 2" xfId="8301" xr:uid="{00000000-0005-0000-0000-0000DF210000}"/>
    <cellStyle name="Note 3 4 4 2 2 2" xfId="16743" xr:uid="{0614D8FF-3754-4890-A241-4EFECD4A3668}"/>
    <cellStyle name="Note 3 4 4 2 3" xfId="12525" xr:uid="{6472A00E-67D1-4A4F-998B-50B4E21F4721}"/>
    <cellStyle name="Note 3 4 4 3" xfId="6156" xr:uid="{00000000-0005-0000-0000-0000E0210000}"/>
    <cellStyle name="Note 3 4 4 3 2" xfId="14598" xr:uid="{5AACED00-72B8-48FE-A677-9063A488995F}"/>
    <cellStyle name="Note 3 4 4 4" xfId="10380" xr:uid="{02D7274D-9414-42D7-B2C1-9D93B110F592}"/>
    <cellStyle name="Note 3 4 5" xfId="2262" xr:uid="{00000000-0005-0000-0000-0000E1210000}"/>
    <cellStyle name="Note 3 4 5 2" xfId="4491" xr:uid="{00000000-0005-0000-0000-0000E2210000}"/>
    <cellStyle name="Note 3 4 5 2 2" xfId="8714" xr:uid="{00000000-0005-0000-0000-0000E3210000}"/>
    <cellStyle name="Note 3 4 5 2 2 2" xfId="17156" xr:uid="{5A67165C-B7AA-468E-8D8D-502570A33347}"/>
    <cellStyle name="Note 3 4 5 2 3" xfId="12938" xr:uid="{E47DA8BE-C1A2-4138-A8E5-222389BC630D}"/>
    <cellStyle name="Note 3 4 5 3" xfId="6569" xr:uid="{00000000-0005-0000-0000-0000E4210000}"/>
    <cellStyle name="Note 3 4 5 3 2" xfId="15011" xr:uid="{71E82B63-1006-4C15-9791-D8207C565E4E}"/>
    <cellStyle name="Note 3 4 5 4" xfId="10793" xr:uid="{86D49BE3-857E-44E0-8CA9-C3A266785830}"/>
    <cellStyle name="Note 3 4 6" xfId="2698" xr:uid="{00000000-0005-0000-0000-0000E5210000}"/>
    <cellStyle name="Note 3 4 6 2" xfId="6982" xr:uid="{00000000-0005-0000-0000-0000E6210000}"/>
    <cellStyle name="Note 3 4 6 2 2" xfId="15424" xr:uid="{F8DCFCFD-0D82-470D-99EC-5071BE3977EA}"/>
    <cellStyle name="Note 3 4 6 3" xfId="11206" xr:uid="{7A6BC11E-2259-45D1-8836-E79B9B97C616}"/>
    <cellStyle name="Note 3 4 7" xfId="2757" xr:uid="{00000000-0005-0000-0000-0000E7210000}"/>
    <cellStyle name="Note 3 4 8" xfId="2838" xr:uid="{00000000-0005-0000-0000-0000E8210000}"/>
    <cellStyle name="Note 3 4 8 2" xfId="7062" xr:uid="{00000000-0005-0000-0000-0000E9210000}"/>
    <cellStyle name="Note 3 4 8 2 2" xfId="15504" xr:uid="{0A165AE0-D3DF-4E08-8155-C5714232523E}"/>
    <cellStyle name="Note 3 4 8 3" xfId="11286" xr:uid="{7D4062AE-19D9-41DA-8C57-5F59BBB617B8}"/>
    <cellStyle name="Note 3 4 9" xfId="4917" xr:uid="{00000000-0005-0000-0000-0000EA210000}"/>
    <cellStyle name="Note 3 4 9 2" xfId="13359" xr:uid="{5241174C-8174-4FB8-A4DB-9300F2CF0195}"/>
    <cellStyle name="Note 3 5" xfId="561" xr:uid="{00000000-0005-0000-0000-0000EB210000}"/>
    <cellStyle name="Note 3 5 10" xfId="9142" xr:uid="{509281DD-5617-4935-A9EA-0E211A3D29CA}"/>
    <cellStyle name="Note 3 5 2" xfId="1021" xr:uid="{00000000-0005-0000-0000-0000EC210000}"/>
    <cellStyle name="Note 3 5 2 2" xfId="3253" xr:uid="{00000000-0005-0000-0000-0000ED210000}"/>
    <cellStyle name="Note 3 5 2 2 2" xfId="7476" xr:uid="{00000000-0005-0000-0000-0000EE210000}"/>
    <cellStyle name="Note 3 5 2 2 2 2" xfId="15918" xr:uid="{883531CD-D83A-4EF1-8128-FA43F26065E8}"/>
    <cellStyle name="Note 3 5 2 2 3" xfId="11700" xr:uid="{5E241BE6-D74A-4935-B4F0-86D7C35AEC6C}"/>
    <cellStyle name="Note 3 5 2 3" xfId="5331" xr:uid="{00000000-0005-0000-0000-0000EF210000}"/>
    <cellStyle name="Note 3 5 2 3 2" xfId="13773" xr:uid="{2F91300A-EAD4-4CAE-80D2-E9DCAA24B0C4}"/>
    <cellStyle name="Note 3 5 2 4" xfId="9555" xr:uid="{9DF4C0EC-43E8-4C55-B319-8E334CBBCE90}"/>
    <cellStyle name="Note 3 5 3" xfId="1436" xr:uid="{00000000-0005-0000-0000-0000F0210000}"/>
    <cellStyle name="Note 3 5 3 2" xfId="3666" xr:uid="{00000000-0005-0000-0000-0000F1210000}"/>
    <cellStyle name="Note 3 5 3 2 2" xfId="7889" xr:uid="{00000000-0005-0000-0000-0000F2210000}"/>
    <cellStyle name="Note 3 5 3 2 2 2" xfId="16331" xr:uid="{4D680276-AAF5-4336-ABB4-D34B991C9935}"/>
    <cellStyle name="Note 3 5 3 2 3" xfId="12113" xr:uid="{5926D250-34FA-458D-AA61-6832A813846D}"/>
    <cellStyle name="Note 3 5 3 3" xfId="5744" xr:uid="{00000000-0005-0000-0000-0000F3210000}"/>
    <cellStyle name="Note 3 5 3 3 2" xfId="14186" xr:uid="{B9AF1E5E-25B1-4E13-8470-E1B262F1847C}"/>
    <cellStyle name="Note 3 5 3 4" xfId="9968" xr:uid="{36D7E8AF-D0A4-4891-B182-91B3E97EFDDE}"/>
    <cellStyle name="Note 3 5 4" xfId="1850" xr:uid="{00000000-0005-0000-0000-0000F4210000}"/>
    <cellStyle name="Note 3 5 4 2" xfId="4079" xr:uid="{00000000-0005-0000-0000-0000F5210000}"/>
    <cellStyle name="Note 3 5 4 2 2" xfId="8302" xr:uid="{00000000-0005-0000-0000-0000F6210000}"/>
    <cellStyle name="Note 3 5 4 2 2 2" xfId="16744" xr:uid="{B4FFA117-BFE9-4CAD-84BF-17D22C0FE90D}"/>
    <cellStyle name="Note 3 5 4 2 3" xfId="12526" xr:uid="{C84F85C1-EFEB-467C-BD5D-6277145AE6A0}"/>
    <cellStyle name="Note 3 5 4 3" xfId="6157" xr:uid="{00000000-0005-0000-0000-0000F7210000}"/>
    <cellStyle name="Note 3 5 4 3 2" xfId="14599" xr:uid="{F4FD81EB-E706-4817-967A-85486BC42F28}"/>
    <cellStyle name="Note 3 5 4 4" xfId="10381" xr:uid="{C0A3219A-B125-4096-B85F-F1EF8590CA46}"/>
    <cellStyle name="Note 3 5 5" xfId="2263" xr:uid="{00000000-0005-0000-0000-0000F8210000}"/>
    <cellStyle name="Note 3 5 5 2" xfId="4492" xr:uid="{00000000-0005-0000-0000-0000F9210000}"/>
    <cellStyle name="Note 3 5 5 2 2" xfId="8715" xr:uid="{00000000-0005-0000-0000-0000FA210000}"/>
    <cellStyle name="Note 3 5 5 2 2 2" xfId="17157" xr:uid="{B5FD3AAE-7777-4A37-BC23-DE760F19F076}"/>
    <cellStyle name="Note 3 5 5 2 3" xfId="12939" xr:uid="{9441B106-8C6F-4C6D-9D4C-465EAFFF50A8}"/>
    <cellStyle name="Note 3 5 5 3" xfId="6570" xr:uid="{00000000-0005-0000-0000-0000FB210000}"/>
    <cellStyle name="Note 3 5 5 3 2" xfId="15012" xr:uid="{5CA4BFFC-77D5-425D-BBB7-1DFEE306AF40}"/>
    <cellStyle name="Note 3 5 5 4" xfId="10794" xr:uid="{2A63B9AB-2060-4A80-B2F3-2EEFDC9A7D46}"/>
    <cellStyle name="Note 3 5 6" xfId="2699" xr:uid="{00000000-0005-0000-0000-0000FC210000}"/>
    <cellStyle name="Note 3 5 6 2" xfId="6983" xr:uid="{00000000-0005-0000-0000-0000FD210000}"/>
    <cellStyle name="Note 3 5 6 2 2" xfId="15425" xr:uid="{F97E569B-FA13-4FB8-809E-A7DBC9E00202}"/>
    <cellStyle name="Note 3 5 6 3" xfId="11207" xr:uid="{CE7F2D87-EF46-4CD1-8B95-47A4C6B090A5}"/>
    <cellStyle name="Note 3 5 7" xfId="2758" xr:uid="{00000000-0005-0000-0000-0000FE210000}"/>
    <cellStyle name="Note 3 5 8" xfId="2839" xr:uid="{00000000-0005-0000-0000-0000FF210000}"/>
    <cellStyle name="Note 3 5 8 2" xfId="7063" xr:uid="{00000000-0005-0000-0000-000000220000}"/>
    <cellStyle name="Note 3 5 8 2 2" xfId="15505" xr:uid="{6E79C661-AF3E-4022-B934-A6D9D01DCCF9}"/>
    <cellStyle name="Note 3 5 8 3" xfId="11287" xr:uid="{6E0D42B7-59B9-42D5-9BDC-F1E5A74FF482}"/>
    <cellStyle name="Note 3 5 9" xfId="4918" xr:uid="{00000000-0005-0000-0000-000001220000}"/>
    <cellStyle name="Note 3 5 9 2" xfId="13360" xr:uid="{C12E8451-9FCA-4C56-A8E9-8ED93AEE95BB}"/>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6D7E5806-BB7B-41D4-A349-017C8109C807}"/>
    <cellStyle name="Percent 4" xfId="4502" xr:uid="{00000000-0005-0000-0000-000007220000}"/>
    <cellStyle name="Percent 4 2" xfId="8718" xr:uid="{00000000-0005-0000-0000-000008220000}"/>
    <cellStyle name="Percent 4 2 2" xfId="17160" xr:uid="{3D4DA177-D815-49F4-8337-D2D4B974B307}"/>
    <cellStyle name="Percent 4 3" xfId="8721" xr:uid="{D09CD3FC-D632-4B66-A68A-5CC92F993799}"/>
    <cellStyle name="Percent 4 3 2" xfId="8725" xr:uid="{D57AE941-8E59-43F0-AB73-09B3BCCFA234}"/>
    <cellStyle name="Percent 4 3 2 2" xfId="8728" xr:uid="{D24D76A7-D076-4554-9944-551B122393DE}"/>
    <cellStyle name="Percent 4 3 2 3" xfId="17166" xr:uid="{22456A3C-8BED-4D12-BB9E-C61A68DD08AC}"/>
    <cellStyle name="Percent 4 3 3" xfId="17163" xr:uid="{40C80C17-EA59-4F6E-823A-9628992CBF78}"/>
    <cellStyle name="Percent 4 4" xfId="12946" xr:uid="{97A2899E-092D-4D85-9D03-B7974CE18DBC}"/>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6" t="s">
        <v>2347</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2348</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35" customHeight="1">
      <c r="A14" s="218"/>
      <c r="B14" s="218"/>
      <c r="C14" s="219"/>
      <c r="E14" s="1266" t="s">
        <v>2575</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3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6" t="s">
        <v>2349</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3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35" hidden="1" customHeight="1">
      <c r="A28" s="218"/>
      <c r="B28" s="218"/>
      <c r="C28" s="219"/>
      <c r="E28" s="1266" t="s">
        <v>2504</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3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6" t="s">
        <v>2350</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2581</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2499</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35" customHeight="1">
      <c r="A42" s="4"/>
      <c r="B42"/>
      <c r="C42" s="2"/>
      <c r="D42" s="4"/>
      <c r="E42" s="4" t="s">
        <v>661</v>
      </c>
      <c r="F42" s="1266" t="s">
        <v>1270</v>
      </c>
    </row>
    <row r="43" spans="1:38" s="1266" customFormat="1" ht="13.3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3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2352</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696</v>
      </c>
      <c r="G56" s="1268" t="s">
        <v>1297</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3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517</v>
      </c>
      <c r="G59" s="1268" t="s">
        <v>2353</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6" t="s">
        <v>1272</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35" customHeight="1">
      <c r="A69" s="4"/>
      <c r="C69" s="2"/>
      <c r="D69" s="4"/>
      <c r="E69" s="4"/>
      <c r="F69" t="s">
        <v>517</v>
      </c>
      <c r="G69" s="1266" t="s">
        <v>1273</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6" t="s">
        <v>1274</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1275</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1276</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1277</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5" t="s">
        <v>1278</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1279</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6" t="s">
        <v>1280</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1281</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6" t="s">
        <v>1282</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6" t="s">
        <v>1257</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35" customHeight="1">
      <c r="B343" s="2"/>
      <c r="E343" s="1268" t="s">
        <v>1342</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1344</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1343</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69" t="s">
        <v>1333</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1366</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1377</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3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D11" sqref="AD11:AH1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56" t="s">
        <v>1388</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53038950</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20254000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505</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506</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507</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508</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814</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509</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55" t="s">
        <v>979</v>
      </c>
      <c r="D18" s="1655"/>
      <c r="E18" s="1655"/>
      <c r="F18" s="1655"/>
      <c r="G18" s="1655"/>
      <c r="H18" s="1655"/>
      <c r="I18" s="1655"/>
      <c r="J18" s="1655"/>
      <c r="K18" s="1655"/>
      <c r="L18" s="1655"/>
      <c r="M18" s="1655"/>
      <c r="N18" s="1655"/>
      <c r="O18" s="1655"/>
      <c r="P18" s="1655"/>
      <c r="Q18" s="1655"/>
      <c r="R18" s="1655"/>
      <c r="S18" s="1656"/>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55" t="s">
        <v>979</v>
      </c>
      <c r="D19" s="1655"/>
      <c r="E19" s="1655"/>
      <c r="F19" s="1655"/>
      <c r="G19" s="1655"/>
      <c r="H19" s="1655"/>
      <c r="I19" s="1655"/>
      <c r="J19" s="1655"/>
      <c r="K19" s="1655"/>
      <c r="L19" s="1655"/>
      <c r="M19" s="1655"/>
      <c r="N19" s="1655"/>
      <c r="O19" s="1655"/>
      <c r="P19" s="1655"/>
      <c r="Q19" s="1655"/>
      <c r="R19" s="1655"/>
      <c r="S19" s="1656"/>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1371</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35">
        <f>T11+T22</f>
        <v>53038950</v>
      </c>
      <c r="U23" s="2613"/>
      <c r="V23" s="2613"/>
      <c r="W23" s="2613"/>
      <c r="X23" s="2613"/>
      <c r="Y23" s="2635">
        <f>Y11+Y22</f>
        <v>0</v>
      </c>
      <c r="Z23" s="2613"/>
      <c r="AA23" s="2613"/>
      <c r="AB23" s="2613"/>
      <c r="AC23" s="2613"/>
      <c r="AD23" s="2635">
        <f>AD11+AD22</f>
        <v>20254000</v>
      </c>
      <c r="AE23" s="2613"/>
      <c r="AF23" s="2613"/>
      <c r="AG23" s="2613"/>
      <c r="AH23" s="2613"/>
      <c r="AI23" s="2635">
        <f>AI11+AI22</f>
        <v>0</v>
      </c>
      <c r="AJ23" s="2613"/>
      <c r="AK23" s="2613"/>
      <c r="AL23" s="2613"/>
      <c r="AM23" s="2613"/>
    </row>
    <row r="24" spans="1:40" ht="12.95" customHeight="1">
      <c r="B24" s="2619" t="s">
        <v>980</v>
      </c>
      <c r="C24" s="2620"/>
      <c r="D24" s="2620"/>
      <c r="E24" s="2620"/>
      <c r="F24" s="2620"/>
      <c r="G24" s="2620"/>
      <c r="H24" s="2620"/>
      <c r="I24" s="2620"/>
      <c r="J24" s="2620"/>
      <c r="K24" s="2620"/>
      <c r="L24" s="2620"/>
      <c r="M24" s="2620"/>
      <c r="N24" s="2620"/>
      <c r="O24" s="2620"/>
      <c r="P24" s="2620"/>
      <c r="Q24" s="2620"/>
      <c r="R24" s="2620"/>
      <c r="S24" s="2621"/>
      <c r="T24" s="2623">
        <f>Application!AJ1052</f>
        <v>124007692</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1372</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35">
        <f>T23*T25</f>
        <v>68950635</v>
      </c>
      <c r="U26" s="2613"/>
      <c r="V26" s="2613"/>
      <c r="W26" s="2613"/>
      <c r="X26" s="2613"/>
      <c r="Y26" s="2635">
        <f>Y23*Y25</f>
        <v>0</v>
      </c>
      <c r="Z26" s="2613"/>
      <c r="AA26" s="2613"/>
      <c r="AB26" s="2613"/>
      <c r="AC26" s="2613"/>
      <c r="AD26" s="2635">
        <f>AD23*AD25</f>
        <v>20254000</v>
      </c>
      <c r="AE26" s="2613"/>
      <c r="AF26" s="2613"/>
      <c r="AG26" s="2613"/>
      <c r="AH26" s="2613"/>
      <c r="AI26" s="2635">
        <f>AI23*AI25</f>
        <v>0</v>
      </c>
      <c r="AJ26" s="2613"/>
      <c r="AK26" s="2613"/>
      <c r="AL26" s="2613"/>
      <c r="AM26" s="2613"/>
    </row>
    <row r="27" spans="1:40" ht="12.9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35">
        <f>IF(ISERROR((T26*T27)),0,(T26*T27))</f>
        <v>68950635</v>
      </c>
      <c r="U28" s="2613"/>
      <c r="V28" s="2613"/>
      <c r="W28" s="2613"/>
      <c r="X28" s="2613"/>
      <c r="Y28" s="2635">
        <f>IF(ISERROR((Y26*Y27)),0,(Y26*Y27))</f>
        <v>0</v>
      </c>
      <c r="Z28" s="2613"/>
      <c r="AA28" s="2613"/>
      <c r="AB28" s="2613"/>
      <c r="AC28" s="2613"/>
      <c r="AD28" s="2635">
        <f>IF(ISERROR((AD26*AD27)),0,(AD26*AD27))</f>
        <v>20254000</v>
      </c>
      <c r="AE28" s="2613"/>
      <c r="AF28" s="2613"/>
      <c r="AG28" s="2613"/>
      <c r="AH28" s="2613"/>
      <c r="AI28" s="2635">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23">
        <f>T28+Y28+AD28+AI28</f>
        <v>89204635</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1374</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1373</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1256</v>
      </c>
      <c r="Z35" s="2636"/>
      <c r="AA35" s="2636"/>
      <c r="AB35" s="2636"/>
      <c r="AC35" s="2636"/>
      <c r="AD35" s="2637" t="s">
        <v>370</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68950635</v>
      </c>
      <c r="Z38" s="2613"/>
      <c r="AA38" s="2613"/>
      <c r="AB38" s="2613"/>
      <c r="AC38" s="2613"/>
      <c r="AD38" s="2613">
        <f>IF(T24&gt;=(T23+Y23+AD23+AI23),AD28+AI28,0)</f>
        <v>20254000</v>
      </c>
      <c r="AE38" s="2613"/>
      <c r="AF38" s="2613"/>
      <c r="AG38" s="2613"/>
      <c r="AH38" s="2613"/>
    </row>
    <row r="39" spans="1:76" ht="12.95" customHeight="1">
      <c r="B39" s="2619" t="s">
        <v>1879</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2758025</v>
      </c>
      <c r="Z40" s="2613"/>
      <c r="AA40" s="2613"/>
      <c r="AB40" s="2613"/>
      <c r="AC40" s="2613"/>
      <c r="AD40" s="2635">
        <f>ROUND(AD38*AD39,0)</f>
        <v>810160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3568185</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1384</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594</v>
      </c>
      <c r="C46" s="435" t="s">
        <v>283</v>
      </c>
    </row>
    <row r="47" spans="1:76" ht="12.95" customHeight="1">
      <c r="D47" s="435" t="s">
        <v>284</v>
      </c>
      <c r="AB47" s="2627">
        <f>'Sources and Uses Budget'!B105-MAX(IF('Sources and Uses Budget'!B15="",0,'Sources and Uses Budget'!B15),IF(Application!AG394="",0,Application!AG394))</f>
        <v>75243950</v>
      </c>
      <c r="AC47" s="2628"/>
      <c r="AD47" s="2628"/>
      <c r="AE47" s="2628"/>
      <c r="AF47" s="2629"/>
    </row>
    <row r="48" spans="1:76" ht="12.95" customHeight="1">
      <c r="D48" s="435" t="s">
        <v>21</v>
      </c>
      <c r="AB48" s="2627">
        <f>Application!AO639-MAX(IF('Sources and Uses Budget'!B15="",0,'Sources and Uses Budget'!B15),IF(Application!AG394="",0,Application!AG394))</f>
        <v>43131253</v>
      </c>
      <c r="AC48" s="2628"/>
      <c r="AD48" s="2628"/>
      <c r="AE48" s="2628"/>
      <c r="AF48" s="2629"/>
    </row>
    <row r="49" spans="1:76" ht="12.95" customHeight="1">
      <c r="D49" s="435" t="s">
        <v>91</v>
      </c>
      <c r="AB49" s="2627">
        <f>AB47-AB48</f>
        <v>32112697</v>
      </c>
      <c r="AC49" s="2628"/>
      <c r="AD49" s="2628"/>
      <c r="AE49" s="2628"/>
      <c r="AF49" s="2629"/>
    </row>
    <row r="50" spans="1:76" ht="12.95" customHeight="1">
      <c r="D50" s="435" t="s">
        <v>689</v>
      </c>
      <c r="AA50" s="446"/>
      <c r="AB50" s="2615">
        <v>0.90009499999999998</v>
      </c>
      <c r="AC50" s="2616"/>
      <c r="AD50" s="2616"/>
      <c r="AE50" s="2616"/>
      <c r="AF50" s="2617"/>
    </row>
    <row r="51" spans="1:76" s="448" customFormat="1" ht="12.95" customHeight="1">
      <c r="A51" s="433"/>
      <c r="B51" s="433"/>
      <c r="C51" s="433"/>
      <c r="D51" s="433"/>
      <c r="E51" s="2626" t="s">
        <v>2039</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35677009</v>
      </c>
      <c r="AC54" s="2628"/>
      <c r="AD54" s="2628"/>
      <c r="AE54" s="2628"/>
      <c r="AF54" s="2629"/>
    </row>
    <row r="55" spans="1:76" ht="12.95" customHeight="1">
      <c r="D55" s="435" t="s">
        <v>334</v>
      </c>
      <c r="AB55" s="2627">
        <f>(AB54/10)</f>
        <v>3567700.9</v>
      </c>
      <c r="AC55" s="2628"/>
      <c r="AD55" s="2628"/>
      <c r="AE55" s="2628"/>
      <c r="AF55" s="2629"/>
    </row>
    <row r="56" spans="1:76" ht="12.95" customHeight="1">
      <c r="D56" s="435" t="s">
        <v>765</v>
      </c>
      <c r="AB56" s="2630">
        <f>(IF((Y41&lt;AB55),Y41,AB55))</f>
        <v>3567700.9</v>
      </c>
      <c r="AC56" s="2631"/>
      <c r="AD56" s="2631"/>
      <c r="AE56" s="2631"/>
      <c r="AF56" s="2632"/>
    </row>
    <row r="57" spans="1:76" ht="12.95" customHeight="1">
      <c r="D57" s="435" t="s">
        <v>764</v>
      </c>
      <c r="AB57" s="2627">
        <f>ROUND((10*AB56*AB50),0)</f>
        <v>32112697</v>
      </c>
      <c r="AC57" s="2628"/>
      <c r="AD57" s="2628"/>
      <c r="AE57" s="2628"/>
      <c r="AF57" s="2629"/>
    </row>
    <row r="58" spans="1:76" ht="12.95" customHeight="1">
      <c r="D58" s="435"/>
      <c r="AB58" s="454"/>
      <c r="AC58" s="454"/>
      <c r="AD58" s="454"/>
      <c r="AE58" s="454"/>
      <c r="AF58" s="454"/>
    </row>
    <row r="59" spans="1:76" ht="12.95" customHeight="1">
      <c r="D59" s="435" t="s">
        <v>763</v>
      </c>
      <c r="AB59" s="2611">
        <f>AB49-AB57</f>
        <v>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597</v>
      </c>
      <c r="C63" s="219" t="s">
        <v>1356</v>
      </c>
      <c r="Y63" s="2622" t="s">
        <v>1003</v>
      </c>
      <c r="Z63" s="2622"/>
      <c r="AA63" s="2622"/>
      <c r="AB63" s="2622"/>
      <c r="AC63" s="2622"/>
      <c r="AD63" s="2622" t="s">
        <v>370</v>
      </c>
      <c r="AE63" s="2622"/>
      <c r="AF63" s="2622"/>
      <c r="AG63" s="2622"/>
      <c r="AH63" s="2622"/>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0</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2635</v>
      </c>
      <c r="Y68" s="2613">
        <f>ROUND(Y64*Y67,0)</f>
        <v>0</v>
      </c>
      <c r="Z68" s="2614"/>
      <c r="AA68" s="2614"/>
      <c r="AB68" s="2614"/>
      <c r="AC68" s="2614"/>
      <c r="AD68" s="2613">
        <f>ROUND(AD64*AD67,0)</f>
        <v>0</v>
      </c>
      <c r="AE68" s="2614"/>
      <c r="AF68" s="2614"/>
      <c r="AG68" s="2614"/>
      <c r="AH68" s="2614"/>
    </row>
    <row r="69" spans="1:36" ht="12.95" customHeight="1">
      <c r="C69" s="435"/>
      <c r="D69" s="219" t="s">
        <v>2636</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15"/>
      <c r="AC72" s="2616"/>
      <c r="AD72" s="2616"/>
      <c r="AE72" s="2616"/>
      <c r="AF72" s="2617"/>
    </row>
    <row r="73" spans="1:36" ht="12.95" customHeight="1">
      <c r="A73" s="435"/>
      <c r="C73" s="435"/>
      <c r="D73" s="435"/>
      <c r="E73" s="2618" t="s">
        <v>1359</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6">
        <f>ROUND(IF(ISERROR((AB59/AB72)),0,(AB59/AB72)),0)</f>
        <v>0</v>
      </c>
      <c r="AC77" s="2606"/>
      <c r="AD77" s="2606"/>
      <c r="AE77" s="2606"/>
      <c r="AF77" s="2606"/>
    </row>
    <row r="78" spans="1:36" ht="12.95" customHeight="1">
      <c r="C78" s="435"/>
      <c r="D78" s="219" t="s">
        <v>1361</v>
      </c>
      <c r="AB78" s="2607">
        <f>MIN(Y69,AB77)</f>
        <v>0</v>
      </c>
      <c r="AC78" s="2608"/>
      <c r="AD78" s="2608"/>
      <c r="AE78" s="2608"/>
      <c r="AF78" s="2609"/>
    </row>
    <row r="79" spans="1:36" ht="12.95" customHeight="1">
      <c r="C79" s="435"/>
      <c r="D79" s="219" t="s">
        <v>1362</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763</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5" priority="3">
      <formula>AND($T$18&gt;0,OR($C$18="",$C$18="Subtract (specify other ineligible amounts):"))</formula>
    </cfRule>
  </conditionalFormatting>
  <conditionalFormatting sqref="C18:S19">
    <cfRule type="expression" dxfId="4" priority="1">
      <formula>AND(T18&gt;0,OR(C18="",C18="Subtract (specify other ineligible amounts):"))</formula>
    </cfRule>
  </conditionalFormatting>
  <conditionalFormatting sqref="AB59:AF60 AB81:AF81">
    <cfRule type="cellIs" dxfId="3"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J40" sqref="J4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924</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9</v>
      </c>
      <c r="C4" s="1122" t="s">
        <v>301</v>
      </c>
      <c r="D4" s="459">
        <f>Application!O718</f>
        <v>699</v>
      </c>
      <c r="E4" s="460"/>
      <c r="F4" s="1123">
        <v>2419</v>
      </c>
      <c r="G4" s="459">
        <f>F4*B4</f>
        <v>21771</v>
      </c>
      <c r="H4" s="460"/>
      <c r="I4" s="459">
        <f t="shared" ref="I4:I27" si="0">IF(F4=0,"",(F4-D4))</f>
        <v>1720</v>
      </c>
      <c r="J4" s="459">
        <f t="shared" ref="J4:J27" si="1">IF(F4=0,"",(I4*B4))</f>
        <v>15480</v>
      </c>
      <c r="K4" s="218"/>
      <c r="L4" s="328"/>
    </row>
    <row r="5" spans="1:12">
      <c r="A5" s="459" t="str">
        <f>Application!B719</f>
        <v>SRO/Studio</v>
      </c>
      <c r="B5" s="1121">
        <f>Application!G719</f>
        <v>17</v>
      </c>
      <c r="C5" s="1122"/>
      <c r="D5" s="459">
        <f>Application!O719</f>
        <v>1427</v>
      </c>
      <c r="E5" s="460"/>
      <c r="F5" s="1123"/>
      <c r="G5" s="459">
        <f t="shared" ref="G5:G38" si="2">F5*B5</f>
        <v>0</v>
      </c>
      <c r="H5" s="460"/>
      <c r="I5" s="459" t="str">
        <f t="shared" si="0"/>
        <v/>
      </c>
      <c r="J5" s="459" t="str">
        <f t="shared" si="1"/>
        <v/>
      </c>
      <c r="K5" s="218"/>
      <c r="L5" s="328"/>
    </row>
    <row r="6" spans="1:12">
      <c r="A6" s="459" t="str">
        <f>Application!B720</f>
        <v>SRO/Studio</v>
      </c>
      <c r="B6" s="1121">
        <f>Application!G720</f>
        <v>19</v>
      </c>
      <c r="C6" s="1122"/>
      <c r="D6" s="459">
        <f>Application!O720</f>
        <v>1670</v>
      </c>
      <c r="E6" s="460"/>
      <c r="F6" s="1123"/>
      <c r="G6" s="459">
        <f t="shared" si="2"/>
        <v>0</v>
      </c>
      <c r="H6" s="460"/>
      <c r="I6" s="459" t="str">
        <f t="shared" si="0"/>
        <v/>
      </c>
      <c r="J6" s="459" t="str">
        <f t="shared" si="1"/>
        <v/>
      </c>
      <c r="K6" s="218"/>
      <c r="L6" s="328"/>
    </row>
    <row r="7" spans="1:12">
      <c r="A7" s="459" t="str">
        <f>Application!B721</f>
        <v>1 Bedroom</v>
      </c>
      <c r="B7" s="1121">
        <f>Application!G721</f>
        <v>49</v>
      </c>
      <c r="C7" s="1122" t="s">
        <v>301</v>
      </c>
      <c r="D7" s="459">
        <f>Application!O721</f>
        <v>739</v>
      </c>
      <c r="E7" s="460"/>
      <c r="F7" s="1123">
        <v>2719</v>
      </c>
      <c r="G7" s="459">
        <f t="shared" si="2"/>
        <v>133231</v>
      </c>
      <c r="H7" s="460"/>
      <c r="I7" s="459">
        <f t="shared" si="0"/>
        <v>1980</v>
      </c>
      <c r="J7" s="459">
        <f t="shared" si="1"/>
        <v>97020</v>
      </c>
      <c r="K7" s="218"/>
      <c r="L7" s="328"/>
    </row>
    <row r="8" spans="1:12">
      <c r="A8" s="459" t="str">
        <f>Application!B722</f>
        <v>1 Bedroom</v>
      </c>
      <c r="B8" s="1121">
        <f>Application!G722</f>
        <v>22</v>
      </c>
      <c r="C8" s="1122"/>
      <c r="D8" s="459">
        <f>Application!O722</f>
        <v>1739</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136749</v>
      </c>
      <c r="E40" s="460"/>
      <c r="F40" s="460"/>
      <c r="G40" s="463">
        <f>SUM(G4:G38)*12</f>
        <v>1860024</v>
      </c>
      <c r="H40" s="464"/>
      <c r="I40" s="462"/>
      <c r="J40" s="463">
        <f>SUM(J4:J38)*12</f>
        <v>1350000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6" zoomScaleNormal="100" workbookViewId="0">
      <selection activeCell="G58" sqref="G58"/>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1640988</v>
      </c>
      <c r="G4" s="235">
        <f>E4*$C$4</f>
        <v>1682012.7</v>
      </c>
      <c r="I4" s="235">
        <f>G4*$C$4</f>
        <v>1724063.0174999998</v>
      </c>
      <c r="K4" s="235">
        <f>I4*$C$4</f>
        <v>1767164.5929374998</v>
      </c>
      <c r="M4" s="235">
        <f>K4*$C$4</f>
        <v>1811343.707760937</v>
      </c>
      <c r="O4" s="235">
        <f>M4*$C$4</f>
        <v>1856627.3004549602</v>
      </c>
      <c r="Q4" s="235">
        <f>O4*$C$4</f>
        <v>1903042.9829663341</v>
      </c>
      <c r="S4" s="235">
        <f>Q4*$C$4</f>
        <v>1950619.0575404924</v>
      </c>
      <c r="U4" s="235">
        <f>S4*$C$4</f>
        <v>1999384.5339790045</v>
      </c>
      <c r="W4" s="235">
        <f>U4*$C$4</f>
        <v>2049369.1473284794</v>
      </c>
      <c r="Y4" s="235">
        <f>W4*$C$4</f>
        <v>2100603.3760116911</v>
      </c>
      <c r="AA4" s="235">
        <f>Y4*$C$4</f>
        <v>2153118.4604119831</v>
      </c>
      <c r="AC4" s="235">
        <f>AA4*$C$4</f>
        <v>2206946.4219222823</v>
      </c>
      <c r="AE4" s="235">
        <f>AC4*$C$4</f>
        <v>2262120.0824703393</v>
      </c>
      <c r="AG4" s="235">
        <f>AE4*$C$4</f>
        <v>2318673.0845320974</v>
      </c>
    </row>
    <row r="5" spans="1:34" s="225" customFormat="1" ht="14.25">
      <c r="B5" s="225" t="s">
        <v>849</v>
      </c>
      <c r="C5" s="254">
        <f>IF(Application!$D$211="Special Needs",0.1,0.05)</f>
        <v>0.1</v>
      </c>
      <c r="E5" s="237">
        <f>-E4*$C$5</f>
        <v>-164098.80000000002</v>
      </c>
      <c r="F5" s="237"/>
      <c r="G5" s="237">
        <f>-G4*$C$5</f>
        <v>-168201.27000000002</v>
      </c>
      <c r="H5" s="237"/>
      <c r="I5" s="237">
        <f>-I4*$C$5</f>
        <v>-172406.30174999998</v>
      </c>
      <c r="J5" s="237"/>
      <c r="K5" s="237">
        <f>-K4*$C$5</f>
        <v>-176716.45929375</v>
      </c>
      <c r="L5" s="237"/>
      <c r="M5" s="237">
        <f>-M4*$C$5</f>
        <v>-181134.37077609371</v>
      </c>
      <c r="N5" s="237"/>
      <c r="O5" s="237">
        <f>-O4*$C$5</f>
        <v>-185662.73004549602</v>
      </c>
      <c r="P5" s="237"/>
      <c r="Q5" s="237">
        <f>-Q4*$C$5</f>
        <v>-190304.29829663341</v>
      </c>
      <c r="R5" s="237"/>
      <c r="S5" s="237">
        <f>-S4*$C$5</f>
        <v>-195061.90575404925</v>
      </c>
      <c r="T5" s="237"/>
      <c r="U5" s="237">
        <f>-U4*$C$5</f>
        <v>-199938.45339790045</v>
      </c>
      <c r="V5" s="237"/>
      <c r="W5" s="237">
        <f>-W4*$C$5</f>
        <v>-204936.91473284794</v>
      </c>
      <c r="X5" s="237"/>
      <c r="Y5" s="237">
        <f>-Y4*$C$5</f>
        <v>-210060.33760116913</v>
      </c>
      <c r="Z5" s="237"/>
      <c r="AA5" s="237">
        <f>-AA4*$C$5</f>
        <v>-215311.84604119833</v>
      </c>
      <c r="AB5" s="237"/>
      <c r="AC5" s="237">
        <f>-AC4*$C$5</f>
        <v>-220694.64219222823</v>
      </c>
      <c r="AD5" s="237"/>
      <c r="AE5" s="237">
        <f>-AE4*$C$5</f>
        <v>-226212.00824703393</v>
      </c>
      <c r="AF5" s="237"/>
      <c r="AG5" s="237">
        <f>-AG4*$C$5</f>
        <v>-231867.30845320976</v>
      </c>
    </row>
    <row r="6" spans="1:34" s="225" customFormat="1" ht="14.25">
      <c r="A6" s="225" t="s">
        <v>847</v>
      </c>
      <c r="C6" s="253">
        <v>1.0249999999999999</v>
      </c>
      <c r="E6" s="238">
        <f>Application!Z809</f>
        <v>1350000</v>
      </c>
      <c r="F6" s="238"/>
      <c r="G6" s="238">
        <f>E6*$C$6</f>
        <v>1383749.9999999998</v>
      </c>
      <c r="H6" s="238"/>
      <c r="I6" s="238">
        <f>G6*$C$6</f>
        <v>1418343.7499999995</v>
      </c>
      <c r="J6" s="238"/>
      <c r="K6" s="238">
        <f>I6*$C$6</f>
        <v>1453802.3437499993</v>
      </c>
      <c r="L6" s="238"/>
      <c r="M6" s="238">
        <f>K6*$C$6</f>
        <v>1490147.4023437491</v>
      </c>
      <c r="N6" s="238"/>
      <c r="O6" s="238">
        <f>M6*$C$6</f>
        <v>1527401.0874023426</v>
      </c>
      <c r="P6" s="238"/>
      <c r="Q6" s="238">
        <f>O6*$C$6</f>
        <v>1565586.114587401</v>
      </c>
      <c r="R6" s="238"/>
      <c r="S6" s="238">
        <f>Q6*$C$6</f>
        <v>1604725.7674520859</v>
      </c>
      <c r="T6" s="238"/>
      <c r="U6" s="238">
        <f>S6*$C$6</f>
        <v>1644843.9116383879</v>
      </c>
      <c r="V6" s="238"/>
      <c r="W6" s="238">
        <f>U6*$C$6</f>
        <v>1685965.0094293475</v>
      </c>
      <c r="X6" s="238"/>
      <c r="Y6" s="238">
        <f>W6*$C$6</f>
        <v>1728114.134665081</v>
      </c>
      <c r="Z6" s="238"/>
      <c r="AA6" s="238">
        <f>Y6*$C$6</f>
        <v>1771316.9880317079</v>
      </c>
      <c r="AB6" s="238"/>
      <c r="AC6" s="238">
        <f>AA6*$C$6</f>
        <v>1815599.9127325006</v>
      </c>
      <c r="AD6" s="238"/>
      <c r="AE6" s="238">
        <f>AC6*$C$6</f>
        <v>1860989.910550813</v>
      </c>
      <c r="AF6" s="238"/>
      <c r="AG6" s="238">
        <f>AE6*$C$6</f>
        <v>1907514.6583145831</v>
      </c>
    </row>
    <row r="7" spans="1:34" s="225" customFormat="1" ht="14.25">
      <c r="B7" s="225" t="s">
        <v>849</v>
      </c>
      <c r="C7" s="254">
        <f>IF(Application!$D$211="Special Needs",0.1,0.05)</f>
        <v>0.1</v>
      </c>
      <c r="E7" s="237">
        <f>-E6*$C$7</f>
        <v>-135000</v>
      </c>
      <c r="F7" s="237"/>
      <c r="G7" s="237">
        <f>-G6*$C$7</f>
        <v>-138374.99999999997</v>
      </c>
      <c r="H7" s="237"/>
      <c r="I7" s="237">
        <f>-I6*$C$7</f>
        <v>-141834.37499999997</v>
      </c>
      <c r="J7" s="237"/>
      <c r="K7" s="237">
        <f>-K6*$C$7</f>
        <v>-145380.23437499994</v>
      </c>
      <c r="L7" s="237"/>
      <c r="M7" s="237">
        <f>-M6*$C$7</f>
        <v>-149014.74023437491</v>
      </c>
      <c r="N7" s="237"/>
      <c r="O7" s="237">
        <f>-O6*$C$7</f>
        <v>-152740.10874023425</v>
      </c>
      <c r="P7" s="237"/>
      <c r="Q7" s="237">
        <f>-Q6*$C$7</f>
        <v>-156558.61145874011</v>
      </c>
      <c r="R7" s="237"/>
      <c r="S7" s="237">
        <f>-S6*$C$7</f>
        <v>-160472.57674520859</v>
      </c>
      <c r="T7" s="237"/>
      <c r="U7" s="237">
        <f>-U6*$C$7</f>
        <v>-164484.39116383879</v>
      </c>
      <c r="V7" s="237"/>
      <c r="W7" s="237">
        <f>-W6*$C$7</f>
        <v>-168596.50094293477</v>
      </c>
      <c r="X7" s="237"/>
      <c r="Y7" s="237">
        <f>-Y6*$C$7</f>
        <v>-172811.41346650812</v>
      </c>
      <c r="Z7" s="237"/>
      <c r="AA7" s="237">
        <f>-AA6*$C$7</f>
        <v>-177131.69880317082</v>
      </c>
      <c r="AB7" s="237"/>
      <c r="AC7" s="237">
        <f>-AC6*$C$7</f>
        <v>-181559.99127325008</v>
      </c>
      <c r="AD7" s="237"/>
      <c r="AE7" s="237">
        <f>-AE6*$C$7</f>
        <v>-186098.99105508131</v>
      </c>
      <c r="AF7" s="237"/>
      <c r="AG7" s="237">
        <f>-AG6*$C$7</f>
        <v>-190751.46583145834</v>
      </c>
    </row>
    <row r="8" spans="1:34" s="225" customFormat="1" ht="14.25">
      <c r="A8" s="225" t="s">
        <v>289</v>
      </c>
      <c r="C8" s="253">
        <v>1.0249999999999999</v>
      </c>
      <c r="E8" s="238">
        <f>Application!Z817</f>
        <v>164150</v>
      </c>
      <c r="F8" s="238"/>
      <c r="G8" s="238">
        <f>E8*$C$8</f>
        <v>168253.74999999997</v>
      </c>
      <c r="H8" s="238"/>
      <c r="I8" s="238">
        <f>G8*$C$8</f>
        <v>172460.09374999994</v>
      </c>
      <c r="J8" s="238"/>
      <c r="K8" s="238">
        <f>I8*$C$8</f>
        <v>176771.59609374992</v>
      </c>
      <c r="L8" s="238"/>
      <c r="M8" s="238">
        <f>K8*$C$8</f>
        <v>181190.88599609365</v>
      </c>
      <c r="N8" s="238"/>
      <c r="O8" s="238">
        <f>M8*$C$8</f>
        <v>185720.65814599599</v>
      </c>
      <c r="P8" s="238"/>
      <c r="Q8" s="238">
        <f>O8*$C$8</f>
        <v>190363.67459964586</v>
      </c>
      <c r="R8" s="238"/>
      <c r="S8" s="238">
        <f>Q8*$C$8</f>
        <v>195122.76646463698</v>
      </c>
      <c r="T8" s="238"/>
      <c r="U8" s="238">
        <f>S8*$C$8</f>
        <v>200000.8356262529</v>
      </c>
      <c r="V8" s="238"/>
      <c r="W8" s="238">
        <f>U8*$C$8</f>
        <v>205000.8565169092</v>
      </c>
      <c r="X8" s="238"/>
      <c r="Y8" s="238">
        <f>W8*$C$8</f>
        <v>210125.87792983191</v>
      </c>
      <c r="Z8" s="238"/>
      <c r="AA8" s="238">
        <f>Y8*$C$8</f>
        <v>215379.0248780777</v>
      </c>
      <c r="AB8" s="238"/>
      <c r="AC8" s="238">
        <f>AA8*$C$8</f>
        <v>220763.50050002962</v>
      </c>
      <c r="AD8" s="238"/>
      <c r="AE8" s="238">
        <f>AC8*$C$8</f>
        <v>226282.58801253035</v>
      </c>
      <c r="AF8" s="238"/>
      <c r="AG8" s="238">
        <f>AE8*$C$8</f>
        <v>231939.65271284358</v>
      </c>
    </row>
    <row r="9" spans="1:34" s="225" customFormat="1" ht="14.25">
      <c r="B9" s="225" t="s">
        <v>849</v>
      </c>
      <c r="C9" s="254">
        <f>IF(Application!$D$211="Special Needs",0.1,0.05)</f>
        <v>0.1</v>
      </c>
      <c r="E9" s="237">
        <f>-E8*$C$9</f>
        <v>-16415</v>
      </c>
      <c r="F9" s="237"/>
      <c r="G9" s="237">
        <f>-G8*$C$9</f>
        <v>-16825.374999999996</v>
      </c>
      <c r="H9" s="237"/>
      <c r="I9" s="237">
        <f>-I8*$C$9</f>
        <v>-17246.009374999994</v>
      </c>
      <c r="J9" s="237"/>
      <c r="K9" s="237">
        <f>-K8*$C$9</f>
        <v>-17677.159609374994</v>
      </c>
      <c r="L9" s="237"/>
      <c r="M9" s="237">
        <f>-M8*$C$9</f>
        <v>-18119.088599609368</v>
      </c>
      <c r="N9" s="237"/>
      <c r="O9" s="237">
        <f>-O8*$C$9</f>
        <v>-18572.065814599599</v>
      </c>
      <c r="P9" s="237"/>
      <c r="Q9" s="237">
        <f>-Q8*$C$9</f>
        <v>-19036.367459964586</v>
      </c>
      <c r="R9" s="237"/>
      <c r="S9" s="237">
        <f>-S8*$C$9</f>
        <v>-19512.276646463699</v>
      </c>
      <c r="T9" s="237"/>
      <c r="U9" s="237">
        <f>-U8*$C$9</f>
        <v>-20000.083562625292</v>
      </c>
      <c r="V9" s="237"/>
      <c r="W9" s="237">
        <f>-W8*$C$9</f>
        <v>-20500.085651690923</v>
      </c>
      <c r="X9" s="237"/>
      <c r="Y9" s="237">
        <f>-Y8*$C$9</f>
        <v>-21012.587792983191</v>
      </c>
      <c r="Z9" s="237"/>
      <c r="AA9" s="237">
        <f>-AA8*$C$9</f>
        <v>-21537.902487807773</v>
      </c>
      <c r="AB9" s="237"/>
      <c r="AC9" s="237">
        <f>-AC8*$C$9</f>
        <v>-22076.350050002962</v>
      </c>
      <c r="AD9" s="237"/>
      <c r="AE9" s="237">
        <f>-AE8*$C$9</f>
        <v>-22628.258801253036</v>
      </c>
      <c r="AF9" s="237"/>
      <c r="AG9" s="237">
        <f>-AG8*$C$9</f>
        <v>-23193.96527128436</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2839624.2</v>
      </c>
      <c r="G11" s="239">
        <f>SUM(G4:G10)</f>
        <v>2910614.8049999997</v>
      </c>
      <c r="I11" s="239">
        <f>SUM(I4:I10)</f>
        <v>2983380.1751249996</v>
      </c>
      <c r="K11" s="239">
        <f>SUM(K4:K10)</f>
        <v>3057964.6795031242</v>
      </c>
      <c r="M11" s="239">
        <f>SUM(M4:M10)</f>
        <v>3134413.7964907014</v>
      </c>
      <c r="O11" s="239">
        <f>SUM(O4:O10)</f>
        <v>3212774.1414029687</v>
      </c>
      <c r="Q11" s="239">
        <f>SUM(Q4:Q10)</f>
        <v>3293093.4949380425</v>
      </c>
      <c r="S11" s="239">
        <f>SUM(S4:S10)</f>
        <v>3375420.8323114943</v>
      </c>
      <c r="U11" s="239">
        <f>SUM(U4:U10)</f>
        <v>3459806.3531192807</v>
      </c>
      <c r="W11" s="239">
        <f>SUM(W4:W10)</f>
        <v>3546301.5119472621</v>
      </c>
      <c r="Y11" s="239">
        <f>SUM(Y4:Y10)</f>
        <v>3634959.0497459439</v>
      </c>
      <c r="AA11" s="239">
        <f>SUM(AA4:AA10)</f>
        <v>3725833.0259895916</v>
      </c>
      <c r="AC11" s="239">
        <f>SUM(AC4:AC10)</f>
        <v>3818978.8516393313</v>
      </c>
      <c r="AE11" s="239">
        <f>SUM(AE4:AE10)</f>
        <v>3914453.3229303146</v>
      </c>
      <c r="AG11" s="239">
        <f>SUM(AG4:AG10)</f>
        <v>4012314.6560035716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105000</v>
      </c>
      <c r="G15" s="235">
        <f>E15*$C$14</f>
        <v>108674.99999999999</v>
      </c>
      <c r="I15" s="235">
        <f>G15*$C$14</f>
        <v>112478.62499999997</v>
      </c>
      <c r="K15" s="235">
        <f>I15*$C$14</f>
        <v>116415.37687499996</v>
      </c>
      <c r="M15" s="235">
        <f>K15*$C$14</f>
        <v>120489.91506562494</v>
      </c>
      <c r="O15" s="235">
        <f>M15*$C$14</f>
        <v>124707.0620929218</v>
      </c>
      <c r="Q15" s="235">
        <f>O15*$C$14</f>
        <v>129071.80926617405</v>
      </c>
      <c r="S15" s="235">
        <f>Q15*$C$14</f>
        <v>133589.32259049013</v>
      </c>
      <c r="U15" s="235">
        <f>S15*$C$14</f>
        <v>138264.94888115727</v>
      </c>
      <c r="W15" s="235">
        <f>U15*$C$14</f>
        <v>143104.22209199777</v>
      </c>
      <c r="Y15" s="235">
        <f>W15*$C$14</f>
        <v>148112.86986521768</v>
      </c>
      <c r="AA15" s="235">
        <f>Y15*$C$14</f>
        <v>153296.82031050028</v>
      </c>
      <c r="AC15" s="235">
        <f>AA15*$C$14</f>
        <v>158662.20902136777</v>
      </c>
      <c r="AE15" s="235">
        <f>AC15*$C$14</f>
        <v>164215.38633711563</v>
      </c>
      <c r="AG15" s="235">
        <f>AE15*$C$14</f>
        <v>169962.92485891466</v>
      </c>
    </row>
    <row r="16" spans="1:34" s="225" customFormat="1" ht="14.25">
      <c r="A16" s="225" t="s">
        <v>345</v>
      </c>
      <c r="C16" s="249"/>
      <c r="E16" s="238">
        <f>Application!W849</f>
        <v>104400</v>
      </c>
      <c r="F16" s="238"/>
      <c r="G16" s="238">
        <f t="shared" ref="G16:AG21" si="0">E16*$C$14</f>
        <v>108053.99999999999</v>
      </c>
      <c r="H16" s="238"/>
      <c r="I16" s="238">
        <f t="shared" si="0"/>
        <v>111835.88999999997</v>
      </c>
      <c r="J16" s="238"/>
      <c r="K16" s="238">
        <f t="shared" si="0"/>
        <v>115750.14614999996</v>
      </c>
      <c r="L16" s="238"/>
      <c r="M16" s="238">
        <f t="shared" si="0"/>
        <v>119801.40126524995</v>
      </c>
      <c r="N16" s="238"/>
      <c r="O16" s="238">
        <f t="shared" si="0"/>
        <v>123994.45030953368</v>
      </c>
      <c r="P16" s="238"/>
      <c r="Q16" s="238">
        <f t="shared" si="0"/>
        <v>128334.25607036735</v>
      </c>
      <c r="R16" s="238"/>
      <c r="S16" s="238">
        <f t="shared" si="0"/>
        <v>132825.95503283018</v>
      </c>
      <c r="T16" s="238"/>
      <c r="U16" s="238">
        <f t="shared" si="0"/>
        <v>137474.86345897923</v>
      </c>
      <c r="V16" s="238"/>
      <c r="W16" s="238">
        <f t="shared" si="0"/>
        <v>142286.48368004349</v>
      </c>
      <c r="X16" s="238"/>
      <c r="Y16" s="238">
        <f t="shared" si="0"/>
        <v>147266.51060884498</v>
      </c>
      <c r="Z16" s="238"/>
      <c r="AA16" s="238">
        <f t="shared" si="0"/>
        <v>152420.83848015455</v>
      </c>
      <c r="AB16" s="238"/>
      <c r="AC16" s="238">
        <f t="shared" si="0"/>
        <v>157755.56782695994</v>
      </c>
      <c r="AD16" s="238"/>
      <c r="AE16" s="238">
        <f t="shared" si="0"/>
        <v>163277.01270090352</v>
      </c>
      <c r="AF16" s="238"/>
      <c r="AG16" s="238">
        <f t="shared" si="0"/>
        <v>168991.70814543514</v>
      </c>
    </row>
    <row r="17" spans="1:33" s="225" customFormat="1" ht="14.25">
      <c r="A17" s="225" t="s">
        <v>569</v>
      </c>
      <c r="C17" s="249"/>
      <c r="E17" s="238">
        <f>Application!W855</f>
        <v>87750</v>
      </c>
      <c r="F17" s="238"/>
      <c r="G17" s="238">
        <f t="shared" si="0"/>
        <v>90821.25</v>
      </c>
      <c r="H17" s="238"/>
      <c r="I17" s="238">
        <f t="shared" si="0"/>
        <v>93999.993749999994</v>
      </c>
      <c r="J17" s="238"/>
      <c r="K17" s="238">
        <f t="shared" si="0"/>
        <v>97289.993531249987</v>
      </c>
      <c r="L17" s="238"/>
      <c r="M17" s="238">
        <f t="shared" si="0"/>
        <v>100695.14330484373</v>
      </c>
      <c r="N17" s="238"/>
      <c r="O17" s="238">
        <f t="shared" si="0"/>
        <v>104219.47332051325</v>
      </c>
      <c r="P17" s="238"/>
      <c r="Q17" s="238">
        <f t="shared" si="0"/>
        <v>107867.15488673121</v>
      </c>
      <c r="R17" s="238"/>
      <c r="S17" s="238">
        <f t="shared" si="0"/>
        <v>111642.5053077668</v>
      </c>
      <c r="T17" s="238"/>
      <c r="U17" s="238">
        <f t="shared" si="0"/>
        <v>115549.99299353863</v>
      </c>
      <c r="V17" s="238"/>
      <c r="W17" s="238">
        <f t="shared" si="0"/>
        <v>119594.24274831248</v>
      </c>
      <c r="X17" s="238"/>
      <c r="Y17" s="238">
        <f t="shared" si="0"/>
        <v>123780.0412445034</v>
      </c>
      <c r="Z17" s="238"/>
      <c r="AA17" s="238">
        <f t="shared" si="0"/>
        <v>128112.34268806101</v>
      </c>
      <c r="AB17" s="238"/>
      <c r="AC17" s="238">
        <f t="shared" si="0"/>
        <v>132596.27468214312</v>
      </c>
      <c r="AD17" s="238"/>
      <c r="AE17" s="238">
        <f t="shared" si="0"/>
        <v>137237.14429601812</v>
      </c>
      <c r="AF17" s="238"/>
      <c r="AG17" s="238">
        <f t="shared" si="0"/>
        <v>142040.44434637873</v>
      </c>
    </row>
    <row r="18" spans="1:33" s="225" customFormat="1" ht="14.25">
      <c r="A18" s="225" t="s">
        <v>853</v>
      </c>
      <c r="C18" s="249"/>
      <c r="E18" s="238">
        <f>Application!W862</f>
        <v>170000</v>
      </c>
      <c r="F18" s="238"/>
      <c r="G18" s="238">
        <f t="shared" si="0"/>
        <v>175950</v>
      </c>
      <c r="H18" s="238"/>
      <c r="I18" s="238">
        <f t="shared" si="0"/>
        <v>182108.25</v>
      </c>
      <c r="J18" s="238"/>
      <c r="K18" s="238">
        <f t="shared" si="0"/>
        <v>188482.03874999998</v>
      </c>
      <c r="L18" s="238"/>
      <c r="M18" s="238">
        <f t="shared" si="0"/>
        <v>195078.91010624997</v>
      </c>
      <c r="N18" s="238"/>
      <c r="O18" s="238">
        <f t="shared" si="0"/>
        <v>201906.67195996869</v>
      </c>
      <c r="P18" s="238"/>
      <c r="Q18" s="238">
        <f t="shared" si="0"/>
        <v>208973.40547856758</v>
      </c>
      <c r="R18" s="238"/>
      <c r="S18" s="238">
        <f t="shared" si="0"/>
        <v>216287.47467031743</v>
      </c>
      <c r="T18" s="238"/>
      <c r="U18" s="238">
        <f t="shared" si="0"/>
        <v>223857.53628377852</v>
      </c>
      <c r="V18" s="238"/>
      <c r="W18" s="238">
        <f t="shared" si="0"/>
        <v>231692.55005371076</v>
      </c>
      <c r="X18" s="238"/>
      <c r="Y18" s="238">
        <f t="shared" si="0"/>
        <v>239801.78930559062</v>
      </c>
      <c r="Z18" s="238"/>
      <c r="AA18" s="238">
        <f t="shared" si="0"/>
        <v>248194.85193128628</v>
      </c>
      <c r="AB18" s="238"/>
      <c r="AC18" s="238">
        <f t="shared" si="0"/>
        <v>256881.67174888129</v>
      </c>
      <c r="AD18" s="238"/>
      <c r="AE18" s="238">
        <f t="shared" si="0"/>
        <v>265872.53026009211</v>
      </c>
      <c r="AF18" s="238"/>
      <c r="AG18" s="238">
        <f t="shared" si="0"/>
        <v>275178.06881919532</v>
      </c>
    </row>
    <row r="19" spans="1:33" s="225" customFormat="1" ht="14.25">
      <c r="A19" s="225" t="s">
        <v>155</v>
      </c>
      <c r="C19" s="249"/>
      <c r="E19" s="238">
        <f>Application!W863</f>
        <v>87750</v>
      </c>
      <c r="F19" s="238"/>
      <c r="G19" s="238">
        <f t="shared" si="0"/>
        <v>90821.25</v>
      </c>
      <c r="H19" s="238"/>
      <c r="I19" s="238">
        <f t="shared" si="0"/>
        <v>93999.993749999994</v>
      </c>
      <c r="J19" s="238"/>
      <c r="K19" s="238">
        <f t="shared" si="0"/>
        <v>97289.993531249987</v>
      </c>
      <c r="L19" s="238"/>
      <c r="M19" s="238">
        <f t="shared" si="0"/>
        <v>100695.14330484373</v>
      </c>
      <c r="N19" s="238"/>
      <c r="O19" s="238">
        <f t="shared" si="0"/>
        <v>104219.47332051325</v>
      </c>
      <c r="P19" s="238"/>
      <c r="Q19" s="238">
        <f t="shared" si="0"/>
        <v>107867.15488673121</v>
      </c>
      <c r="R19" s="238"/>
      <c r="S19" s="238">
        <f t="shared" si="0"/>
        <v>111642.5053077668</v>
      </c>
      <c r="T19" s="238"/>
      <c r="U19" s="238">
        <f t="shared" si="0"/>
        <v>115549.99299353863</v>
      </c>
      <c r="V19" s="238"/>
      <c r="W19" s="238">
        <f t="shared" si="0"/>
        <v>119594.24274831248</v>
      </c>
      <c r="X19" s="238"/>
      <c r="Y19" s="238">
        <f t="shared" si="0"/>
        <v>123780.0412445034</v>
      </c>
      <c r="Z19" s="238"/>
      <c r="AA19" s="238">
        <f t="shared" si="0"/>
        <v>128112.34268806101</v>
      </c>
      <c r="AB19" s="238"/>
      <c r="AC19" s="238">
        <f t="shared" si="0"/>
        <v>132596.27468214312</v>
      </c>
      <c r="AD19" s="238"/>
      <c r="AE19" s="238">
        <f t="shared" si="0"/>
        <v>137237.14429601812</v>
      </c>
      <c r="AF19" s="238"/>
      <c r="AG19" s="238">
        <f t="shared" si="0"/>
        <v>142040.44434637873</v>
      </c>
    </row>
    <row r="20" spans="1:33" s="225" customFormat="1" ht="14.25">
      <c r="A20" s="225" t="s">
        <v>391</v>
      </c>
      <c r="C20" s="249"/>
      <c r="E20" s="238">
        <f>Application!W872</f>
        <v>115000</v>
      </c>
      <c r="F20" s="238"/>
      <c r="G20" s="238">
        <f t="shared" si="0"/>
        <v>119024.99999999999</v>
      </c>
      <c r="H20" s="238"/>
      <c r="I20" s="238">
        <f t="shared" si="0"/>
        <v>123190.87499999997</v>
      </c>
      <c r="J20" s="238"/>
      <c r="K20" s="238">
        <f t="shared" si="0"/>
        <v>127502.55562499996</v>
      </c>
      <c r="L20" s="238"/>
      <c r="M20" s="238">
        <f t="shared" si="0"/>
        <v>131965.14507187495</v>
      </c>
      <c r="N20" s="238"/>
      <c r="O20" s="238">
        <f t="shared" si="0"/>
        <v>136583.92514939056</v>
      </c>
      <c r="P20" s="238"/>
      <c r="Q20" s="238">
        <f t="shared" si="0"/>
        <v>141364.36252961922</v>
      </c>
      <c r="R20" s="238"/>
      <c r="S20" s="238">
        <f t="shared" si="0"/>
        <v>146312.11521815587</v>
      </c>
      <c r="T20" s="238"/>
      <c r="U20" s="238">
        <f t="shared" si="0"/>
        <v>151433.03925079131</v>
      </c>
      <c r="V20" s="238"/>
      <c r="W20" s="238">
        <f t="shared" si="0"/>
        <v>156733.19562456899</v>
      </c>
      <c r="X20" s="238"/>
      <c r="Y20" s="238">
        <f t="shared" si="0"/>
        <v>162218.8574714289</v>
      </c>
      <c r="Z20" s="238"/>
      <c r="AA20" s="238">
        <f t="shared" si="0"/>
        <v>167896.5174829289</v>
      </c>
      <c r="AB20" s="238"/>
      <c r="AC20" s="238">
        <f t="shared" si="0"/>
        <v>173772.89559483141</v>
      </c>
      <c r="AD20" s="238"/>
      <c r="AE20" s="238">
        <f t="shared" si="0"/>
        <v>179854.94694065049</v>
      </c>
      <c r="AF20" s="238"/>
      <c r="AG20" s="238">
        <f t="shared" si="0"/>
        <v>186149.87008357325</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669900</v>
      </c>
      <c r="G22" s="239">
        <f>SUM(G15:G21)</f>
        <v>693346.5</v>
      </c>
      <c r="I22" s="239">
        <f>SUM(I15:I21)</f>
        <v>717613.62749999994</v>
      </c>
      <c r="K22" s="239">
        <f>SUM(K15:K21)</f>
        <v>742730.10446249985</v>
      </c>
      <c r="M22" s="239">
        <f>SUM(M15:M21)</f>
        <v>768725.65811868722</v>
      </c>
      <c r="O22" s="239">
        <f>SUM(O15:O21)</f>
        <v>795631.05615284131</v>
      </c>
      <c r="Q22" s="239">
        <f>SUM(Q15:Q21)</f>
        <v>823478.14311819058</v>
      </c>
      <c r="S22" s="239">
        <f>SUM(S15:S21)</f>
        <v>852299.87812732731</v>
      </c>
      <c r="U22" s="239">
        <f>SUM(U15:U21)</f>
        <v>882130.37386178353</v>
      </c>
      <c r="W22" s="239">
        <f>SUM(W15:W21)</f>
        <v>913004.93694694596</v>
      </c>
      <c r="Y22" s="239">
        <f>SUM(Y15:Y21)</f>
        <v>944960.10974008904</v>
      </c>
      <c r="AA22" s="239">
        <f>SUM(AA15:AA21)</f>
        <v>978033.71358099207</v>
      </c>
      <c r="AC22" s="239">
        <f>SUM(AC15:AC21)</f>
        <v>1012264.8935563266</v>
      </c>
      <c r="AE22" s="239">
        <f>SUM(AE15:AE21)</f>
        <v>1047694.1648307981</v>
      </c>
      <c r="AG22" s="239">
        <f>SUM(AG15:AG21)</f>
        <v>1084363.4605998758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25">
      <c r="A28" s="225" t="s">
        <v>857</v>
      </c>
      <c r="C28" s="253"/>
      <c r="E28" s="238">
        <f>Application!AC889</f>
        <v>29250</v>
      </c>
      <c r="F28" s="238"/>
      <c r="G28" s="238">
        <f>$E$28</f>
        <v>29250</v>
      </c>
      <c r="H28" s="238"/>
      <c r="I28" s="238">
        <f>$E$28</f>
        <v>29250</v>
      </c>
      <c r="J28" s="238"/>
      <c r="K28" s="238">
        <f>$E$28</f>
        <v>29250</v>
      </c>
      <c r="L28" s="238"/>
      <c r="M28" s="238">
        <f>$E$28</f>
        <v>29250</v>
      </c>
      <c r="N28" s="238"/>
      <c r="O28" s="238">
        <f>$E$28</f>
        <v>29250</v>
      </c>
      <c r="P28" s="238"/>
      <c r="Q28" s="238">
        <f>$E$28</f>
        <v>29250</v>
      </c>
      <c r="R28" s="238"/>
      <c r="S28" s="238">
        <f>$E$28</f>
        <v>29250</v>
      </c>
      <c r="T28" s="238"/>
      <c r="U28" s="238">
        <f>$E$28</f>
        <v>29250</v>
      </c>
      <c r="V28" s="238"/>
      <c r="W28" s="238">
        <f>$E$28</f>
        <v>29250</v>
      </c>
      <c r="X28" s="238"/>
      <c r="Y28" s="238">
        <f>$E$28</f>
        <v>29250</v>
      </c>
      <c r="Z28" s="238"/>
      <c r="AA28" s="238">
        <f>$E$28</f>
        <v>29250</v>
      </c>
      <c r="AB28" s="238"/>
      <c r="AC28" s="238">
        <f>$E$28</f>
        <v>29250</v>
      </c>
      <c r="AD28" s="238"/>
      <c r="AE28" s="238">
        <f>$E$28</f>
        <v>29250</v>
      </c>
      <c r="AF28" s="238"/>
      <c r="AG28" s="238">
        <f>$E$28</f>
        <v>29250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4000</v>
      </c>
      <c r="F30" s="238"/>
      <c r="G30" s="238">
        <f>E30*$C$30</f>
        <v>4080</v>
      </c>
      <c r="H30" s="238"/>
      <c r="I30" s="238">
        <f>G30*$C$30</f>
        <v>4161.6000000000004</v>
      </c>
      <c r="J30" s="238"/>
      <c r="K30" s="238">
        <f>I30*$C$30</f>
        <v>4244.8320000000003</v>
      </c>
      <c r="L30" s="238"/>
      <c r="M30" s="238">
        <f>K30*$C$30</f>
        <v>4329.7286400000003</v>
      </c>
      <c r="N30" s="238"/>
      <c r="O30" s="238">
        <f>M30*$C$30</f>
        <v>4416.3232128</v>
      </c>
      <c r="P30" s="238"/>
      <c r="Q30" s="238">
        <f>O30*$C$30</f>
        <v>4504.6496770559997</v>
      </c>
      <c r="R30" s="238"/>
      <c r="S30" s="238">
        <f>Q30*$C$30</f>
        <v>4594.7426705971202</v>
      </c>
      <c r="T30" s="238"/>
      <c r="U30" s="238">
        <f>S30*$C$30</f>
        <v>4686.6375240090629</v>
      </c>
      <c r="V30" s="238"/>
      <c r="W30" s="238">
        <f>U30*$C$30</f>
        <v>4780.3702744892444</v>
      </c>
      <c r="X30" s="238"/>
      <c r="Y30" s="238">
        <f>W30*$C$30</f>
        <v>4875.9776799790297</v>
      </c>
      <c r="Z30" s="238"/>
      <c r="AA30" s="238">
        <f>Y30*$C$30</f>
        <v>4973.4972335786106</v>
      </c>
      <c r="AB30" s="238"/>
      <c r="AC30" s="238">
        <f>AA30*$C$30</f>
        <v>5072.9671782501828</v>
      </c>
      <c r="AD30" s="238"/>
      <c r="AE30" s="238">
        <f>AC30*$C$30</f>
        <v>5174.4265218151868</v>
      </c>
      <c r="AF30" s="238"/>
      <c r="AG30" s="238">
        <f>AE30*$C$30</f>
        <v>5277.915052251491</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723150</v>
      </c>
      <c r="G35" s="239">
        <f>SUM(G22:G33)</f>
        <v>747376.5</v>
      </c>
      <c r="I35" s="239">
        <f>SUM(I22:I33)</f>
        <v>772449.72749999992</v>
      </c>
      <c r="K35" s="239">
        <f>SUM(K22:K33)</f>
        <v>798399.29396249994</v>
      </c>
      <c r="M35" s="239">
        <f>SUM(M22:M33)</f>
        <v>825255.84677118715</v>
      </c>
      <c r="O35" s="239">
        <f>SUM(O22:O33)</f>
        <v>853051.10547857871</v>
      </c>
      <c r="Q35" s="239">
        <f>SUM(Q22:Q33)</f>
        <v>881817.89932213689</v>
      </c>
      <c r="S35" s="239">
        <f>SUM(S22:S33)</f>
        <v>911590.20605325594</v>
      </c>
      <c r="U35" s="239">
        <f>SUM(U22:U33)</f>
        <v>942403.19212506071</v>
      </c>
      <c r="W35" s="239">
        <f>SUM(W22:W33)</f>
        <v>974293.25428657769</v>
      </c>
      <c r="Y35" s="239">
        <f>SUM(Y22:Y33)</f>
        <v>1007298.0626324905</v>
      </c>
      <c r="AA35" s="239">
        <f>SUM(AA22:AA33)</f>
        <v>1041456.6051594279</v>
      </c>
      <c r="AC35" s="239">
        <f>SUM(AC22:AC33)</f>
        <v>1076809.233881504</v>
      </c>
      <c r="AE35" s="239">
        <f>SUM(AE22:AE33)</f>
        <v>1113397.7125596828</v>
      </c>
      <c r="AG35" s="239">
        <f>SUM(AG22:AG33)</f>
        <v>1151265.2661014444</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2116474.2000000002</v>
      </c>
      <c r="G37" s="239">
        <f>G11-G35</f>
        <v>2163238.3049999997</v>
      </c>
      <c r="I37" s="239">
        <f>I11-I35</f>
        <v>2210930.4476249996</v>
      </c>
      <c r="K37" s="239">
        <f>K11-K35</f>
        <v>2259565.3855406241</v>
      </c>
      <c r="M37" s="239">
        <f>M11-M35</f>
        <v>2309157.9497195142</v>
      </c>
      <c r="O37" s="239">
        <f>O11-O35</f>
        <v>2359723.03592439</v>
      </c>
      <c r="Q37" s="239">
        <f>Q11-Q35</f>
        <v>2411275.5956159057</v>
      </c>
      <c r="S37" s="239">
        <f>S11-S35</f>
        <v>2463830.6262582382</v>
      </c>
      <c r="U37" s="239">
        <f>U11-U35</f>
        <v>2517403.1609942201</v>
      </c>
      <c r="W37" s="239">
        <f>W11-W35</f>
        <v>2572008.2576606842</v>
      </c>
      <c r="Y37" s="239">
        <f>Y11-Y35</f>
        <v>2627660.9871134534</v>
      </c>
      <c r="AA37" s="239">
        <f>AA11-AA35</f>
        <v>2684376.4208301636</v>
      </c>
      <c r="AC37" s="239">
        <f>AC11-AC35</f>
        <v>2742169.617757827</v>
      </c>
      <c r="AE37" s="239">
        <f>AE11-AE35</f>
        <v>2801055.6103706318</v>
      </c>
      <c r="AG37" s="239">
        <f>AG11-AG35</f>
        <v>2861049.389902127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 - Tax Exempt</v>
      </c>
      <c r="B40" s="242"/>
      <c r="C40" s="236"/>
      <c r="E40" s="238">
        <f>Application!AF627</f>
        <v>1841064.529863141</v>
      </c>
      <c r="F40" s="238"/>
      <c r="G40" s="238">
        <f>$E$40</f>
        <v>1841064.529863141</v>
      </c>
      <c r="H40" s="238"/>
      <c r="I40" s="238">
        <f>$E$40</f>
        <v>1841064.529863141</v>
      </c>
      <c r="J40" s="238"/>
      <c r="K40" s="238">
        <f>$E$40</f>
        <v>1841064.529863141</v>
      </c>
      <c r="L40" s="238"/>
      <c r="M40" s="238">
        <f>$E$40</f>
        <v>1841064.529863141</v>
      </c>
      <c r="N40" s="238"/>
      <c r="O40" s="238">
        <f>$E$40</f>
        <v>1841064.529863141</v>
      </c>
      <c r="P40" s="238"/>
      <c r="Q40" s="238">
        <f>$E$40</f>
        <v>1841064.529863141</v>
      </c>
      <c r="R40" s="238"/>
      <c r="S40" s="238">
        <f>$E$40</f>
        <v>1841064.529863141</v>
      </c>
      <c r="T40" s="238"/>
      <c r="U40" s="238">
        <f>$E$40</f>
        <v>1841064.529863141</v>
      </c>
      <c r="V40" s="238"/>
      <c r="W40" s="238">
        <f>$E$40</f>
        <v>1841064.529863141</v>
      </c>
      <c r="X40" s="238"/>
      <c r="Y40" s="238">
        <f>$E$40</f>
        <v>1841064.529863141</v>
      </c>
      <c r="Z40" s="238"/>
      <c r="AA40" s="238">
        <f>$E$40</f>
        <v>1841064.529863141</v>
      </c>
      <c r="AB40" s="238"/>
      <c r="AC40" s="238">
        <f>$E$40</f>
        <v>1841064.529863141</v>
      </c>
      <c r="AD40" s="238"/>
      <c r="AE40" s="238">
        <f>$E$40</f>
        <v>1841064.529863141</v>
      </c>
      <c r="AF40" s="238"/>
      <c r="AG40" s="238">
        <f>$E$40</f>
        <v>1841064.529863141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1841064.529863141</v>
      </c>
      <c r="G43" s="239">
        <f>SUM(G40:G42)</f>
        <v>1841064.529863141</v>
      </c>
      <c r="I43" s="239">
        <f>SUM(I40:I42)</f>
        <v>1841064.529863141</v>
      </c>
      <c r="K43" s="239">
        <f>SUM(K40:K42)</f>
        <v>1841064.529863141</v>
      </c>
      <c r="M43" s="239">
        <f>SUM(M40:M42)</f>
        <v>1841064.529863141</v>
      </c>
      <c r="O43" s="239">
        <f>SUM(O40:O42)</f>
        <v>1841064.529863141</v>
      </c>
      <c r="Q43" s="239">
        <f>SUM(Q40:Q42)</f>
        <v>1841064.529863141</v>
      </c>
      <c r="S43" s="239">
        <f>SUM(S40:S42)</f>
        <v>1841064.529863141</v>
      </c>
      <c r="U43" s="239">
        <f>SUM(U40:U42)</f>
        <v>1841064.529863141</v>
      </c>
      <c r="W43" s="239">
        <f>SUM(W40:W42)</f>
        <v>1841064.529863141</v>
      </c>
      <c r="Y43" s="239">
        <f>SUM(Y40:Y42)</f>
        <v>1841064.529863141</v>
      </c>
      <c r="AA43" s="239">
        <f>SUM(AA40:AA42)</f>
        <v>1841064.529863141</v>
      </c>
      <c r="AC43" s="239">
        <f>SUM(AC40:AC42)</f>
        <v>1841064.529863141</v>
      </c>
      <c r="AE43" s="239">
        <f>SUM(AE40:AE42)</f>
        <v>1841064.529863141</v>
      </c>
      <c r="AG43" s="239">
        <f>SUM(AG40:AG42)</f>
        <v>1841064.529863141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275409.67013685917</v>
      </c>
      <c r="G45" s="239">
        <f>G37-G43</f>
        <v>322173.77513685869</v>
      </c>
      <c r="I45" s="239">
        <f>I37-I43</f>
        <v>369865.91776185855</v>
      </c>
      <c r="K45" s="239">
        <f>K37-K43</f>
        <v>418500.85567748314</v>
      </c>
      <c r="M45" s="239">
        <f>M37-M43</f>
        <v>468093.41985637322</v>
      </c>
      <c r="O45" s="239">
        <f>O37-O43</f>
        <v>518658.50606124895</v>
      </c>
      <c r="Q45" s="239">
        <f>Q37-Q43</f>
        <v>570211.0657527647</v>
      </c>
      <c r="S45" s="239">
        <f>S37-S43</f>
        <v>622766.09639509721</v>
      </c>
      <c r="U45" s="239">
        <f>U37-U43</f>
        <v>676338.63113107905</v>
      </c>
      <c r="W45" s="239">
        <f>W37-W43</f>
        <v>730943.72779754316</v>
      </c>
      <c r="Y45" s="239">
        <f>Y37-Y43</f>
        <v>786596.45725031244</v>
      </c>
      <c r="AA45" s="239">
        <f>AA37-AA43</f>
        <v>843311.89096702263</v>
      </c>
      <c r="AC45" s="239">
        <f>AC37-AC43</f>
        <v>901105.08789468603</v>
      </c>
      <c r="AE45" s="239">
        <f>AE37-AE43</f>
        <v>959991.08050749078</v>
      </c>
      <c r="AG45" s="239">
        <f>AG37-AG43</f>
        <v>1019984.860038986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8.7289262826811112E-2</v>
      </c>
      <c r="G47" s="243">
        <f>G45/(G4+G6+G8)</f>
        <v>9.962032664888229E-2</v>
      </c>
      <c r="I47" s="243">
        <f>I45/(I4+I6+I8)</f>
        <v>0.1115779104390293</v>
      </c>
      <c r="K47" s="243">
        <f>K45/(K4+K6+K8)</f>
        <v>0.12317041221383079</v>
      </c>
      <c r="M47" s="243">
        <f>M45/(M4+M6+M8)</f>
        <v>0.13440601822975853</v>
      </c>
      <c r="O47" s="243">
        <f>O45/(O4+O6+O8)</f>
        <v>0.14529270808040148</v>
      </c>
      <c r="Q47" s="243">
        <f>Q45/(Q4+Q6+Q8)</f>
        <v>0.15583825966870812</v>
      </c>
      <c r="S47" s="243">
        <f>S45/(S4+S6+S8)</f>
        <v>0.1660502540572884</v>
      </c>
      <c r="U47" s="243">
        <f>U45/(U4+U6+U8)</f>
        <v>0.17593608019974213</v>
      </c>
      <c r="W47" s="243">
        <f>W45/(W4+W6+W8)</f>
        <v>0.18550293955591099</v>
      </c>
      <c r="Y47" s="243">
        <f>Y45/(Y4+Y6+Y8)</f>
        <v>0.19475785059387687</v>
      </c>
      <c r="AA47" s="243">
        <f>AA45/(AA4+AA6+AA8)</f>
        <v>0.20370765318146078</v>
      </c>
      <c r="AC47" s="243">
        <f>AC45/(AC4+AC6+AC8)</f>
        <v>0.21235901286991693</v>
      </c>
      <c r="AE47" s="243">
        <f>AE45/(AE4+AE6+AE8)</f>
        <v>0.22071842507243575</v>
      </c>
      <c r="AG47" s="243">
        <f>AG45/(AG4+AG6+AG8)</f>
        <v>0.22879221914002104</v>
      </c>
    </row>
    <row r="48" spans="1:33" s="243" customFormat="1" ht="14.25">
      <c r="A48" s="243" t="s">
        <v>863</v>
      </c>
      <c r="C48" s="236"/>
      <c r="E48" s="243">
        <f>E45/E43</f>
        <v>0.14959262191495931</v>
      </c>
      <c r="G48" s="243">
        <f>G45/G43</f>
        <v>0.17499320089600992</v>
      </c>
      <c r="I48" s="243">
        <f>I45/I43</f>
        <v>0.20089785651856171</v>
      </c>
      <c r="K48" s="243">
        <f>K45/K43</f>
        <v>0.22731460461551187</v>
      </c>
      <c r="M48" s="243">
        <f>M45/M43</f>
        <v>0.25425150083749093</v>
      </c>
      <c r="O48" s="243">
        <f>O45/O43</f>
        <v>0.28171663602676894</v>
      </c>
      <c r="Q48" s="243">
        <f>Q45/Q43</f>
        <v>0.30971813127872949</v>
      </c>
      <c r="S48" s="243">
        <f>S45/S43</f>
        <v>0.33826413267621408</v>
      </c>
      <c r="U48" s="243">
        <f>U45/U43</f>
        <v>0.36736280568142604</v>
      </c>
      <c r="W48" s="243">
        <f>W45/W43</f>
        <v>0.39702232916946112</v>
      </c>
      <c r="Y48" s="243">
        <f>Y45/Y43</f>
        <v>0.42725088908686193</v>
      </c>
      <c r="AA48" s="243">
        <f>AA45/AA43</f>
        <v>0.45805667171791736</v>
      </c>
      <c r="AC48" s="243">
        <f>AC45/AC43</f>
        <v>0.48944785654073264</v>
      </c>
      <c r="AE48" s="243">
        <f>AE45/AE43</f>
        <v>0.52143260865432761</v>
      </c>
      <c r="AG48" s="243">
        <f>AG45/AG43</f>
        <v>0.55401907075729084</v>
      </c>
    </row>
    <row r="49" spans="1:35" s="244" customFormat="1" ht="14.25">
      <c r="A49" s="244" t="s">
        <v>861</v>
      </c>
      <c r="C49" s="245"/>
      <c r="E49" s="244">
        <f>E37/E43</f>
        <v>1.1495926219149593</v>
      </c>
      <c r="G49" s="244">
        <f>G37/G43</f>
        <v>1.17499320089601</v>
      </c>
      <c r="I49" s="244">
        <f>I37/I43</f>
        <v>1.2008978565185617</v>
      </c>
      <c r="K49" s="244">
        <f>K37/K43</f>
        <v>1.2273146046155119</v>
      </c>
      <c r="M49" s="244">
        <f>M37/M43</f>
        <v>1.2542515008374908</v>
      </c>
      <c r="O49" s="244">
        <f>O37/O43</f>
        <v>1.2817166360267689</v>
      </c>
      <c r="Q49" s="244">
        <f>Q37/Q43</f>
        <v>1.3097181312787294</v>
      </c>
      <c r="S49" s="244">
        <f>S37/S43</f>
        <v>1.3382641326762141</v>
      </c>
      <c r="U49" s="244">
        <f>U37/U43</f>
        <v>1.367362805681426</v>
      </c>
      <c r="W49" s="244">
        <f>W37/W43</f>
        <v>1.3970223291694612</v>
      </c>
      <c r="Y49" s="244">
        <f>Y37/Y43</f>
        <v>1.4272508890868618</v>
      </c>
      <c r="AA49" s="244">
        <f>AA37/AA43</f>
        <v>1.4580566717179173</v>
      </c>
      <c r="AC49" s="244">
        <f>AC37/AC43</f>
        <v>1.4894478565407328</v>
      </c>
      <c r="AE49" s="244">
        <f>AE37/AE43</f>
        <v>1.5214326086543275</v>
      </c>
      <c r="AG49" s="244">
        <f>AG37/AG43</f>
        <v>1.554019070757291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1.0349999999999999</v>
      </c>
      <c r="E53" s="999">
        <v>18500</v>
      </c>
      <c r="G53" s="995">
        <f>E53*$C$53</f>
        <v>19147.5</v>
      </c>
      <c r="I53" s="995">
        <f>G53*$C$53</f>
        <v>19817.662499999999</v>
      </c>
      <c r="K53" s="995">
        <f>I53*$C$53</f>
        <v>20511.280687499995</v>
      </c>
      <c r="M53" s="995">
        <f>K53*$C$53</f>
        <v>21229.175511562495</v>
      </c>
      <c r="O53" s="995">
        <f>M53*$C$53</f>
        <v>21972.196654467181</v>
      </c>
      <c r="Q53" s="995">
        <f>O53*$C$53</f>
        <v>22741.223537373531</v>
      </c>
      <c r="S53" s="995">
        <f>Q53*$C$53</f>
        <v>23537.166361181604</v>
      </c>
      <c r="U53" s="995">
        <f>S53*$C$53</f>
        <v>24360.967183822959</v>
      </c>
      <c r="W53" s="995">
        <f>U53*$C$53</f>
        <v>25213.601035256761</v>
      </c>
      <c r="Y53" s="995">
        <f>W53*$C$53</f>
        <v>26096.077071490745</v>
      </c>
      <c r="AA53" s="995">
        <f>Y53*$C$53</f>
        <v>27009.439768992917</v>
      </c>
      <c r="AC53" s="995">
        <f>AA53*$C$53</f>
        <v>27954.770160907668</v>
      </c>
      <c r="AE53" s="995">
        <f>AC53*$C$53</f>
        <v>28933.187116539433</v>
      </c>
      <c r="AG53" s="995">
        <f>AE53*$C$53</f>
        <v>29945.848665618312</v>
      </c>
    </row>
    <row r="54" spans="1:35" s="3" customFormat="1">
      <c r="A54" s="3" t="s">
        <v>866</v>
      </c>
      <c r="C54" s="993"/>
      <c r="E54" s="1000">
        <v>7500</v>
      </c>
      <c r="F54" s="995"/>
      <c r="G54" s="995">
        <f>E54*$C$53</f>
        <v>7762.4999999999991</v>
      </c>
      <c r="H54" s="995"/>
      <c r="I54" s="995">
        <f t="shared" ref="G54:AG57" si="1">G54*$C$53</f>
        <v>8034.1874999999982</v>
      </c>
      <c r="J54" s="995"/>
      <c r="K54" s="995">
        <f t="shared" si="1"/>
        <v>8315.3840624999975</v>
      </c>
      <c r="L54" s="995"/>
      <c r="M54" s="995">
        <f t="shared" si="1"/>
        <v>8606.4225046874963</v>
      </c>
      <c r="N54" s="995"/>
      <c r="O54" s="995">
        <f t="shared" si="1"/>
        <v>8907.6472923515576</v>
      </c>
      <c r="P54" s="995"/>
      <c r="Q54" s="995">
        <f t="shared" si="1"/>
        <v>9219.4149475838622</v>
      </c>
      <c r="R54" s="995"/>
      <c r="S54" s="995">
        <f t="shared" si="1"/>
        <v>9542.0944707492963</v>
      </c>
      <c r="T54" s="995"/>
      <c r="U54" s="995">
        <f t="shared" si="1"/>
        <v>9876.0677772255203</v>
      </c>
      <c r="V54" s="995"/>
      <c r="W54" s="995">
        <f t="shared" si="1"/>
        <v>10221.730149428413</v>
      </c>
      <c r="X54" s="995"/>
      <c r="Y54" s="995">
        <f t="shared" si="1"/>
        <v>10579.490704658407</v>
      </c>
      <c r="Z54" s="995"/>
      <c r="AA54" s="995">
        <f t="shared" si="1"/>
        <v>10949.77287932145</v>
      </c>
      <c r="AB54" s="995"/>
      <c r="AC54" s="995">
        <f t="shared" si="1"/>
        <v>11333.014930097699</v>
      </c>
      <c r="AD54" s="995"/>
      <c r="AE54" s="995">
        <f t="shared" si="1"/>
        <v>11729.670452651118</v>
      </c>
      <c r="AF54" s="995"/>
      <c r="AG54" s="995">
        <f t="shared" si="1"/>
        <v>12140.208918493907</v>
      </c>
      <c r="AH54" s="995"/>
      <c r="AI54" s="995"/>
    </row>
    <row r="55" spans="1:35" s="3" customFormat="1">
      <c r="A55" s="3" t="s">
        <v>867</v>
      </c>
      <c r="C55" s="993"/>
      <c r="E55" s="1000">
        <v>25000</v>
      </c>
      <c r="F55" s="995"/>
      <c r="G55" s="995">
        <f t="shared" si="1"/>
        <v>25874.999999999996</v>
      </c>
      <c r="H55" s="995"/>
      <c r="I55" s="995">
        <f t="shared" si="1"/>
        <v>26780.624999999993</v>
      </c>
      <c r="J55" s="995"/>
      <c r="K55" s="995">
        <f t="shared" si="1"/>
        <v>27717.946874999991</v>
      </c>
      <c r="L55" s="995"/>
      <c r="M55" s="995">
        <f t="shared" si="1"/>
        <v>28688.075015624989</v>
      </c>
      <c r="N55" s="995"/>
      <c r="O55" s="995">
        <f t="shared" si="1"/>
        <v>29692.15764117186</v>
      </c>
      <c r="P55" s="995"/>
      <c r="Q55" s="995">
        <f t="shared" si="1"/>
        <v>30731.383158612873</v>
      </c>
      <c r="R55" s="995"/>
      <c r="S55" s="995">
        <f t="shared" si="1"/>
        <v>31806.98156916432</v>
      </c>
      <c r="T55" s="995"/>
      <c r="U55" s="995">
        <f t="shared" si="1"/>
        <v>32920.225924085069</v>
      </c>
      <c r="V55" s="995"/>
      <c r="W55" s="995">
        <f t="shared" si="1"/>
        <v>34072.433831428047</v>
      </c>
      <c r="X55" s="995"/>
      <c r="Y55" s="995">
        <f t="shared" si="1"/>
        <v>35264.969015528026</v>
      </c>
      <c r="Z55" s="995"/>
      <c r="AA55" s="995">
        <f t="shared" si="1"/>
        <v>36499.242931071502</v>
      </c>
      <c r="AB55" s="995"/>
      <c r="AC55" s="995">
        <f t="shared" si="1"/>
        <v>37776.716433658999</v>
      </c>
      <c r="AD55" s="995"/>
      <c r="AE55" s="995">
        <f t="shared" si="1"/>
        <v>39098.901508837058</v>
      </c>
      <c r="AF55" s="995"/>
      <c r="AG55" s="995">
        <f t="shared" si="1"/>
        <v>40467.363061646349</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51000</v>
      </c>
      <c r="F58" s="995"/>
      <c r="G58" s="995">
        <f>SUM(G53:G57)</f>
        <v>52785</v>
      </c>
      <c r="H58" s="995"/>
      <c r="I58" s="995">
        <f>SUM(I53:I57)</f>
        <v>54632.474999999991</v>
      </c>
      <c r="J58" s="995"/>
      <c r="K58" s="995">
        <f>SUM(K53:K57)</f>
        <v>56544.611624999983</v>
      </c>
      <c r="L58" s="995"/>
      <c r="M58" s="995">
        <f>SUM(M53:M57)</f>
        <v>58523.673031874976</v>
      </c>
      <c r="N58" s="995"/>
      <c r="O58" s="995">
        <f>SUM(O53:O57)</f>
        <v>60572.001587990599</v>
      </c>
      <c r="P58" s="995"/>
      <c r="Q58" s="995">
        <f>SUM(Q53:Q57)</f>
        <v>62692.021643570268</v>
      </c>
      <c r="R58" s="995"/>
      <c r="S58" s="995">
        <f>SUM(S53:S57)</f>
        <v>64886.242401095224</v>
      </c>
      <c r="T58" s="995"/>
      <c r="U58" s="995">
        <f>SUM(U53:U57)</f>
        <v>67157.260885133554</v>
      </c>
      <c r="V58" s="995"/>
      <c r="W58" s="995">
        <f>SUM(W53:W57)</f>
        <v>69507.765016113219</v>
      </c>
      <c r="X58" s="995"/>
      <c r="Y58" s="995">
        <f>SUM(Y53:Y57)</f>
        <v>71940.536791677179</v>
      </c>
      <c r="Z58" s="995"/>
      <c r="AA58" s="995">
        <f>SUM(AA53:AA57)</f>
        <v>74458.45557938586</v>
      </c>
      <c r="AB58" s="995"/>
      <c r="AC58" s="995">
        <f>SUM(AC53:AC57)</f>
        <v>77064.501524664374</v>
      </c>
      <c r="AD58" s="995"/>
      <c r="AE58" s="995">
        <f>SUM(AE53:AE57)</f>
        <v>79761.759078027608</v>
      </c>
      <c r="AF58" s="995"/>
      <c r="AG58" s="995">
        <f>SUM(AG53:AG57)</f>
        <v>82553.420645758568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224409.67013685917</v>
      </c>
      <c r="G60" s="997">
        <f>G45-G58</f>
        <v>269388.77513685869</v>
      </c>
      <c r="I60" s="997">
        <f>I45-I58</f>
        <v>315233.44276185858</v>
      </c>
      <c r="K60" s="997">
        <f>K45-K58</f>
        <v>361956.24405248318</v>
      </c>
      <c r="M60" s="997">
        <f>M45-M58</f>
        <v>409569.74682449823</v>
      </c>
      <c r="O60" s="997">
        <f>O45-O58</f>
        <v>458086.50447325833</v>
      </c>
      <c r="Q60" s="997">
        <f>Q45-Q58</f>
        <v>507519.04410919442</v>
      </c>
      <c r="S60" s="997">
        <f>S45-S58</f>
        <v>557879.85399400198</v>
      </c>
      <c r="U60" s="997">
        <f>U45-U58</f>
        <v>609181.37024594552</v>
      </c>
      <c r="W60" s="997">
        <f>W45-W58</f>
        <v>661435.96278142999</v>
      </c>
      <c r="Y60" s="997">
        <f>Y45-Y58</f>
        <v>714655.92045863532</v>
      </c>
      <c r="AA60" s="997">
        <f>AA45-AA58</f>
        <v>768853.43538763677</v>
      </c>
      <c r="AC60" s="997">
        <f>AC45-AC58</f>
        <v>824040.58637002169</v>
      </c>
      <c r="AE60" s="997">
        <f>AE45-AE58</f>
        <v>880229.32142946322</v>
      </c>
      <c r="AG60" s="997">
        <f>AG45-AG58</f>
        <v>937431.43939322745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0.75</v>
      </c>
      <c r="E62" s="999">
        <f>E60*$C$62</f>
        <v>168307.25260264438</v>
      </c>
      <c r="G62" s="997">
        <f>G60*$C$62</f>
        <v>202041.58135264402</v>
      </c>
      <c r="I62" s="997">
        <f>I60*$C$62</f>
        <v>236425.08207139393</v>
      </c>
      <c r="K62" s="997">
        <f>K60*$C$62</f>
        <v>271467.18303936237</v>
      </c>
      <c r="M62" s="997">
        <f>M60*$C$62</f>
        <v>307177.31011837366</v>
      </c>
      <c r="O62" s="997">
        <f>O60*$C$62</f>
        <v>343564.87835494376</v>
      </c>
      <c r="Q62" s="997">
        <f>Q60*$C$62</f>
        <v>380639.28308189579</v>
      </c>
      <c r="S62" s="997">
        <f>S60*$C$62</f>
        <v>418409.89049550146</v>
      </c>
      <c r="U62" s="997">
        <f>U60*$C$62</f>
        <v>456886.02768445911</v>
      </c>
      <c r="W62" s="997">
        <f>W60*$C$62</f>
        <v>496076.97208607249</v>
      </c>
      <c r="Y62" s="997">
        <f>Y60*$C$62</f>
        <v>535991.94034397649</v>
      </c>
      <c r="AA62" s="997">
        <f>AA60*$C$62</f>
        <v>576640.07654072763</v>
      </c>
      <c r="AC62" s="997">
        <f>AC60*$C$62</f>
        <v>618030.43977751629</v>
      </c>
      <c r="AE62" s="997">
        <f>AE60*$C$62</f>
        <v>660171.99107209744</v>
      </c>
      <c r="AG62" s="997">
        <f>AG60*$C$62</f>
        <v>703073.57954492059</v>
      </c>
    </row>
    <row r="63" spans="1:35" s="997" customFormat="1">
      <c r="A63" s="2675" t="s">
        <v>2772</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2773</v>
      </c>
      <c r="C66" s="998"/>
      <c r="E66" s="999">
        <f>$E60*$C$65</f>
        <v>56102.417534214794</v>
      </c>
      <c r="G66" s="995">
        <f>G60*$C$65</f>
        <v>67347.193784214673</v>
      </c>
      <c r="I66" s="995">
        <f>I60*$C$65</f>
        <v>78808.360690464644</v>
      </c>
      <c r="K66" s="995">
        <f>K60*$C$65</f>
        <v>90489.061013120794</v>
      </c>
      <c r="M66" s="995">
        <f>M60*$C$65</f>
        <v>102392.43670612456</v>
      </c>
      <c r="O66" s="995">
        <f>O60*$C$65</f>
        <v>114521.62611831458</v>
      </c>
      <c r="Q66" s="995">
        <f>Q60*$C$65</f>
        <v>126879.76102729861</v>
      </c>
      <c r="S66" s="995">
        <f>S60*$C$65</f>
        <v>139469.9634985005</v>
      </c>
      <c r="U66" s="995">
        <f>U60*$C$65</f>
        <v>152295.34256148638</v>
      </c>
      <c r="W66" s="995">
        <f>W60*$C$65</f>
        <v>165358.9906953575</v>
      </c>
      <c r="Y66" s="995">
        <f>Y60*$C$65</f>
        <v>178663.98011465883</v>
      </c>
      <c r="AA66" s="995">
        <f>AA60*$C$65</f>
        <v>192213.35884690919</v>
      </c>
      <c r="AC66" s="995">
        <f>AC60*$C$65</f>
        <v>206010.14659250542</v>
      </c>
      <c r="AE66" s="995">
        <f>AE60*$C$65</f>
        <v>220057.3303573658</v>
      </c>
      <c r="AG66" s="995">
        <f>AG60*$C$65</f>
        <v>234357.85984830686</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56102.417534214794</v>
      </c>
      <c r="G70" s="995">
        <f>SUM(G66:G69)</f>
        <v>67347.193784214673</v>
      </c>
      <c r="I70" s="995">
        <f>SUM(I66:I69)</f>
        <v>78808.360690464644</v>
      </c>
      <c r="K70" s="995">
        <f>SUM(K66:K69)</f>
        <v>90489.061013120794</v>
      </c>
      <c r="M70" s="995">
        <f>SUM(M66:M69)</f>
        <v>102392.43670612456</v>
      </c>
      <c r="O70" s="995">
        <f>SUM(O66:O69)</f>
        <v>114521.62611831458</v>
      </c>
      <c r="Q70" s="995">
        <f>SUM(Q66:Q69)</f>
        <v>126879.76102729861</v>
      </c>
      <c r="S70" s="995">
        <f>SUM(S66:S69)</f>
        <v>139469.9634985005</v>
      </c>
      <c r="U70" s="995">
        <f>SUM(U66:U69)</f>
        <v>152295.34256148638</v>
      </c>
      <c r="W70" s="995">
        <f>SUM(W66:W69)</f>
        <v>165358.9906953575</v>
      </c>
      <c r="Y70" s="995">
        <f>SUM(Y66:Y69)</f>
        <v>178663.98011465883</v>
      </c>
      <c r="AA70" s="995">
        <f>SUM(AA66:AA69)</f>
        <v>192213.35884690919</v>
      </c>
      <c r="AC70" s="995">
        <f>SUM(AC66:AC69)</f>
        <v>206010.14659250542</v>
      </c>
      <c r="AE70" s="995">
        <f>SUM(AE66:AE69)</f>
        <v>220057.3303573658</v>
      </c>
      <c r="AG70" s="995">
        <f>SUM(AG66:AG69)</f>
        <v>234357.85984830686</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3" t="s">
        <v>1909</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386000</v>
      </c>
      <c r="C5" s="286">
        <f>'Sources and Uses Budget'!$C4</f>
        <v>386000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386000</v>
      </c>
      <c r="C9" s="290">
        <f>SUM(C5:C8)</f>
        <v>386000</v>
      </c>
      <c r="D9" s="290">
        <f t="shared" si="0"/>
        <v>0</v>
      </c>
      <c r="E9" s="288"/>
      <c r="F9" s="287"/>
      <c r="G9" s="383"/>
    </row>
    <row r="10" spans="1:7" s="380" customFormat="1">
      <c r="A10" s="395" t="s">
        <v>602</v>
      </c>
      <c r="B10" s="286">
        <f>'Sources and Uses Budget'!$C9</f>
        <v>20254000</v>
      </c>
      <c r="C10" s="286">
        <f>'Sources and Uses Budget'!$C9</f>
        <v>20254000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20254000</v>
      </c>
      <c r="C12" s="290">
        <f>SUM(C10:C11)</f>
        <v>20254000</v>
      </c>
      <c r="D12" s="290">
        <f t="shared" si="0"/>
        <v>0</v>
      </c>
      <c r="E12" s="288"/>
      <c r="F12" s="287"/>
      <c r="G12" s="383"/>
    </row>
    <row r="13" spans="1:7" s="380" customFormat="1">
      <c r="A13" s="396" t="s">
        <v>84</v>
      </c>
      <c r="B13" s="290">
        <f>SUM(B9+B12)</f>
        <v>20640000</v>
      </c>
      <c r="C13" s="290">
        <f>SUM(C9+C12)</f>
        <v>20640000</v>
      </c>
      <c r="D13" s="290">
        <f t="shared" si="0"/>
        <v>0</v>
      </c>
      <c r="E13" s="288"/>
      <c r="F13" s="287"/>
      <c r="G13" s="383"/>
    </row>
    <row r="14" spans="1:7" s="380" customFormat="1">
      <c r="A14" s="397" t="s">
        <v>917</v>
      </c>
      <c r="B14" s="286">
        <f>'Sources and Uses Budget'!$C13</f>
        <v>125000</v>
      </c>
      <c r="C14" s="286">
        <f>'Sources and Uses Budget'!$C13</f>
        <v>125000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25200000</v>
      </c>
      <c r="C31" s="286">
        <f>'Sources and Uses Budget'!$C30</f>
        <v>25200000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216000</v>
      </c>
      <c r="C37" s="286">
        <f>'Sources and Uses Budget'!$C36</f>
        <v>216000</v>
      </c>
      <c r="D37" s="290"/>
      <c r="E37" s="288"/>
      <c r="F37" s="287"/>
      <c r="G37" s="383"/>
    </row>
    <row r="38" spans="1:7" s="380" customFormat="1">
      <c r="A38" s="155" t="str">
        <f>'Sources and Uses Budget'!A37</f>
        <v>Other: Utility Hookups</v>
      </c>
      <c r="B38" s="286">
        <f>'Sources and Uses Budget'!$C37</f>
        <v>250000</v>
      </c>
      <c r="C38" s="286">
        <f>'Sources and Uses Budget'!$C37</f>
        <v>250000</v>
      </c>
      <c r="D38" s="290">
        <f t="shared" si="0"/>
        <v>0</v>
      </c>
      <c r="E38" s="288"/>
      <c r="F38" s="287"/>
      <c r="G38" s="383"/>
    </row>
    <row r="39" spans="1:7" s="380" customFormat="1">
      <c r="A39" s="291" t="s">
        <v>143</v>
      </c>
      <c r="B39" s="290">
        <f>SUM(B30:B38)</f>
        <v>25666000</v>
      </c>
      <c r="C39" s="290">
        <f>SUM(C30:C38)</f>
        <v>25666000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1700000</v>
      </c>
      <c r="C41" s="286">
        <f>'Sources and Uses Budget'!$C40</f>
        <v>1700000</v>
      </c>
      <c r="D41" s="290">
        <f t="shared" si="0"/>
        <v>0</v>
      </c>
      <c r="E41" s="288"/>
      <c r="F41" s="287"/>
      <c r="G41" s="383"/>
    </row>
    <row r="42" spans="1:7" s="380" customFormat="1">
      <c r="A42" s="289" t="s">
        <v>146</v>
      </c>
      <c r="B42" s="286">
        <f>'Sources and Uses Budget'!$C41</f>
        <v>250000</v>
      </c>
      <c r="C42" s="286">
        <f>'Sources and Uses Budget'!$C41</f>
        <v>250000</v>
      </c>
      <c r="D42" s="290">
        <f t="shared" si="0"/>
        <v>0</v>
      </c>
      <c r="E42" s="288"/>
      <c r="F42" s="287"/>
      <c r="G42" s="383"/>
    </row>
    <row r="43" spans="1:7" s="380" customFormat="1">
      <c r="A43" s="291" t="s">
        <v>147</v>
      </c>
      <c r="B43" s="290">
        <f>SUM(B41:B42)</f>
        <v>1950000</v>
      </c>
      <c r="C43" s="290">
        <f>SUM(C41:C42)</f>
        <v>1950000</v>
      </c>
      <c r="D43" s="290">
        <f t="shared" si="0"/>
        <v>0</v>
      </c>
      <c r="E43" s="288"/>
      <c r="F43" s="287"/>
      <c r="G43" s="383"/>
    </row>
    <row r="44" spans="1:7" s="380" customFormat="1">
      <c r="A44" s="291" t="s">
        <v>148</v>
      </c>
      <c r="B44" s="286">
        <f>'Sources and Uses Budget'!$C43</f>
        <v>446400</v>
      </c>
      <c r="C44" s="286">
        <f>'Sources and Uses Budget'!$C43</f>
        <v>446400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8250000</v>
      </c>
      <c r="C46" s="286">
        <f>'Sources and Uses Budget'!$C45</f>
        <v>8250000</v>
      </c>
      <c r="D46" s="290">
        <f t="shared" si="0"/>
        <v>0</v>
      </c>
      <c r="E46" s="288"/>
      <c r="F46" s="287"/>
      <c r="G46" s="383"/>
    </row>
    <row r="47" spans="1:7" s="380" customFormat="1">
      <c r="A47" s="145" t="s">
        <v>151</v>
      </c>
      <c r="B47" s="286">
        <f>'Sources and Uses Budget'!$C46</f>
        <v>525000</v>
      </c>
      <c r="C47" s="286">
        <f>'Sources and Uses Budget'!$C46</f>
        <v>525000</v>
      </c>
      <c r="D47" s="290">
        <f t="shared" si="0"/>
        <v>0</v>
      </c>
      <c r="E47" s="288"/>
      <c r="F47" s="287"/>
      <c r="G47" s="383"/>
    </row>
    <row r="48" spans="1:7" s="380" customFormat="1" ht="12" customHeight="1">
      <c r="A48" s="198" t="s">
        <v>152</v>
      </c>
      <c r="B48" s="286">
        <f>'Sources and Uses Budget'!$C47</f>
        <v>25000</v>
      </c>
      <c r="C48" s="286">
        <f>'Sources and Uses Budget'!$C47</f>
        <v>25000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231250</v>
      </c>
      <c r="C50" s="286">
        <f>'Sources and Uses Budget'!$C49</f>
        <v>231250</v>
      </c>
      <c r="D50" s="290">
        <f t="shared" si="0"/>
        <v>0</v>
      </c>
      <c r="E50" s="288"/>
      <c r="F50" s="287"/>
      <c r="G50" s="383"/>
    </row>
    <row r="51" spans="1:7" s="380" customFormat="1">
      <c r="A51" s="145" t="s">
        <v>156</v>
      </c>
      <c r="B51" s="286">
        <f>'Sources and Uses Budget'!$C50</f>
        <v>150000</v>
      </c>
      <c r="C51" s="286">
        <f>'Sources and Uses Budget'!$C50</f>
        <v>150000</v>
      </c>
      <c r="D51" s="290">
        <f t="shared" si="0"/>
        <v>0</v>
      </c>
      <c r="E51" s="288"/>
      <c r="F51" s="287"/>
      <c r="G51" s="383"/>
    </row>
    <row r="52" spans="1:7" s="380" customFormat="1">
      <c r="A52" s="304" t="s">
        <v>154</v>
      </c>
      <c r="B52" s="286">
        <f>'Sources and Uses Budget'!$C51</f>
        <v>525000</v>
      </c>
      <c r="C52" s="286">
        <f>'Sources and Uses Budget'!$C51</f>
        <v>525000</v>
      </c>
      <c r="D52" s="290">
        <f t="shared" si="0"/>
        <v>0</v>
      </c>
      <c r="E52" s="288"/>
      <c r="F52" s="287"/>
      <c r="G52" s="383"/>
    </row>
    <row r="53" spans="1:7" s="380" customFormat="1">
      <c r="A53" s="145" t="s">
        <v>155</v>
      </c>
      <c r="B53" s="286">
        <f>'Sources and Uses Budget'!$C52</f>
        <v>750000</v>
      </c>
      <c r="C53" s="286">
        <f>'Sources and Uses Budget'!$C52</f>
        <v>750000</v>
      </c>
      <c r="D53" s="290">
        <f t="shared" si="0"/>
        <v>0</v>
      </c>
      <c r="E53" s="288"/>
      <c r="F53" s="287"/>
      <c r="G53" s="383"/>
    </row>
    <row r="54" spans="1:7" s="380" customFormat="1">
      <c r="A54" s="155" t="str">
        <f>'Sources and Uses Budget'!A53</f>
        <v>Other</v>
      </c>
      <c r="B54" s="286">
        <f>'Sources and Uses Budget'!$C53</f>
        <v>0</v>
      </c>
      <c r="C54" s="286">
        <f>'Sources and Uses Budget'!$C53</f>
        <v>0</v>
      </c>
      <c r="D54" s="290">
        <f t="shared" si="0"/>
        <v>0</v>
      </c>
      <c r="E54" s="288"/>
      <c r="F54" s="287"/>
      <c r="G54" s="383"/>
    </row>
    <row r="55" spans="1:7" s="381" customFormat="1">
      <c r="A55" s="291" t="s">
        <v>157</v>
      </c>
      <c r="B55" s="293">
        <f>SUM(B46:B54)</f>
        <v>10456250</v>
      </c>
      <c r="C55" s="293">
        <f>SUM(C46:C54)</f>
        <v>10456250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25000</v>
      </c>
      <c r="C59" s="286">
        <f>'Sources and Uses Budget'!$C58</f>
        <v>25000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35000</v>
      </c>
      <c r="C63" s="290">
        <f>SUM(C57:C62)</f>
        <v>35000</v>
      </c>
      <c r="D63" s="290">
        <f t="shared" si="0"/>
        <v>0</v>
      </c>
      <c r="E63" s="288"/>
      <c r="F63" s="287"/>
      <c r="G63" s="383"/>
    </row>
    <row r="64" spans="1:7" s="380" customFormat="1">
      <c r="A64" s="294" t="s">
        <v>303</v>
      </c>
      <c r="B64" s="290">
        <f>SUM(B9+B12+B14+B15+B17+B26+B28+B39+B43+B44+B55+B63)</f>
        <v>59318650</v>
      </c>
      <c r="C64" s="290">
        <f>SUM(C9+C12+C14+C15+C17+C26+C28+C39+C43+C44+C55+C63)</f>
        <v>59318650</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135000</v>
      </c>
      <c r="C66" s="286">
        <f>'Sources and Uses Budget'!$C65</f>
        <v>135000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100000</v>
      </c>
      <c r="C68" s="286">
        <f>'Sources and Uses Budget'!$C67</f>
        <v>100000</v>
      </c>
      <c r="D68" s="290"/>
      <c r="E68" s="288"/>
      <c r="F68" s="287"/>
      <c r="G68" s="383"/>
    </row>
    <row r="69" spans="1:7" s="380" customFormat="1">
      <c r="A69" s="304" t="s">
        <v>1759</v>
      </c>
      <c r="B69" s="286">
        <f>'Sources and Uses Budget'!$C68</f>
        <v>11700</v>
      </c>
      <c r="C69" s="286">
        <f>'Sources and Uses Budget'!$C68</f>
        <v>11700</v>
      </c>
      <c r="D69" s="290"/>
      <c r="E69" s="288"/>
      <c r="F69" s="287"/>
      <c r="G69" s="383"/>
    </row>
    <row r="70" spans="1:7" s="380" customFormat="1">
      <c r="A70" s="155" t="str">
        <f>'Sources and Uses Budget'!A69</f>
        <v>Borrower Legal</v>
      </c>
      <c r="B70" s="286">
        <f>'Sources and Uses Budget'!$C69</f>
        <v>200800</v>
      </c>
      <c r="C70" s="286">
        <f>'Sources and Uses Budget'!$C69</f>
        <v>200800</v>
      </c>
      <c r="D70" s="290">
        <f t="shared" si="0"/>
        <v>0</v>
      </c>
      <c r="E70" s="288"/>
      <c r="F70" s="287"/>
      <c r="G70" s="383"/>
    </row>
    <row r="71" spans="1:7" s="380" customFormat="1">
      <c r="A71" s="149" t="s">
        <v>1756</v>
      </c>
      <c r="B71" s="290">
        <f>SUM(B66:B70)</f>
        <v>447500</v>
      </c>
      <c r="C71" s="290">
        <f>SUM(C66:C70)</f>
        <v>447500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950000</v>
      </c>
      <c r="C76" s="286">
        <f>'Sources and Uses Budget'!$C75</f>
        <v>950000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950000</v>
      </c>
      <c r="C78" s="290">
        <f>SUM(C73:C77)</f>
        <v>950000</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2520000</v>
      </c>
      <c r="C80" s="286">
        <f>'Sources and Uses Budget'!$C79</f>
        <v>2520000</v>
      </c>
      <c r="D80" s="290">
        <f t="shared" si="1"/>
        <v>0</v>
      </c>
      <c r="E80" s="288"/>
      <c r="F80" s="287"/>
      <c r="G80" s="383"/>
    </row>
    <row r="81" spans="1:7" s="380" customFormat="1">
      <c r="A81" s="544" t="s">
        <v>58</v>
      </c>
      <c r="B81" s="286">
        <f>'Sources and Uses Budget'!$C80</f>
        <v>500000</v>
      </c>
      <c r="C81" s="286">
        <f>'Sources and Uses Budget'!$C80</f>
        <v>500000</v>
      </c>
      <c r="D81" s="290">
        <f>C81-B81</f>
        <v>0</v>
      </c>
      <c r="E81" s="288"/>
      <c r="F81" s="287"/>
      <c r="G81" s="383"/>
    </row>
    <row r="82" spans="1:7" s="380" customFormat="1">
      <c r="A82" s="291" t="s">
        <v>1315</v>
      </c>
      <c r="B82" s="290">
        <f>SUM(B80:B81)</f>
        <v>3020000</v>
      </c>
      <c r="C82" s="290">
        <f>SUM(C80:C81)</f>
        <v>3020000</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136500</v>
      </c>
      <c r="C84" s="286">
        <f>'Sources and Uses Budget'!$C83</f>
        <v>136500</v>
      </c>
      <c r="D84" s="290">
        <f t="shared" si="1"/>
        <v>0</v>
      </c>
      <c r="E84" s="288"/>
      <c r="F84" s="287"/>
      <c r="G84" s="383"/>
    </row>
    <row r="85" spans="1:7" s="380" customFormat="1">
      <c r="A85" s="289" t="s">
        <v>776</v>
      </c>
      <c r="B85" s="286">
        <f>'Sources and Uses Budget'!$C84</f>
        <v>2000</v>
      </c>
      <c r="C85" s="286">
        <f>'Sources and Uses Budget'!$C84</f>
        <v>2000</v>
      </c>
      <c r="D85" s="290">
        <f t="shared" si="1"/>
        <v>0</v>
      </c>
      <c r="E85" s="288"/>
      <c r="F85" s="287"/>
      <c r="G85" s="383"/>
    </row>
    <row r="86" spans="1:7" s="380" customFormat="1">
      <c r="A86" s="289" t="s">
        <v>777</v>
      </c>
      <c r="B86" s="286">
        <f>'Sources and Uses Budget'!$C85</f>
        <v>493859</v>
      </c>
      <c r="C86" s="286">
        <f>'Sources and Uses Budget'!$C85</f>
        <v>493859</v>
      </c>
      <c r="D86" s="290">
        <f t="shared" si="1"/>
        <v>0</v>
      </c>
      <c r="E86" s="288"/>
      <c r="F86" s="287"/>
      <c r="G86" s="383"/>
    </row>
    <row r="87" spans="1:7" s="380" customFormat="1">
      <c r="A87" s="289" t="s">
        <v>778</v>
      </c>
      <c r="B87" s="286">
        <f>'Sources and Uses Budget'!$C86</f>
        <v>556141</v>
      </c>
      <c r="C87" s="286">
        <f>'Sources and Uses Budget'!$C86</f>
        <v>556141</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50000</v>
      </c>
      <c r="C89" s="286">
        <f>'Sources and Uses Budget'!$C88</f>
        <v>50000</v>
      </c>
      <c r="D89" s="290">
        <f t="shared" si="1"/>
        <v>0</v>
      </c>
      <c r="E89" s="288"/>
      <c r="F89" s="287"/>
      <c r="G89" s="383"/>
    </row>
    <row r="90" spans="1:7" s="380" customFormat="1">
      <c r="A90" s="289" t="s">
        <v>781</v>
      </c>
      <c r="B90" s="286">
        <f>'Sources and Uses Budget'!$C89</f>
        <v>300000</v>
      </c>
      <c r="C90" s="286">
        <f>'Sources and Uses Budget'!$C89</f>
        <v>300000</v>
      </c>
      <c r="D90" s="290">
        <f t="shared" si="1"/>
        <v>0</v>
      </c>
      <c r="E90" s="288"/>
      <c r="F90" s="287"/>
      <c r="G90" s="383"/>
    </row>
    <row r="91" spans="1:7" s="380" customFormat="1">
      <c r="A91" s="289" t="s">
        <v>782</v>
      </c>
      <c r="B91" s="286">
        <f>'Sources and Uses Budget'!$C90</f>
        <v>7000</v>
      </c>
      <c r="C91" s="286">
        <f>'Sources and Uses Budget'!$C90</f>
        <v>7000</v>
      </c>
      <c r="D91" s="290">
        <f t="shared" si="1"/>
        <v>0</v>
      </c>
      <c r="E91" s="288"/>
      <c r="F91" s="287"/>
      <c r="G91" s="383"/>
    </row>
    <row r="92" spans="1:7" s="380" customFormat="1">
      <c r="A92" s="289" t="s">
        <v>373</v>
      </c>
      <c r="B92" s="286">
        <f>'Sources and Uses Budget'!$C91</f>
        <v>59000</v>
      </c>
      <c r="C92" s="286">
        <f>'Sources and Uses Budget'!$C91</f>
        <v>59000</v>
      </c>
      <c r="D92" s="290">
        <f t="shared" si="1"/>
        <v>0</v>
      </c>
      <c r="E92" s="288"/>
      <c r="F92" s="287"/>
      <c r="G92" s="383"/>
    </row>
    <row r="93" spans="1:7" s="380" customFormat="1">
      <c r="A93" s="544" t="s">
        <v>1317</v>
      </c>
      <c r="B93" s="286">
        <f>'Sources and Uses Budget'!$C92</f>
        <v>15000</v>
      </c>
      <c r="C93" s="286">
        <f>'Sources and Uses Budget'!$C92</f>
        <v>15000</v>
      </c>
      <c r="D93" s="290">
        <f t="shared" si="1"/>
        <v>0</v>
      </c>
      <c r="E93" s="288"/>
      <c r="F93" s="287"/>
      <c r="G93" s="383"/>
    </row>
    <row r="94" spans="1:7" s="380" customFormat="1">
      <c r="A94" s="292" t="s">
        <v>34</v>
      </c>
      <c r="B94" s="286">
        <f>'Sources and Uses Budget'!$C93</f>
        <v>388300</v>
      </c>
      <c r="C94" s="286">
        <f>'Sources and Uses Budget'!$C93</f>
        <v>388300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2007800</v>
      </c>
      <c r="C97" s="290">
        <f>SUM(C84:C96)</f>
        <v>2007800</v>
      </c>
      <c r="D97" s="290">
        <f t="shared" si="1"/>
        <v>0</v>
      </c>
      <c r="E97" s="288"/>
      <c r="F97" s="287"/>
      <c r="G97" s="383"/>
    </row>
    <row r="98" spans="1:7" s="380" customFormat="1">
      <c r="A98" s="291" t="s">
        <v>784</v>
      </c>
      <c r="B98" s="290">
        <f>SUM(B64+B71+B78+B82+B97)</f>
        <v>65743950</v>
      </c>
      <c r="C98" s="290">
        <f>SUM(C64+C71+C78+C82+C97)</f>
        <v>65743950</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9500000</v>
      </c>
      <c r="C100" s="286">
        <f>'Sources and Uses Budget'!$C99</f>
        <v>9500000</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9500000</v>
      </c>
      <c r="C105" s="290">
        <f>SUM(C100:C104)</f>
        <v>9500000</v>
      </c>
      <c r="D105" s="290">
        <f t="shared" si="1"/>
        <v>0</v>
      </c>
      <c r="E105" s="288"/>
      <c r="F105" s="287"/>
      <c r="G105" s="383"/>
    </row>
    <row r="106" spans="1:7" s="380" customFormat="1">
      <c r="A106" s="291" t="s">
        <v>789</v>
      </c>
      <c r="B106" s="293">
        <f>SUM(B98+B105)</f>
        <v>75243950</v>
      </c>
      <c r="C106" s="293">
        <f>SUM(C98+C105)</f>
        <v>75243950</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0" workbookViewId="0">
      <selection activeCell="B9" sqref="B9"/>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2678" t="s">
        <v>1334</v>
      </c>
      <c r="B1" s="2679"/>
      <c r="C1" s="2679"/>
      <c r="D1" s="2679"/>
      <c r="E1" s="2679"/>
      <c r="F1" s="2679"/>
      <c r="G1" s="2679"/>
      <c r="H1" s="2679"/>
      <c r="I1" s="2679"/>
      <c r="J1" s="2680"/>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386000</v>
      </c>
      <c r="C4" s="393"/>
      <c r="D4" s="393">
        <f>B4</f>
        <v>386000</v>
      </c>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386000</v>
      </c>
      <c r="C8" s="392">
        <f>SUM(C4:C7)</f>
        <v>0</v>
      </c>
      <c r="D8" s="392">
        <f>SUM(D4:D7)</f>
        <v>386000</v>
      </c>
      <c r="E8" s="394"/>
      <c r="F8" s="394"/>
      <c r="G8" s="394"/>
      <c r="H8" s="394"/>
      <c r="I8" s="394"/>
      <c r="J8" s="394"/>
      <c r="K8" s="390"/>
    </row>
    <row r="9" spans="1:11" s="391" customFormat="1">
      <c r="A9" s="395" t="s">
        <v>602</v>
      </c>
      <c r="B9" s="392">
        <f>'Sources and Uses Budget'!C9</f>
        <v>20254000</v>
      </c>
      <c r="C9" s="393"/>
      <c r="D9" s="393">
        <f>B9</f>
        <v>20254000</v>
      </c>
      <c r="E9" s="394"/>
      <c r="F9" s="394"/>
      <c r="G9" s="394"/>
      <c r="H9" s="392">
        <f>'Sources and Uses Budget'!T9</f>
        <v>20254000</v>
      </c>
      <c r="I9" s="393">
        <f>H9</f>
        <v>20254000</v>
      </c>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20254000</v>
      </c>
      <c r="C11" s="392">
        <f>SUM(C9:C10)</f>
        <v>0</v>
      </c>
      <c r="D11" s="392">
        <f>SUM(D9:D10)</f>
        <v>20254000</v>
      </c>
      <c r="E11" s="394"/>
      <c r="F11" s="394"/>
      <c r="G11" s="394"/>
      <c r="H11" s="392">
        <f>'Sources and Uses Budget'!T11</f>
        <v>20254000</v>
      </c>
      <c r="I11" s="392">
        <f>SUM(I9:I10)</f>
        <v>20254000</v>
      </c>
      <c r="J11" s="392">
        <f>SUM(J9:J10)</f>
        <v>0</v>
      </c>
      <c r="K11" s="390"/>
    </row>
    <row r="12" spans="1:11" s="391" customFormat="1">
      <c r="A12" s="396" t="s">
        <v>84</v>
      </c>
      <c r="B12" s="392">
        <f>'Sources and Uses Budget'!C12</f>
        <v>20640000</v>
      </c>
      <c r="C12" s="392">
        <f>SUM(C8+C11)</f>
        <v>0</v>
      </c>
      <c r="D12" s="392">
        <f>SUM(D8+D11)</f>
        <v>20640000</v>
      </c>
      <c r="E12" s="394"/>
      <c r="F12" s="394"/>
      <c r="G12" s="394"/>
      <c r="H12" s="394"/>
      <c r="I12" s="394"/>
      <c r="J12" s="394"/>
      <c r="K12" s="390"/>
    </row>
    <row r="13" spans="1:11" s="391" customFormat="1">
      <c r="A13" s="397" t="s">
        <v>917</v>
      </c>
      <c r="B13" s="392">
        <f>'Sources and Uses Budget'!C13</f>
        <v>125000</v>
      </c>
      <c r="C13" s="393">
        <f>B13</f>
        <v>125000</v>
      </c>
      <c r="D13" s="393"/>
      <c r="E13" s="392">
        <f>'Sources and Uses Budget'!S13</f>
        <v>125000</v>
      </c>
      <c r="F13" s="393">
        <f>E13</f>
        <v>125000</v>
      </c>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25200000</v>
      </c>
      <c r="C30" s="393">
        <f>B30</f>
        <v>25200000</v>
      </c>
      <c r="D30" s="393"/>
      <c r="E30" s="392">
        <f>'Sources and Uses Budget'!S30</f>
        <v>25200000</v>
      </c>
      <c r="F30" s="393">
        <f>E30</f>
        <v>25200000</v>
      </c>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216000</v>
      </c>
      <c r="C36" s="393">
        <f>B36</f>
        <v>216000</v>
      </c>
      <c r="D36" s="393"/>
      <c r="E36" s="392">
        <f>'Sources and Uses Budget'!S36</f>
        <v>216000</v>
      </c>
      <c r="F36" s="393">
        <f>E36</f>
        <v>216000</v>
      </c>
      <c r="G36" s="393"/>
      <c r="H36" s="392">
        <f>'Sources and Uses Budget'!T36</f>
        <v>0</v>
      </c>
      <c r="I36" s="393"/>
      <c r="J36" s="393"/>
      <c r="K36" s="390"/>
    </row>
    <row r="37" spans="1:11" s="391" customFormat="1">
      <c r="A37" s="395" t="str">
        <f>'Sources and Uses Budget'!$A37</f>
        <v>Other: Utility Hookups</v>
      </c>
      <c r="B37" s="392">
        <f>'Sources and Uses Budget'!C37</f>
        <v>250000</v>
      </c>
      <c r="C37" s="393">
        <f>B37</f>
        <v>250000</v>
      </c>
      <c r="D37" s="393"/>
      <c r="E37" s="392">
        <f>'Sources and Uses Budget'!S37</f>
        <v>250000</v>
      </c>
      <c r="F37" s="393">
        <f>E37</f>
        <v>250000</v>
      </c>
      <c r="G37" s="393"/>
      <c r="H37" s="392">
        <f>'Sources and Uses Budget'!T37</f>
        <v>0</v>
      </c>
      <c r="I37" s="393"/>
      <c r="J37" s="393"/>
      <c r="K37" s="390"/>
    </row>
    <row r="38" spans="1:11" s="391" customFormat="1">
      <c r="A38" s="396" t="s">
        <v>143</v>
      </c>
      <c r="B38" s="392">
        <f>'Sources and Uses Budget'!C38</f>
        <v>25666000</v>
      </c>
      <c r="C38" s="392">
        <f>SUM(C29:C37)</f>
        <v>25666000</v>
      </c>
      <c r="D38" s="392">
        <f>SUM(D29:D37)</f>
        <v>0</v>
      </c>
      <c r="E38" s="392">
        <f>'Sources and Uses Budget'!S38</f>
        <v>25666000</v>
      </c>
      <c r="F38" s="398">
        <f>SUM(F29:F37)</f>
        <v>25666000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1700000</v>
      </c>
      <c r="C40" s="393">
        <f>B40</f>
        <v>1700000</v>
      </c>
      <c r="D40" s="393"/>
      <c r="E40" s="392">
        <f>'Sources and Uses Budget'!S40</f>
        <v>1700000</v>
      </c>
      <c r="F40" s="393">
        <f>E40</f>
        <v>1700000</v>
      </c>
      <c r="G40" s="393"/>
      <c r="H40" s="392">
        <f>'Sources and Uses Budget'!T40</f>
        <v>0</v>
      </c>
      <c r="I40" s="393"/>
      <c r="J40" s="393"/>
      <c r="K40" s="390"/>
    </row>
    <row r="41" spans="1:11" s="391" customFormat="1">
      <c r="A41" s="395" t="s">
        <v>146</v>
      </c>
      <c r="B41" s="392">
        <f>'Sources and Uses Budget'!C41</f>
        <v>250000</v>
      </c>
      <c r="C41" s="393">
        <f>B41</f>
        <v>250000</v>
      </c>
      <c r="D41" s="393"/>
      <c r="E41" s="392">
        <f>'Sources and Uses Budget'!S41</f>
        <v>250000</v>
      </c>
      <c r="F41" s="393">
        <f>E41</f>
        <v>250000</v>
      </c>
      <c r="G41" s="393"/>
      <c r="H41" s="392">
        <f>'Sources and Uses Budget'!T41</f>
        <v>0</v>
      </c>
      <c r="I41" s="393"/>
      <c r="J41" s="393"/>
      <c r="K41" s="390"/>
    </row>
    <row r="42" spans="1:11" s="391" customFormat="1">
      <c r="A42" s="396" t="s">
        <v>147</v>
      </c>
      <c r="B42" s="392">
        <f>'Sources and Uses Budget'!C42</f>
        <v>1950000</v>
      </c>
      <c r="C42" s="392">
        <f>SUM(C39:C41)</f>
        <v>1950000</v>
      </c>
      <c r="D42" s="392">
        <f>SUM(D39:D41)</f>
        <v>0</v>
      </c>
      <c r="E42" s="392">
        <f>'Sources and Uses Budget'!S42</f>
        <v>1950000</v>
      </c>
      <c r="F42" s="398">
        <f>SUM(F40:F41)</f>
        <v>1950000</v>
      </c>
      <c r="G42" s="398">
        <f>SUM(G40:G41)</f>
        <v>0</v>
      </c>
      <c r="H42" s="392">
        <f>'Sources and Uses Budget'!T42</f>
        <v>0</v>
      </c>
      <c r="I42" s="398">
        <f>SUM(I40:I41)</f>
        <v>0</v>
      </c>
      <c r="J42" s="398">
        <f>SUM(J40:J41)</f>
        <v>0</v>
      </c>
      <c r="K42" s="390"/>
    </row>
    <row r="43" spans="1:11" s="391" customFormat="1">
      <c r="A43" s="396" t="s">
        <v>148</v>
      </c>
      <c r="B43" s="392">
        <f>'Sources and Uses Budget'!C43</f>
        <v>446400</v>
      </c>
      <c r="C43" s="393">
        <f>B43</f>
        <v>446400</v>
      </c>
      <c r="D43" s="393"/>
      <c r="E43" s="392">
        <f>'Sources and Uses Budget'!S43</f>
        <v>446400</v>
      </c>
      <c r="F43" s="393">
        <f>E43</f>
        <v>446400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8250000</v>
      </c>
      <c r="C45" s="393">
        <f>B45</f>
        <v>8250000</v>
      </c>
      <c r="D45" s="393"/>
      <c r="E45" s="392">
        <f>'Sources and Uses Budget'!S45</f>
        <v>8250000</v>
      </c>
      <c r="F45" s="393">
        <f>E45</f>
        <v>8250000</v>
      </c>
      <c r="G45" s="393"/>
      <c r="H45" s="392">
        <f>'Sources and Uses Budget'!T45</f>
        <v>0</v>
      </c>
      <c r="I45" s="393"/>
      <c r="J45" s="393"/>
      <c r="K45" s="390"/>
    </row>
    <row r="46" spans="1:11" s="391" customFormat="1">
      <c r="A46" s="395" t="s">
        <v>151</v>
      </c>
      <c r="B46" s="392">
        <f>'Sources and Uses Budget'!C46</f>
        <v>525000</v>
      </c>
      <c r="C46" s="393">
        <f>B46</f>
        <v>525000</v>
      </c>
      <c r="D46" s="393"/>
      <c r="E46" s="392">
        <f>'Sources and Uses Budget'!S46</f>
        <v>525000</v>
      </c>
      <c r="F46" s="393">
        <f>E46</f>
        <v>525000</v>
      </c>
      <c r="G46" s="393"/>
      <c r="H46" s="392">
        <f>'Sources and Uses Budget'!T46</f>
        <v>0</v>
      </c>
      <c r="I46" s="393"/>
      <c r="J46" s="393"/>
      <c r="K46" s="390"/>
    </row>
    <row r="47" spans="1:11" s="391" customFormat="1" ht="12" customHeight="1">
      <c r="A47" s="395" t="s">
        <v>152</v>
      </c>
      <c r="B47" s="392">
        <f>'Sources and Uses Budget'!C47</f>
        <v>25000</v>
      </c>
      <c r="C47" s="393">
        <f>B47</f>
        <v>25000</v>
      </c>
      <c r="D47" s="393"/>
      <c r="E47" s="392">
        <f>'Sources and Uses Budget'!S47</f>
        <v>25000</v>
      </c>
      <c r="F47" s="393">
        <f>E47</f>
        <v>25000</v>
      </c>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231250</v>
      </c>
      <c r="C49" s="393">
        <f>B49</f>
        <v>231250</v>
      </c>
      <c r="D49" s="393"/>
      <c r="E49" s="392">
        <f>'Sources and Uses Budget'!S49</f>
        <v>231250</v>
      </c>
      <c r="F49" s="393">
        <f>E49</f>
        <v>231250</v>
      </c>
      <c r="G49" s="393"/>
      <c r="H49" s="392">
        <f>'Sources and Uses Budget'!T49</f>
        <v>0</v>
      </c>
      <c r="I49" s="393"/>
      <c r="J49" s="393"/>
      <c r="K49" s="390"/>
    </row>
    <row r="50" spans="1:11" s="391" customFormat="1">
      <c r="A50" s="395" t="s">
        <v>156</v>
      </c>
      <c r="B50" s="392">
        <f>'Sources and Uses Budget'!C50</f>
        <v>150000</v>
      </c>
      <c r="C50" s="393">
        <f>B50</f>
        <v>150000</v>
      </c>
      <c r="D50" s="393"/>
      <c r="E50" s="392">
        <f>'Sources and Uses Budget'!S50</f>
        <v>150000</v>
      </c>
      <c r="F50" s="393">
        <f>E50</f>
        <v>150000</v>
      </c>
      <c r="G50" s="393"/>
      <c r="H50" s="392">
        <f>'Sources and Uses Budget'!T50</f>
        <v>0</v>
      </c>
      <c r="I50" s="393"/>
      <c r="J50" s="393"/>
      <c r="K50" s="390"/>
    </row>
    <row r="51" spans="1:11" s="391" customFormat="1">
      <c r="A51" s="395" t="s">
        <v>154</v>
      </c>
      <c r="B51" s="392">
        <f>'Sources and Uses Budget'!C51</f>
        <v>525000</v>
      </c>
      <c r="C51" s="393">
        <f>B51</f>
        <v>525000</v>
      </c>
      <c r="D51" s="393"/>
      <c r="E51" s="392">
        <f>'Sources and Uses Budget'!S51</f>
        <v>525000</v>
      </c>
      <c r="F51" s="393">
        <f>E51</f>
        <v>525000</v>
      </c>
      <c r="G51" s="393"/>
      <c r="H51" s="392">
        <f>'Sources and Uses Budget'!T51</f>
        <v>0</v>
      </c>
      <c r="I51" s="393"/>
      <c r="J51" s="393"/>
      <c r="K51" s="390"/>
    </row>
    <row r="52" spans="1:11" s="391" customFormat="1">
      <c r="A52" s="395" t="s">
        <v>155</v>
      </c>
      <c r="B52" s="392">
        <f>'Sources and Uses Budget'!C52</f>
        <v>750000</v>
      </c>
      <c r="C52" s="393">
        <f>B52</f>
        <v>750000</v>
      </c>
      <c r="D52" s="393"/>
      <c r="E52" s="392">
        <f>'Sources and Uses Budget'!S52</f>
        <v>750000</v>
      </c>
      <c r="F52" s="393">
        <f>E52</f>
        <v>750000</v>
      </c>
      <c r="G52" s="393"/>
      <c r="H52" s="392">
        <f>'Sources and Uses Budget'!T52</f>
        <v>0</v>
      </c>
      <c r="I52" s="393"/>
      <c r="J52" s="393"/>
      <c r="K52" s="390"/>
    </row>
    <row r="53" spans="1:11" s="391" customFormat="1">
      <c r="A53" s="395" t="str">
        <f>'Sources and Uses Budget'!$A53</f>
        <v>Other</v>
      </c>
      <c r="B53" s="392">
        <f>'Sources and Uses Budget'!C53</f>
        <v>0</v>
      </c>
      <c r="C53" s="393">
        <f>B53</f>
        <v>0</v>
      </c>
      <c r="D53" s="393"/>
      <c r="E53" s="392">
        <f>'Sources and Uses Budget'!S53</f>
        <v>0</v>
      </c>
      <c r="F53" s="393"/>
      <c r="G53" s="393"/>
      <c r="H53" s="392">
        <f>'Sources and Uses Budget'!T53</f>
        <v>0</v>
      </c>
      <c r="I53" s="393"/>
      <c r="J53" s="393"/>
      <c r="K53" s="390"/>
    </row>
    <row r="54" spans="1:11" s="400" customFormat="1">
      <c r="A54" s="396" t="s">
        <v>157</v>
      </c>
      <c r="B54" s="392">
        <f>'Sources and Uses Budget'!C54</f>
        <v>10456250</v>
      </c>
      <c r="C54" s="398">
        <f>SUM(C45:C53)</f>
        <v>10456250</v>
      </c>
      <c r="D54" s="398">
        <f>SUM(D45:D53)</f>
        <v>0</v>
      </c>
      <c r="E54" s="392">
        <f>'Sources and Uses Budget'!S54</f>
        <v>10456250</v>
      </c>
      <c r="F54" s="398">
        <f>SUM(F45:F53)</f>
        <v>10456250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v>
      </c>
      <c r="C56" s="393">
        <f>B56</f>
        <v>10000</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25000</v>
      </c>
      <c r="C58" s="393">
        <f>B58</f>
        <v>25000</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35000</v>
      </c>
      <c r="C62" s="392">
        <f>SUM(C56:C61)</f>
        <v>35000</v>
      </c>
      <c r="D62" s="392">
        <f>SUM(D56:D61)</f>
        <v>0</v>
      </c>
      <c r="E62" s="394"/>
      <c r="F62" s="394"/>
      <c r="G62" s="394"/>
      <c r="H62" s="394"/>
      <c r="I62" s="394"/>
      <c r="J62" s="394"/>
      <c r="K62" s="390"/>
    </row>
    <row r="63" spans="1:11" s="391" customFormat="1">
      <c r="A63" s="401" t="s">
        <v>303</v>
      </c>
      <c r="B63" s="392">
        <f>'Sources and Uses Budget'!C63</f>
        <v>59318650</v>
      </c>
      <c r="C63" s="392">
        <f>SUM(C8+C11+C13+C14+C15+C26+C27+C38+C42+C43+C54+C62)</f>
        <v>38678650</v>
      </c>
      <c r="D63" s="392">
        <f>SUM(D8+D11+D13+D14+D15+D26+D27+D38+D42+D43+D54+D62)</f>
        <v>20640000</v>
      </c>
      <c r="E63" s="392">
        <f>'Sources and Uses Budget'!S63</f>
        <v>38643650</v>
      </c>
      <c r="F63" s="392">
        <f>SUM(F10+F13+F14+F15+F26+F27+F38+F42+F43+F54)</f>
        <v>38643650</v>
      </c>
      <c r="G63" s="392">
        <f>SUM(G10+G13+G14+G15+G26+G27+G38+G42+G43+G54)</f>
        <v>0</v>
      </c>
      <c r="H63" s="392">
        <f>'Sources and Uses Budget'!T63</f>
        <v>20254000</v>
      </c>
      <c r="I63" s="392">
        <f>SUM(I11+I13+I14+I15+I26+I27+I38+I42+I43+I54)</f>
        <v>20254000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135000</v>
      </c>
      <c r="C65" s="393">
        <f>B65</f>
        <v>135000</v>
      </c>
      <c r="D65" s="393"/>
      <c r="E65" s="392">
        <f>'Sources and Uses Budget'!S65</f>
        <v>132500</v>
      </c>
      <c r="F65" s="393">
        <f>E65</f>
        <v>132500</v>
      </c>
      <c r="G65" s="393"/>
      <c r="H65" s="392">
        <f>'Sources and Uses Budget'!T65</f>
        <v>0</v>
      </c>
      <c r="I65" s="393"/>
      <c r="J65" s="393"/>
      <c r="K65" s="390"/>
    </row>
    <row r="66" spans="1:11" s="391" customFormat="1" ht="24">
      <c r="A66" s="304" t="s">
        <v>1752</v>
      </c>
      <c r="B66" s="392">
        <f>'Sources and Uses Budget'!C66</f>
        <v>0</v>
      </c>
      <c r="C66" s="393">
        <f>B66</f>
        <v>0</v>
      </c>
      <c r="D66" s="393"/>
      <c r="E66" s="392">
        <f>'Sources and Uses Budget'!S66</f>
        <v>0</v>
      </c>
      <c r="F66" s="393">
        <f>E66</f>
        <v>0</v>
      </c>
      <c r="G66" s="393"/>
      <c r="H66" s="392">
        <f>'Sources and Uses Budget'!T66</f>
        <v>0</v>
      </c>
      <c r="I66" s="393"/>
      <c r="J66" s="393"/>
      <c r="K66" s="390"/>
    </row>
    <row r="67" spans="1:11" s="391" customFormat="1" ht="24">
      <c r="A67" s="304" t="s">
        <v>1753</v>
      </c>
      <c r="B67" s="392">
        <f>'Sources and Uses Budget'!C67</f>
        <v>100000</v>
      </c>
      <c r="C67" s="393">
        <f>B67</f>
        <v>100000</v>
      </c>
      <c r="D67" s="393"/>
      <c r="E67" s="392">
        <f>'Sources and Uses Budget'!S67</f>
        <v>100000</v>
      </c>
      <c r="F67" s="393">
        <f>E67</f>
        <v>100000</v>
      </c>
      <c r="G67" s="393"/>
      <c r="H67" s="392">
        <f>'Sources and Uses Budget'!T67</f>
        <v>0</v>
      </c>
      <c r="I67" s="393"/>
      <c r="J67" s="393"/>
      <c r="K67" s="390"/>
    </row>
    <row r="68" spans="1:11" s="391" customFormat="1">
      <c r="A68" s="304" t="s">
        <v>1759</v>
      </c>
      <c r="B68" s="392">
        <f>'Sources and Uses Budget'!C68</f>
        <v>11700</v>
      </c>
      <c r="C68" s="393">
        <f>B68</f>
        <v>11700</v>
      </c>
      <c r="D68" s="393"/>
      <c r="E68" s="392">
        <f>'Sources and Uses Budget'!S68</f>
        <v>9000</v>
      </c>
      <c r="F68" s="393">
        <v>9000</v>
      </c>
      <c r="G68" s="393"/>
      <c r="H68" s="392">
        <f>'Sources and Uses Budget'!T68</f>
        <v>0</v>
      </c>
      <c r="I68" s="393"/>
      <c r="J68" s="393"/>
      <c r="K68" s="390"/>
    </row>
    <row r="69" spans="1:11" s="391" customFormat="1">
      <c r="A69" s="395" t="str">
        <f>'Sources and Uses Budget'!$A69</f>
        <v>Borrower Legal</v>
      </c>
      <c r="B69" s="392">
        <f>'Sources and Uses Budget'!C69</f>
        <v>200800</v>
      </c>
      <c r="C69" s="393">
        <f>B69</f>
        <v>200800</v>
      </c>
      <c r="D69" s="393"/>
      <c r="E69" s="392">
        <f>'Sources and Uses Budget'!S69</f>
        <v>200800</v>
      </c>
      <c r="F69" s="393">
        <f>E69</f>
        <v>200800</v>
      </c>
      <c r="G69" s="393"/>
      <c r="H69" s="392">
        <f>'Sources and Uses Budget'!T69</f>
        <v>0</v>
      </c>
      <c r="I69" s="393"/>
      <c r="J69" s="393"/>
      <c r="K69" s="390"/>
    </row>
    <row r="70" spans="1:11" s="391" customFormat="1">
      <c r="A70" s="396" t="s">
        <v>609</v>
      </c>
      <c r="B70" s="392">
        <f>'Sources and Uses Budget'!C70</f>
        <v>447500</v>
      </c>
      <c r="C70" s="392">
        <f>SUM(C64:C69)</f>
        <v>447500</v>
      </c>
      <c r="D70" s="392">
        <f>SUM(D64:D69)</f>
        <v>0</v>
      </c>
      <c r="E70" s="392">
        <f>'Sources and Uses Budget'!S70</f>
        <v>442300</v>
      </c>
      <c r="F70" s="398">
        <f>SUM(F65:F69)</f>
        <v>442300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950000</v>
      </c>
      <c r="C75" s="393">
        <f>B75</f>
        <v>950000</v>
      </c>
      <c r="D75" s="393"/>
      <c r="E75" s="394"/>
      <c r="F75" s="394"/>
      <c r="G75" s="394"/>
      <c r="H75" s="394"/>
      <c r="I75" s="394"/>
      <c r="J75" s="394"/>
      <c r="K75" s="390"/>
    </row>
    <row r="76" spans="1:11" s="391" customFormat="1">
      <c r="A76" s="395" t="str">
        <f>'Sources and Uses Budget'!$A76</f>
        <v>Other: (Specify)</v>
      </c>
      <c r="B76" s="392">
        <f>'Sources and Uses Budget'!C76</f>
        <v>0</v>
      </c>
      <c r="C76" s="393">
        <f>B76</f>
        <v>0</v>
      </c>
      <c r="D76" s="393"/>
      <c r="E76" s="394"/>
      <c r="F76" s="394"/>
      <c r="G76" s="394"/>
      <c r="H76" s="394"/>
      <c r="I76" s="394"/>
      <c r="J76" s="394"/>
      <c r="K76" s="390"/>
    </row>
    <row r="77" spans="1:11" s="391" customFormat="1">
      <c r="A77" s="396" t="s">
        <v>614</v>
      </c>
      <c r="B77" s="392">
        <f>'Sources and Uses Budget'!C77</f>
        <v>950000</v>
      </c>
      <c r="C77" s="392">
        <f>SUM(C72:C76)</f>
        <v>950000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2520000</v>
      </c>
      <c r="C79" s="393">
        <f>B79</f>
        <v>2520000</v>
      </c>
      <c r="D79" s="393"/>
      <c r="E79" s="392">
        <f>'Sources and Uses Budget'!S79</f>
        <v>2520000</v>
      </c>
      <c r="F79" s="393">
        <f>E79</f>
        <v>2520000</v>
      </c>
      <c r="G79" s="393"/>
      <c r="H79" s="392">
        <f>'Sources and Uses Budget'!T79</f>
        <v>0</v>
      </c>
      <c r="I79" s="393"/>
      <c r="J79" s="393"/>
      <c r="K79" s="390"/>
    </row>
    <row r="80" spans="1:11" s="391" customFormat="1">
      <c r="A80" s="395" t="s">
        <v>58</v>
      </c>
      <c r="B80" s="392">
        <f>'Sources and Uses Budget'!C80</f>
        <v>500000</v>
      </c>
      <c r="C80" s="393">
        <f>B80</f>
        <v>500000</v>
      </c>
      <c r="D80" s="393"/>
      <c r="E80" s="392">
        <f>'Sources and Uses Budget'!S80</f>
        <v>500000</v>
      </c>
      <c r="F80" s="393">
        <f>E80</f>
        <v>500000</v>
      </c>
      <c r="G80" s="393"/>
      <c r="H80" s="392">
        <f>'Sources and Uses Budget'!T80</f>
        <v>0</v>
      </c>
      <c r="I80" s="393"/>
      <c r="J80" s="393"/>
      <c r="K80" s="390"/>
    </row>
    <row r="81" spans="1:11" s="391" customFormat="1">
      <c r="A81" s="396" t="s">
        <v>1315</v>
      </c>
      <c r="B81" s="392">
        <f>'Sources and Uses Budget'!C81</f>
        <v>3020000</v>
      </c>
      <c r="C81" s="392">
        <f>SUM(C79:C80)</f>
        <v>3020000</v>
      </c>
      <c r="D81" s="392">
        <f>SUM(D79:D80)</f>
        <v>0</v>
      </c>
      <c r="E81" s="392">
        <f>'Sources and Uses Budget'!S81</f>
        <v>3020000</v>
      </c>
      <c r="F81" s="392">
        <f>SUM(F79:F80)</f>
        <v>3020000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136500</v>
      </c>
      <c r="C83" s="393">
        <f>B83</f>
        <v>136500</v>
      </c>
      <c r="D83" s="393"/>
      <c r="E83" s="394"/>
      <c r="F83" s="394"/>
      <c r="G83" s="394"/>
      <c r="H83" s="394"/>
      <c r="I83" s="394"/>
      <c r="J83" s="394"/>
      <c r="K83" s="390"/>
    </row>
    <row r="84" spans="1:11" s="391" customFormat="1">
      <c r="A84" s="145" t="s">
        <v>776</v>
      </c>
      <c r="B84" s="392">
        <f>'Sources and Uses Budget'!C84</f>
        <v>2000</v>
      </c>
      <c r="C84" s="393">
        <f>B84</f>
        <v>2000</v>
      </c>
      <c r="D84" s="393"/>
      <c r="E84" s="392">
        <f>'Sources and Uses Budget'!S84</f>
        <v>2000</v>
      </c>
      <c r="F84" s="393">
        <f>E84</f>
        <v>2000</v>
      </c>
      <c r="G84" s="393"/>
      <c r="H84" s="392">
        <f>'Sources and Uses Budget'!T84</f>
        <v>0</v>
      </c>
      <c r="I84" s="393"/>
      <c r="J84" s="393"/>
      <c r="K84" s="390"/>
    </row>
    <row r="85" spans="1:11" s="391" customFormat="1">
      <c r="A85" s="145" t="s">
        <v>777</v>
      </c>
      <c r="B85" s="392">
        <f>'Sources and Uses Budget'!C85</f>
        <v>493859</v>
      </c>
      <c r="C85" s="393">
        <f t="shared" ref="C85:C93" si="0">B85</f>
        <v>493859</v>
      </c>
      <c r="D85" s="393"/>
      <c r="E85" s="392">
        <f>'Sources and Uses Budget'!S85</f>
        <v>493859</v>
      </c>
      <c r="F85" s="393">
        <f>E85</f>
        <v>493859</v>
      </c>
      <c r="G85" s="393"/>
      <c r="H85" s="392">
        <f>'Sources and Uses Budget'!T85</f>
        <v>0</v>
      </c>
      <c r="I85" s="393"/>
      <c r="J85" s="393"/>
      <c r="K85" s="390"/>
    </row>
    <row r="86" spans="1:11" s="391" customFormat="1">
      <c r="A86" s="145" t="s">
        <v>778</v>
      </c>
      <c r="B86" s="392">
        <f>'Sources and Uses Budget'!C86</f>
        <v>556141</v>
      </c>
      <c r="C86" s="393">
        <f t="shared" si="0"/>
        <v>556141</v>
      </c>
      <c r="D86" s="393"/>
      <c r="E86" s="392">
        <f>'Sources and Uses Budget'!S86</f>
        <v>556141</v>
      </c>
      <c r="F86" s="393">
        <f>E86</f>
        <v>556141</v>
      </c>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50000</v>
      </c>
      <c r="C88" s="393">
        <f t="shared" si="0"/>
        <v>50000</v>
      </c>
      <c r="D88" s="393"/>
      <c r="E88" s="394"/>
      <c r="F88" s="394"/>
      <c r="G88" s="394"/>
      <c r="H88" s="394"/>
      <c r="I88" s="394"/>
      <c r="J88" s="394"/>
      <c r="K88" s="390"/>
    </row>
    <row r="89" spans="1:11" s="391" customFormat="1">
      <c r="A89" s="145" t="s">
        <v>781</v>
      </c>
      <c r="B89" s="392">
        <f>'Sources and Uses Budget'!C89</f>
        <v>300000</v>
      </c>
      <c r="C89" s="393">
        <f t="shared" si="0"/>
        <v>300000</v>
      </c>
      <c r="D89" s="393"/>
      <c r="E89" s="392">
        <f>'Sources and Uses Budget'!S89</f>
        <v>300000</v>
      </c>
      <c r="F89" s="393">
        <f>E89</f>
        <v>300000</v>
      </c>
      <c r="G89" s="393"/>
      <c r="H89" s="392">
        <f>'Sources and Uses Budget'!T89</f>
        <v>0</v>
      </c>
      <c r="I89" s="393"/>
      <c r="J89" s="393"/>
      <c r="K89" s="390"/>
    </row>
    <row r="90" spans="1:11" s="391" customFormat="1">
      <c r="A90" s="145" t="s">
        <v>782</v>
      </c>
      <c r="B90" s="392">
        <f>'Sources and Uses Budget'!C90</f>
        <v>7000</v>
      </c>
      <c r="C90" s="393">
        <f t="shared" si="0"/>
        <v>7000</v>
      </c>
      <c r="D90" s="393"/>
      <c r="E90" s="392">
        <f>'Sources and Uses Budget'!S90</f>
        <v>7000</v>
      </c>
      <c r="F90" s="393">
        <f>E90</f>
        <v>7000</v>
      </c>
      <c r="G90" s="393"/>
      <c r="H90" s="392">
        <f>'Sources and Uses Budget'!T90</f>
        <v>0</v>
      </c>
      <c r="I90" s="393"/>
      <c r="J90" s="393"/>
      <c r="K90" s="390"/>
    </row>
    <row r="91" spans="1:11" s="391" customFormat="1">
      <c r="A91" s="155" t="s">
        <v>373</v>
      </c>
      <c r="B91" s="392">
        <f>'Sources and Uses Budget'!C91</f>
        <v>59000</v>
      </c>
      <c r="C91" s="393">
        <f t="shared" si="0"/>
        <v>59000</v>
      </c>
      <c r="D91" s="393"/>
      <c r="E91" s="392">
        <f>'Sources and Uses Budget'!S91</f>
        <v>59000</v>
      </c>
      <c r="F91" s="393">
        <f>E91</f>
        <v>59000</v>
      </c>
      <c r="G91" s="393"/>
      <c r="H91" s="392">
        <f>'Sources and Uses Budget'!T91</f>
        <v>0</v>
      </c>
      <c r="I91" s="393"/>
      <c r="J91" s="393"/>
      <c r="K91" s="390"/>
    </row>
    <row r="92" spans="1:11" s="391" customFormat="1">
      <c r="A92" s="542" t="s">
        <v>1317</v>
      </c>
      <c r="B92" s="392">
        <f>'Sources and Uses Budget'!C92</f>
        <v>15000</v>
      </c>
      <c r="C92" s="393">
        <f t="shared" si="0"/>
        <v>15000</v>
      </c>
      <c r="D92" s="393"/>
      <c r="E92" s="392">
        <f>'Sources and Uses Budget'!S92</f>
        <v>15000</v>
      </c>
      <c r="F92" s="393">
        <f>E92</f>
        <v>15000</v>
      </c>
      <c r="G92" s="393"/>
      <c r="H92" s="392">
        <f>'Sources and Uses Budget'!T92</f>
        <v>0</v>
      </c>
      <c r="I92" s="393"/>
      <c r="J92" s="393"/>
      <c r="K92" s="390"/>
    </row>
    <row r="93" spans="1:11" s="391" customFormat="1">
      <c r="A93" s="395" t="str">
        <f>'Sources and Uses Budget'!$A93</f>
        <v>Other: Relocation</v>
      </c>
      <c r="B93" s="392">
        <f>'Sources and Uses Budget'!C93</f>
        <v>388300</v>
      </c>
      <c r="C93" s="393">
        <f t="shared" si="0"/>
        <v>388300</v>
      </c>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2007800</v>
      </c>
      <c r="C96" s="392">
        <f>SUM(C83:C95)</f>
        <v>2007800</v>
      </c>
      <c r="D96" s="392">
        <f>SUM(D83:D95)</f>
        <v>0</v>
      </c>
      <c r="E96" s="392">
        <f>'Sources and Uses Budget'!S96</f>
        <v>1433000</v>
      </c>
      <c r="F96" s="398">
        <f>SUM(F84:F87,F89:F95)</f>
        <v>1433000</v>
      </c>
      <c r="G96" s="398">
        <f>SUM(G84:G87,G89:G95)</f>
        <v>0</v>
      </c>
      <c r="H96" s="392">
        <f>'Sources and Uses Budget'!T96</f>
        <v>0</v>
      </c>
      <c r="I96" s="392">
        <f>SUM(I84:I87,I89:I95)</f>
        <v>0</v>
      </c>
      <c r="J96" s="392">
        <f>SUM(J84:J87,J89:J95)</f>
        <v>0</v>
      </c>
      <c r="K96" s="390"/>
    </row>
    <row r="97" spans="1:11" s="391" customFormat="1">
      <c r="A97" s="396" t="s">
        <v>1053</v>
      </c>
      <c r="B97" s="392">
        <f>'Sources and Uses Budget'!C97</f>
        <v>65743950</v>
      </c>
      <c r="C97" s="392">
        <f>SUM(C63+C70+C77+C81+C96)</f>
        <v>45103950</v>
      </c>
      <c r="D97" s="392">
        <f>SUM(D63+D70+D77+D81+D96)</f>
        <v>20640000</v>
      </c>
      <c r="E97" s="392">
        <f>'Sources and Uses Budget'!S97</f>
        <v>43538950</v>
      </c>
      <c r="F97" s="398">
        <f>SUM(+F63+F70+F81+F96)</f>
        <v>43538950</v>
      </c>
      <c r="G97" s="398">
        <f>SUM(+G63+G70+G81+G96)</f>
        <v>0</v>
      </c>
      <c r="H97" s="392">
        <f>'Sources and Uses Budget'!T97</f>
        <v>20254000</v>
      </c>
      <c r="I97" s="398">
        <f>SUM(I63+I70+I81+I96)</f>
        <v>20254000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9500000</v>
      </c>
      <c r="C99" s="393">
        <f t="shared" ref="C99" si="1">B99</f>
        <v>9500000</v>
      </c>
      <c r="D99" s="393"/>
      <c r="E99" s="392">
        <f>'Sources and Uses Budget'!S99</f>
        <v>9500000</v>
      </c>
      <c r="F99" s="393">
        <f>E99</f>
        <v>9500000</v>
      </c>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9500000</v>
      </c>
      <c r="C104" s="392">
        <f>SUM(C99:C103)</f>
        <v>9500000</v>
      </c>
      <c r="D104" s="392">
        <f>SUM(D99:D103)</f>
        <v>0</v>
      </c>
      <c r="E104" s="392">
        <f>'Sources and Uses Budget'!S104</f>
        <v>9500000</v>
      </c>
      <c r="F104" s="398">
        <f>SUM(F99:F103)</f>
        <v>9500000</v>
      </c>
      <c r="G104" s="398">
        <f>SUM(G99:G103)</f>
        <v>0</v>
      </c>
      <c r="H104" s="392">
        <f>'Sources and Uses Budget'!T104</f>
        <v>0</v>
      </c>
      <c r="I104" s="398">
        <f>SUM(I99:I103)</f>
        <v>0</v>
      </c>
      <c r="J104" s="398">
        <f>SUM(J99:J103)</f>
        <v>0</v>
      </c>
      <c r="K104" s="390"/>
    </row>
    <row r="105" spans="1:11" s="391" customFormat="1">
      <c r="A105" s="396" t="s">
        <v>1054</v>
      </c>
      <c r="B105" s="392">
        <f>'Sources and Uses Budget'!C105</f>
        <v>75243950</v>
      </c>
      <c r="C105" s="398">
        <f>SUM(C97+C104)</f>
        <v>54603950</v>
      </c>
      <c r="D105" s="398">
        <f>SUM(D97+D104)</f>
        <v>20640000</v>
      </c>
      <c r="E105" s="392">
        <f>'Sources and Uses Budget'!S105</f>
        <v>53038950</v>
      </c>
      <c r="F105" s="398">
        <f>F97+F104</f>
        <v>53038950</v>
      </c>
      <c r="G105" s="398">
        <f>G97+G104</f>
        <v>0</v>
      </c>
      <c r="H105" s="392">
        <f>'Sources and Uses Budget'!T105</f>
        <v>20254000</v>
      </c>
      <c r="I105" s="398">
        <f>I97+I104</f>
        <v>20254000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53038950</v>
      </c>
      <c r="F107" s="398">
        <f>F105+F106</f>
        <v>53038950</v>
      </c>
      <c r="G107" s="398">
        <f>G105+G106</f>
        <v>0</v>
      </c>
      <c r="H107" s="392">
        <f>'Sources and Uses Budget'!T107</f>
        <v>20254000</v>
      </c>
      <c r="I107" s="398">
        <f>I105+I106</f>
        <v>20254000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2676"/>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2677"/>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2" priority="5" stopIfTrue="1" operator="notEqual">
      <formula>$C3+$D3</formula>
    </cfRule>
  </conditionalFormatting>
  <conditionalFormatting sqref="E3:E107">
    <cfRule type="cellIs" dxfId="1" priority="2" stopIfTrue="1" operator="notEqual">
      <formula>$F3+$G3</formula>
    </cfRule>
  </conditionalFormatting>
  <conditionalFormatting sqref="H3:H107">
    <cfRule type="cellIs" dxfId="0"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1068</v>
      </c>
      <c r="B2" s="1300"/>
      <c r="C2" s="1274"/>
      <c r="D2" s="1274"/>
      <c r="E2" s="1274"/>
      <c r="F2" s="1274"/>
      <c r="G2" s="1274"/>
    </row>
    <row r="3" spans="1:9" s="173" customFormat="1">
      <c r="A3" s="1300" t="s">
        <v>1009</v>
      </c>
      <c r="B3" s="1300"/>
      <c r="C3" s="1274"/>
      <c r="D3" s="1274"/>
      <c r="E3" s="1274"/>
      <c r="F3" s="1274"/>
      <c r="G3" s="1274"/>
      <c r="I3" t="s">
        <v>308</v>
      </c>
    </row>
    <row r="4" spans="1:9">
      <c r="I4" s="3" t="s">
        <v>1069</v>
      </c>
    </row>
    <row r="5" spans="1:9">
      <c r="A5" s="1302" t="s">
        <v>1010</v>
      </c>
      <c r="B5" s="1302"/>
      <c r="C5" s="1274"/>
      <c r="D5" s="1274"/>
      <c r="E5" s="1274"/>
      <c r="F5" s="1274"/>
      <c r="G5" s="1274"/>
      <c r="I5" s="3" t="s">
        <v>1070</v>
      </c>
    </row>
    <row r="6" spans="1:9">
      <c r="A6" s="1302" t="s">
        <v>828</v>
      </c>
      <c r="B6" s="1302"/>
      <c r="C6" s="1274"/>
      <c r="D6" s="1274"/>
      <c r="E6" s="1274"/>
      <c r="F6" s="1274"/>
      <c r="G6" s="1274"/>
      <c r="I6" t="s">
        <v>599</v>
      </c>
    </row>
    <row r="7" spans="1:9" ht="11.85" customHeight="1"/>
    <row r="8" spans="1:9">
      <c r="A8" s="1300" t="s">
        <v>1165</v>
      </c>
      <c r="B8" s="1300"/>
      <c r="C8" s="1301"/>
      <c r="D8" s="1301"/>
      <c r="E8" s="1301"/>
      <c r="F8" s="1301"/>
      <c r="G8" s="1301"/>
    </row>
    <row r="9" spans="1:9">
      <c r="A9" s="1300" t="s">
        <v>1166</v>
      </c>
      <c r="B9" s="1300"/>
      <c r="C9" s="1301"/>
      <c r="D9" s="1301"/>
      <c r="E9" s="1301"/>
      <c r="F9" s="1301"/>
      <c r="G9" s="1301"/>
    </row>
    <row r="10" spans="1:9">
      <c r="A10" s="174"/>
      <c r="B10" s="174"/>
      <c r="C10" s="172"/>
      <c r="D10" s="172"/>
      <c r="E10" s="172"/>
      <c r="F10" s="172"/>
    </row>
    <row r="11" spans="1:9">
      <c r="A11" s="1281" t="s">
        <v>1168</v>
      </c>
      <c r="B11" s="1281"/>
      <c r="C11" s="1281"/>
      <c r="D11" s="1281"/>
      <c r="E11" s="1281"/>
      <c r="F11" s="1281"/>
      <c r="G11" s="1281"/>
    </row>
    <row r="12" spans="1:9">
      <c r="A12" s="172"/>
      <c r="B12" s="172"/>
      <c r="E12" s="2"/>
    </row>
    <row r="13" spans="1:9" ht="13.35" customHeight="1">
      <c r="C13" s="172"/>
      <c r="D13" s="1314" t="s">
        <v>1167</v>
      </c>
      <c r="E13" s="1314"/>
      <c r="F13" s="1314"/>
    </row>
    <row r="14" spans="1:9">
      <c r="C14" s="172"/>
      <c r="D14" s="1314"/>
      <c r="E14" s="1314"/>
      <c r="F14" s="1314"/>
    </row>
    <row r="15" spans="1:9">
      <c r="A15" s="175"/>
      <c r="B15" s="175"/>
      <c r="C15" s="175"/>
      <c r="D15" s="1277" t="s">
        <v>1150</v>
      </c>
      <c r="E15" s="1277"/>
      <c r="F15" s="1277"/>
    </row>
    <row r="16" spans="1:9">
      <c r="A16" s="175"/>
      <c r="B16" s="175"/>
      <c r="C16" s="175"/>
      <c r="D16" s="218"/>
    </row>
    <row r="17" spans="1:6" ht="14.25">
      <c r="A17" s="176"/>
      <c r="B17" s="468" t="s">
        <v>308</v>
      </c>
      <c r="C17" s="175"/>
      <c r="D17" s="1266" t="s">
        <v>1151</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1152</v>
      </c>
      <c r="E21" s="1309"/>
      <c r="F21" s="1309"/>
    </row>
    <row r="22" spans="1:6" ht="14.25">
      <c r="A22" s="176"/>
      <c r="B22" s="176"/>
      <c r="D22" s="35"/>
    </row>
    <row r="23" spans="1:6" ht="14.25">
      <c r="A23" s="176"/>
      <c r="B23" s="468" t="s">
        <v>308</v>
      </c>
      <c r="D23" s="1266" t="s">
        <v>1153</v>
      </c>
      <c r="E23" s="1266"/>
      <c r="F23" s="1266"/>
    </row>
    <row r="24" spans="1:6" ht="14.25">
      <c r="A24" s="176"/>
      <c r="B24" s="176"/>
      <c r="D24" s="1266"/>
      <c r="E24" s="1266"/>
      <c r="F24" s="1266"/>
    </row>
    <row r="25" spans="1:6"/>
    <row r="26" spans="1:6" ht="14.25">
      <c r="A26" s="176"/>
      <c r="B26" s="468" t="s">
        <v>308</v>
      </c>
      <c r="D26" s="1266" t="s">
        <v>1154</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1155</v>
      </c>
      <c r="E32" s="1266"/>
      <c r="F32" s="1266"/>
    </row>
    <row r="33" spans="1:6">
      <c r="D33" s="1266"/>
      <c r="E33" s="1266"/>
      <c r="F33" s="1266"/>
    </row>
    <row r="34" spans="1:6" ht="14.25">
      <c r="A34" s="176"/>
      <c r="B34" s="176"/>
      <c r="D34" s="220"/>
    </row>
    <row r="35" spans="1:6" ht="14.45" customHeight="1">
      <c r="A35" s="176"/>
      <c r="B35" s="468" t="s">
        <v>308</v>
      </c>
      <c r="D35" s="1266" t="s">
        <v>1156</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1157</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1158</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1159</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1160</v>
      </c>
      <c r="E54" s="1266"/>
      <c r="F54" s="1266"/>
      <c r="G54" s="3"/>
    </row>
    <row r="55" spans="1:7" ht="14.25">
      <c r="A55" s="176"/>
      <c r="B55" s="176"/>
      <c r="C55" s="385"/>
      <c r="D55" s="1266"/>
      <c r="E55" s="1266"/>
      <c r="F55" s="1266"/>
      <c r="G55" s="3"/>
    </row>
    <row r="56" spans="1:7">
      <c r="D56" s="220"/>
    </row>
    <row r="57" spans="1:7" ht="14.25">
      <c r="A57" s="176"/>
      <c r="B57" s="468" t="s">
        <v>308</v>
      </c>
      <c r="D57" s="1266" t="s">
        <v>1161</v>
      </c>
      <c r="E57" s="1266"/>
      <c r="F57" s="1266"/>
    </row>
    <row r="58" spans="1:7">
      <c r="D58" s="1266"/>
      <c r="E58" s="1266"/>
      <c r="F58" s="1266"/>
    </row>
    <row r="59" spans="1:7">
      <c r="D59" s="1266"/>
      <c r="E59" s="1266"/>
      <c r="F59" s="1266"/>
    </row>
    <row r="60" spans="1:7">
      <c r="D60" s="3"/>
    </row>
    <row r="61" spans="1:7" ht="14.25">
      <c r="A61" s="176"/>
      <c r="B61" s="468" t="s">
        <v>308</v>
      </c>
      <c r="D61" s="1266" t="s">
        <v>1162</v>
      </c>
      <c r="E61" s="1266"/>
      <c r="F61" s="1266"/>
    </row>
    <row r="62" spans="1:7">
      <c r="D62" s="1266"/>
      <c r="E62" s="1266"/>
      <c r="F62" s="1266"/>
    </row>
    <row r="63" spans="1:7"/>
    <row r="64" spans="1:7" ht="14.25">
      <c r="A64" s="176"/>
      <c r="B64" s="468" t="s">
        <v>308</v>
      </c>
      <c r="D64" s="1266" t="s">
        <v>1163</v>
      </c>
      <c r="E64" s="1266"/>
      <c r="F64" s="1266"/>
    </row>
    <row r="65" spans="1:7">
      <c r="D65" s="1266"/>
      <c r="E65" s="1266"/>
      <c r="F65" s="1266"/>
    </row>
    <row r="66" spans="1:7">
      <c r="D66" s="1266"/>
      <c r="E66" s="1266"/>
      <c r="F66" s="1266"/>
    </row>
    <row r="67" spans="1:7">
      <c r="D67"/>
    </row>
    <row r="68" spans="1:7" ht="14.25">
      <c r="A68" s="176"/>
      <c r="B68" s="468" t="s">
        <v>308</v>
      </c>
      <c r="D68" s="1266" t="s">
        <v>1164</v>
      </c>
      <c r="E68" s="1266"/>
      <c r="F68" s="1266"/>
    </row>
    <row r="69" spans="1:7">
      <c r="D69" s="1266"/>
      <c r="E69" s="1266"/>
      <c r="F69" s="1266"/>
    </row>
    <row r="70" spans="1:7" ht="14.25">
      <c r="A70" s="176"/>
      <c r="B70" s="176"/>
      <c r="D70" s="35"/>
    </row>
    <row r="71" spans="1:7">
      <c r="A71" s="1281" t="s">
        <v>1071</v>
      </c>
      <c r="B71" s="1281"/>
      <c r="C71" s="1281"/>
      <c r="D71" s="1281"/>
      <c r="E71" s="1281"/>
      <c r="F71" s="1281"/>
      <c r="G71" s="1281"/>
    </row>
    <row r="72" spans="1:7"/>
    <row r="73" spans="1:7">
      <c r="C73" s="177"/>
      <c r="D73" s="1299" t="s">
        <v>1169</v>
      </c>
      <c r="E73" s="1299"/>
      <c r="F73" s="1299"/>
    </row>
    <row r="74" spans="1:7">
      <c r="A74" s="35"/>
      <c r="B74" s="35"/>
      <c r="D74" s="1266" t="s">
        <v>1196</v>
      </c>
      <c r="E74" s="1266"/>
      <c r="F74" s="1266"/>
    </row>
    <row r="75" spans="1:7">
      <c r="A75" s="35"/>
      <c r="B75" s="35"/>
    </row>
    <row r="76" spans="1:7" ht="14.25">
      <c r="A76" s="176"/>
      <c r="B76" s="468" t="s">
        <v>308</v>
      </c>
      <c r="D76" s="1266" t="s">
        <v>1170</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1269</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1171</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1172</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1173</v>
      </c>
      <c r="E114" s="1304"/>
      <c r="F114" s="1304"/>
      <c r="G114"/>
    </row>
    <row r="115" spans="1:7" ht="14.25">
      <c r="A115" s="176"/>
      <c r="B115" s="176"/>
      <c r="C115"/>
      <c r="D115" s="1304"/>
      <c r="E115" s="1304"/>
      <c r="F115" s="1304"/>
      <c r="G115"/>
    </row>
    <row r="116" spans="1:7"/>
    <row r="117" spans="1:7" ht="14.25">
      <c r="A117" s="176"/>
      <c r="B117" s="468" t="s">
        <v>308</v>
      </c>
      <c r="D117" s="1266" t="s">
        <v>1174</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1175</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1283</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1176</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1177</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1178</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1072</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1073</v>
      </c>
      <c r="B172" s="1281"/>
      <c r="C172" s="1281"/>
      <c r="D172" s="1281"/>
      <c r="E172" s="1281"/>
      <c r="F172" s="1281"/>
      <c r="G172" s="1281"/>
    </row>
    <row r="173" spans="1:7" ht="12" customHeight="1">
      <c r="A173" s="2"/>
      <c r="B173" s="2"/>
      <c r="E173" s="2"/>
    </row>
    <row r="174" spans="1:7" ht="13.35" customHeight="1">
      <c r="A174" s="2"/>
      <c r="B174" s="2"/>
      <c r="D174" s="1295" t="s">
        <v>1181</v>
      </c>
      <c r="E174" s="1295"/>
      <c r="F174" s="1295"/>
    </row>
    <row r="175" spans="1:7">
      <c r="A175" s="2"/>
      <c r="B175" s="2"/>
      <c r="D175" s="1295"/>
      <c r="E175" s="1295"/>
      <c r="F175" s="1295"/>
    </row>
    <row r="176" spans="1:7">
      <c r="A176" s="2"/>
      <c r="B176" s="2"/>
      <c r="D176" s="1296" t="s">
        <v>1182</v>
      </c>
      <c r="E176" s="1296"/>
      <c r="F176" s="1296"/>
    </row>
    <row r="177" spans="1:7" ht="12" customHeight="1">
      <c r="A177" s="2"/>
      <c r="B177" s="2"/>
      <c r="E177" s="2"/>
    </row>
    <row r="178" spans="1:7" ht="14.25">
      <c r="A178" s="176"/>
      <c r="B178" s="468" t="s">
        <v>308</v>
      </c>
      <c r="D178" s="1293" t="s">
        <v>1180</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1089</v>
      </c>
      <c r="E183" s="1297"/>
      <c r="F183" s="1297"/>
    </row>
    <row r="184" spans="1:7">
      <c r="D184" s="1297"/>
      <c r="E184" s="1297"/>
      <c r="F184" s="1297"/>
    </row>
    <row r="185" spans="1:7">
      <c r="D185" s="475"/>
      <c r="E185" s="475"/>
      <c r="F185" s="475"/>
    </row>
    <row r="186" spans="1:7" ht="14.25">
      <c r="A186" s="176"/>
      <c r="B186" s="468" t="s">
        <v>308</v>
      </c>
      <c r="C186" s="385"/>
      <c r="D186" s="1266" t="s">
        <v>1179</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1074</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1203</v>
      </c>
      <c r="E194" s="1285"/>
      <c r="F194" s="1285"/>
    </row>
    <row r="195" spans="1:6" ht="12" customHeight="1">
      <c r="A195" s="13"/>
      <c r="B195" s="13"/>
      <c r="C195" s="13"/>
    </row>
    <row r="196" spans="1:6" ht="13.35" customHeight="1">
      <c r="A196" s="13"/>
      <c r="C196" s="13"/>
      <c r="D196" s="1282" t="s">
        <v>554</v>
      </c>
      <c r="E196" s="1282"/>
      <c r="F196" s="1282"/>
    </row>
    <row r="197" spans="1:6" ht="14.25">
      <c r="A197" s="176"/>
      <c r="B197" s="468" t="s">
        <v>308</v>
      </c>
      <c r="D197" s="1266" t="s">
        <v>1197</v>
      </c>
      <c r="E197" s="1266"/>
      <c r="F197" s="1266"/>
    </row>
    <row r="198" spans="1:6" ht="14.25">
      <c r="A198" s="176"/>
      <c r="B198" s="176"/>
      <c r="D198" s="1266"/>
      <c r="E198" s="1266"/>
      <c r="F198" s="1266"/>
    </row>
    <row r="199" spans="1:6"/>
    <row r="200" spans="1:6" ht="14.25">
      <c r="A200" s="176"/>
      <c r="B200" s="468" t="s">
        <v>308</v>
      </c>
      <c r="D200" s="1266" t="s">
        <v>1198</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1199</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1200</v>
      </c>
      <c r="E210" s="1266"/>
      <c r="F210" s="1266"/>
    </row>
    <row r="211" spans="1:7" ht="14.25">
      <c r="A211" s="176"/>
      <c r="B211" s="176"/>
      <c r="D211" s="1266"/>
      <c r="E211" s="1266"/>
      <c r="F211" s="1266"/>
    </row>
    <row r="212" spans="1:7" ht="14.25">
      <c r="A212" s="176"/>
      <c r="B212" s="176"/>
      <c r="D212" s="1298" t="s">
        <v>909</v>
      </c>
      <c r="E212" s="1298"/>
      <c r="F212" s="1298"/>
    </row>
    <row r="213" spans="1:7" ht="14.25">
      <c r="A213" s="176"/>
      <c r="B213" s="176"/>
      <c r="D213" s="35"/>
      <c r="E213" s="35"/>
      <c r="F213" s="35"/>
    </row>
    <row r="214" spans="1:7" ht="14.45" customHeight="1">
      <c r="A214" s="176"/>
      <c r="B214" s="468" t="s">
        <v>308</v>
      </c>
      <c r="D214" s="1266" t="s">
        <v>1202</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1201</v>
      </c>
      <c r="E220" s="1266"/>
      <c r="F220" s="1266"/>
    </row>
    <row r="221" spans="1:7" ht="14.25">
      <c r="A221" s="176"/>
      <c r="B221" s="176"/>
      <c r="D221" s="1266"/>
      <c r="E221" s="1266"/>
      <c r="F221" s="1266"/>
    </row>
    <row r="222" spans="1:7">
      <c r="D222" s="19"/>
    </row>
    <row r="223" spans="1:7">
      <c r="A223" s="1281" t="s">
        <v>1075</v>
      </c>
      <c r="B223" s="1281"/>
      <c r="C223" s="1281"/>
      <c r="D223" s="1281"/>
      <c r="E223" s="1281"/>
      <c r="F223" s="1281"/>
      <c r="G223" s="1281"/>
    </row>
    <row r="224" spans="1:7">
      <c r="D224" s="19"/>
    </row>
    <row r="225" spans="1:6">
      <c r="C225" s="177"/>
      <c r="D225" s="1282" t="s">
        <v>1204</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1205</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1206</v>
      </c>
      <c r="E231" s="1266"/>
      <c r="F231" s="1266"/>
    </row>
    <row r="232" spans="1:6">
      <c r="D232" s="1266"/>
      <c r="E232" s="1266"/>
      <c r="F232" s="1266"/>
    </row>
    <row r="233" spans="1:6">
      <c r="D233" s="1285" t="s">
        <v>901</v>
      </c>
      <c r="E233" s="1285"/>
      <c r="F233" s="1285"/>
    </row>
    <row r="234" spans="1:6">
      <c r="D234" s="35"/>
      <c r="E234" s="35"/>
      <c r="F234" s="35"/>
    </row>
    <row r="235" spans="1:6" ht="14.45" customHeight="1">
      <c r="A235" s="176"/>
      <c r="B235" s="468" t="s">
        <v>308</v>
      </c>
      <c r="D235" s="1266" t="s">
        <v>1208</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1207</v>
      </c>
      <c r="E241" s="1266"/>
      <c r="F241" s="1266"/>
    </row>
    <row r="242" spans="1:7">
      <c r="D242" s="1266"/>
      <c r="E242" s="1266"/>
      <c r="F242" s="1266"/>
    </row>
    <row r="243" spans="1:7">
      <c r="D243" s="1266"/>
      <c r="E243" s="1266"/>
      <c r="F243" s="1266"/>
    </row>
    <row r="244" spans="1:7">
      <c r="D244" s="178"/>
      <c r="E244" s="35"/>
      <c r="F244" s="35"/>
    </row>
    <row r="245" spans="1:7">
      <c r="A245" s="1281" t="s">
        <v>1076</v>
      </c>
      <c r="B245" s="1281"/>
      <c r="C245" s="1281"/>
      <c r="D245" s="1281"/>
      <c r="E245" s="1281"/>
      <c r="F245" s="1281"/>
      <c r="G245" s="1281"/>
    </row>
    <row r="246" spans="1:7">
      <c r="D246" s="178"/>
      <c r="E246" s="35"/>
      <c r="F246" s="35"/>
    </row>
    <row r="247" spans="1:7">
      <c r="C247" s="172"/>
      <c r="D247" s="1299" t="s">
        <v>1209</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1210</v>
      </c>
      <c r="E251" s="1288"/>
      <c r="F251" s="1288"/>
    </row>
    <row r="252" spans="1:7">
      <c r="E252" s="35"/>
      <c r="F252" s="35"/>
    </row>
    <row r="253" spans="1:7" ht="14.25">
      <c r="A253" s="176"/>
      <c r="B253" s="468" t="s">
        <v>308</v>
      </c>
      <c r="D253" s="1266" t="s">
        <v>1211</v>
      </c>
      <c r="E253" s="1266"/>
      <c r="F253" s="1266"/>
    </row>
    <row r="254" spans="1:7" ht="14.25">
      <c r="A254" s="176"/>
      <c r="B254" s="176"/>
      <c r="D254" s="1266"/>
      <c r="E254" s="1266"/>
      <c r="F254" s="1266"/>
    </row>
    <row r="255" spans="1:7">
      <c r="D255" s="35"/>
      <c r="E255" s="35"/>
      <c r="F255" s="35"/>
    </row>
    <row r="256" spans="1:7" ht="14.25">
      <c r="A256" s="176"/>
      <c r="B256" s="468" t="s">
        <v>308</v>
      </c>
      <c r="D256" s="1266" t="s">
        <v>1212</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1213</v>
      </c>
      <c r="E260" s="1266"/>
      <c r="F260" s="1266"/>
    </row>
    <row r="261" spans="1:7" ht="14.25">
      <c r="A261" s="176"/>
      <c r="B261" s="176"/>
      <c r="D261" s="1266"/>
      <c r="E261" s="1266"/>
      <c r="F261" s="1266"/>
    </row>
    <row r="262" spans="1:7">
      <c r="A262" s="13"/>
      <c r="B262" s="13"/>
      <c r="E262" s="35"/>
      <c r="F262" s="35"/>
    </row>
    <row r="263" spans="1:7">
      <c r="A263" s="1281" t="s">
        <v>1077</v>
      </c>
      <c r="B263" s="1281"/>
      <c r="C263" s="1281"/>
      <c r="D263" s="1281"/>
      <c r="E263" s="1281"/>
      <c r="F263" s="1281"/>
      <c r="G263" s="1281"/>
    </row>
    <row r="264" spans="1:7">
      <c r="A264" s="13"/>
      <c r="B264" s="13"/>
      <c r="D264" s="35"/>
      <c r="E264" s="35"/>
      <c r="F264" s="35"/>
    </row>
    <row r="265" spans="1:7">
      <c r="C265" s="13"/>
      <c r="D265" s="1282" t="s">
        <v>690</v>
      </c>
      <c r="E265" s="1282"/>
      <c r="F265" s="1282"/>
    </row>
    <row r="266" spans="1:7">
      <c r="C266" s="13"/>
      <c r="D266" s="1277" t="s">
        <v>1214</v>
      </c>
      <c r="E266" s="1277"/>
      <c r="F266" s="1277"/>
    </row>
    <row r="267" spans="1:7">
      <c r="C267" s="13"/>
      <c r="D267" s="173"/>
    </row>
    <row r="268" spans="1:7">
      <c r="B268" s="468" t="s">
        <v>308</v>
      </c>
      <c r="D268" s="1277" t="s">
        <v>1215</v>
      </c>
      <c r="E268" s="1277"/>
      <c r="F268" s="1277"/>
    </row>
    <row r="269" spans="1:7" ht="14.25">
      <c r="A269" s="176"/>
      <c r="B269" s="176"/>
      <c r="D269" s="341"/>
      <c r="E269" s="342"/>
      <c r="F269" s="342"/>
    </row>
    <row r="270" spans="1:7" ht="13.35" customHeight="1">
      <c r="B270" s="468" t="s">
        <v>308</v>
      </c>
      <c r="D270" s="1286" t="s">
        <v>1216</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35" customHeight="1">
      <c r="B276" s="468" t="s">
        <v>308</v>
      </c>
      <c r="D276" s="1286" t="s">
        <v>1217</v>
      </c>
      <c r="E276" s="1286"/>
      <c r="F276" s="1286"/>
    </row>
    <row r="277" spans="1:6">
      <c r="D277" s="1286"/>
      <c r="E277" s="1286"/>
      <c r="F277" s="1286"/>
    </row>
    <row r="278" spans="1:6" ht="14.25">
      <c r="A278" s="176"/>
      <c r="B278" s="176"/>
      <c r="D278" s="341"/>
      <c r="E278" s="342"/>
      <c r="F278" s="342"/>
    </row>
    <row r="279" spans="1:6">
      <c r="B279" s="468" t="s">
        <v>308</v>
      </c>
      <c r="D279" s="1277" t="s">
        <v>1218</v>
      </c>
      <c r="E279" s="1277"/>
      <c r="F279" s="1277"/>
    </row>
    <row r="280" spans="1:6">
      <c r="E280" s="35"/>
      <c r="F280" s="35"/>
    </row>
    <row r="281" spans="1:6" ht="14.25">
      <c r="A281" s="176"/>
      <c r="B281" s="468" t="s">
        <v>308</v>
      </c>
      <c r="D281" s="1266" t="s">
        <v>1219</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1220</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1221</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998</v>
      </c>
      <c r="E314" s="1289"/>
      <c r="F314" s="1289"/>
      <c r="G314"/>
    </row>
    <row r="315" spans="1:7" ht="13.5" thickTop="1">
      <c r="D315" s="1290" t="s">
        <v>1222</v>
      </c>
      <c r="E315" s="1290"/>
      <c r="F315" s="1290"/>
      <c r="G315"/>
    </row>
    <row r="316" spans="1:7">
      <c r="A316" s="218"/>
      <c r="B316" s="218"/>
      <c r="C316" s="218"/>
      <c r="D316" s="220"/>
      <c r="E316" s="220"/>
      <c r="F316" s="35"/>
      <c r="G316"/>
    </row>
    <row r="317" spans="1:7" ht="14.25">
      <c r="A317" s="176"/>
      <c r="B317" s="468" t="s">
        <v>308</v>
      </c>
      <c r="C317" s="218"/>
      <c r="D317" s="1279" t="s">
        <v>1223</v>
      </c>
      <c r="E317" s="1279"/>
      <c r="F317" s="1279"/>
      <c r="G317"/>
    </row>
    <row r="318" spans="1:7">
      <c r="A318" s="218"/>
      <c r="B318" s="218"/>
      <c r="C318" s="218"/>
      <c r="D318" s="220"/>
      <c r="E318" s="220"/>
      <c r="F318" s="35"/>
      <c r="G318"/>
    </row>
    <row r="319" spans="1:7">
      <c r="A319" s="218"/>
      <c r="B319" s="468" t="s">
        <v>308</v>
      </c>
      <c r="C319" s="218"/>
      <c r="D319" s="1275" t="s">
        <v>1224</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1225</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1226</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35" customHeight="1">
      <c r="A345" s="218"/>
      <c r="B345" s="218"/>
      <c r="C345" s="218"/>
      <c r="D345" s="1275" t="s">
        <v>1227</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1228</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1229</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1230</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1231</v>
      </c>
      <c r="E405" s="1277"/>
      <c r="F405" s="1277"/>
    </row>
    <row r="406" spans="1:7">
      <c r="D406" s="1287" t="s">
        <v>1006</v>
      </c>
      <c r="E406" s="1287"/>
      <c r="F406" s="1287"/>
    </row>
    <row r="407" spans="1:7">
      <c r="D407" s="1266" t="s">
        <v>1232</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1233</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1234</v>
      </c>
      <c r="E416" s="1266"/>
      <c r="F416" s="1266"/>
      <c r="G416"/>
    </row>
    <row r="417" spans="1:7">
      <c r="D417" s="1266"/>
      <c r="E417" s="1266"/>
      <c r="F417" s="1266"/>
      <c r="G417"/>
    </row>
    <row r="418" spans="1:7">
      <c r="D418" s="35"/>
      <c r="E418" s="35"/>
      <c r="F418" s="35"/>
      <c r="G418"/>
    </row>
    <row r="419" spans="1:7" ht="14.25">
      <c r="B419" s="468" t="s">
        <v>308</v>
      </c>
      <c r="C419" s="176"/>
      <c r="D419" s="1266" t="s">
        <v>1235</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1236</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1237</v>
      </c>
      <c r="E440" s="1277"/>
      <c r="F440" s="1277"/>
    </row>
    <row r="441" spans="1:7">
      <c r="A441" s="35"/>
      <c r="B441" s="35"/>
    </row>
    <row r="442" spans="1:7">
      <c r="A442" s="1281" t="s">
        <v>1078</v>
      </c>
      <c r="B442" s="1281"/>
      <c r="C442" s="1281"/>
      <c r="D442" s="1281"/>
      <c r="E442" s="1281"/>
      <c r="F442" s="1281"/>
      <c r="G442" s="1281"/>
    </row>
    <row r="443" spans="1:7">
      <c r="A443" s="35"/>
      <c r="B443" s="35"/>
    </row>
    <row r="444" spans="1:7">
      <c r="D444" s="1278" t="s">
        <v>895</v>
      </c>
      <c r="E444" s="1278"/>
      <c r="F444" s="1278"/>
    </row>
    <row r="445" spans="1:7" ht="14.25">
      <c r="A445" s="176"/>
      <c r="B445" s="176"/>
      <c r="D445" s="1279" t="s">
        <v>1238</v>
      </c>
      <c r="E445" s="1279"/>
      <c r="F445" s="1279"/>
    </row>
    <row r="446" spans="1:7" ht="14.25">
      <c r="A446" s="176"/>
      <c r="B446" s="176"/>
      <c r="D446" s="481"/>
      <c r="E446" s="3"/>
      <c r="F446" s="3"/>
    </row>
    <row r="447" spans="1:7" ht="14.25">
      <c r="A447" s="176"/>
      <c r="B447" s="468" t="s">
        <v>308</v>
      </c>
      <c r="D447" s="1275" t="s">
        <v>1239</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1240</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1241</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1242</v>
      </c>
      <c r="E459" s="1277"/>
      <c r="F459" s="1277"/>
      <c r="G459"/>
    </row>
    <row r="460" spans="1:7" ht="14.25">
      <c r="A460" s="176"/>
      <c r="B460" s="176"/>
      <c r="D460" s="118"/>
      <c r="E460" s="3"/>
      <c r="F460" s="3"/>
      <c r="G460"/>
    </row>
    <row r="461" spans="1:7" ht="14.25">
      <c r="A461" s="176"/>
      <c r="B461" s="468" t="s">
        <v>308</v>
      </c>
      <c r="D461" s="1266" t="s">
        <v>1243</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1244</v>
      </c>
      <c r="E464" s="1277"/>
      <c r="F464" s="1277"/>
      <c r="G464"/>
    </row>
    <row r="465" spans="1:7" ht="14.25">
      <c r="A465" s="176"/>
      <c r="B465" s="176"/>
      <c r="D465" s="35"/>
    </row>
    <row r="466" spans="1:7">
      <c r="A466" s="1281" t="s">
        <v>1079</v>
      </c>
      <c r="B466" s="1281"/>
      <c r="C466" s="1281"/>
      <c r="D466" s="1281"/>
      <c r="E466" s="1281"/>
      <c r="F466" s="1281"/>
      <c r="G466" s="1281"/>
    </row>
    <row r="467" spans="1:7" ht="12" customHeight="1">
      <c r="A467" s="176"/>
      <c r="B467" s="176"/>
      <c r="D467" s="35"/>
    </row>
    <row r="468" spans="1:7">
      <c r="C468" s="172"/>
      <c r="D468" s="1282" t="s">
        <v>802</v>
      </c>
      <c r="E468" s="1282"/>
      <c r="F468" s="1282"/>
    </row>
    <row r="469" spans="1:7" ht="13.35" customHeight="1">
      <c r="A469" s="175"/>
      <c r="B469" s="175"/>
      <c r="C469" s="175"/>
      <c r="D469" s="1283" t="s">
        <v>1122</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1113</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1116</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1114</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1115</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35" customHeight="1">
      <c r="A500" s="175"/>
      <c r="B500" s="468" t="s">
        <v>308</v>
      </c>
      <c r="C500" s="175"/>
      <c r="D500" s="1275" t="s">
        <v>1259</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1117</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1080</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1081</v>
      </c>
      <c r="B514" s="1312"/>
      <c r="C514" s="1312"/>
      <c r="D514" s="1312"/>
      <c r="E514" s="1312"/>
      <c r="F514" s="1312"/>
      <c r="G514" s="1312"/>
    </row>
    <row r="515" spans="1:7">
      <c r="A515" s="35"/>
      <c r="B515" s="35"/>
      <c r="C515" s="179"/>
      <c r="D515" s="35"/>
      <c r="F515" s="35"/>
    </row>
    <row r="516" spans="1:7">
      <c r="C516" s="179"/>
      <c r="D516" s="1282" t="s">
        <v>691</v>
      </c>
      <c r="E516" s="1282"/>
      <c r="F516" s="1282"/>
    </row>
    <row r="517" spans="1:7">
      <c r="C517" s="179"/>
      <c r="D517" s="1277" t="s">
        <v>1138</v>
      </c>
      <c r="E517" s="1277"/>
      <c r="F517" s="1277"/>
    </row>
    <row r="518" spans="1:7">
      <c r="C518" s="179"/>
      <c r="D518" s="118"/>
      <c r="E518" s="118"/>
      <c r="F518" s="118"/>
    </row>
    <row r="519" spans="1:7" ht="13.35" customHeight="1">
      <c r="A519" s="176"/>
      <c r="B519" s="468" t="s">
        <v>308</v>
      </c>
      <c r="C519" s="179"/>
      <c r="D519" s="1277" t="s">
        <v>896</v>
      </c>
      <c r="E519" s="1277"/>
      <c r="F519" s="1277"/>
      <c r="G519"/>
    </row>
    <row r="520" spans="1:7" ht="13.35" customHeight="1">
      <c r="A520" s="179"/>
      <c r="B520" s="179"/>
      <c r="C520" s="179"/>
      <c r="D520" s="118"/>
      <c r="E520"/>
      <c r="F520"/>
      <c r="G520"/>
    </row>
    <row r="521" spans="1:7" ht="14.25">
      <c r="A521" s="176"/>
      <c r="B521" s="468" t="s">
        <v>308</v>
      </c>
      <c r="C521" s="179"/>
      <c r="D521" s="1266" t="s">
        <v>1139</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1140</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1141</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1142</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1260</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1143</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1144</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1145</v>
      </c>
      <c r="E543" s="1277"/>
      <c r="F543" s="1277"/>
    </row>
    <row r="544" spans="1:7">
      <c r="A544" s="13"/>
      <c r="B544" s="13"/>
      <c r="C544" s="179"/>
      <c r="D544" s="1277" t="s">
        <v>829</v>
      </c>
      <c r="E544" s="1277"/>
      <c r="F544" s="1277"/>
    </row>
    <row r="545" spans="1:7">
      <c r="A545" s="13"/>
      <c r="B545" s="13"/>
      <c r="C545" s="179"/>
      <c r="D545" s="3"/>
      <c r="E545" s="1288" t="s">
        <v>1146</v>
      </c>
      <c r="F545" s="1288"/>
    </row>
    <row r="546" spans="1:7" ht="14.25">
      <c r="A546" s="176"/>
      <c r="B546" s="176"/>
      <c r="C546" s="179"/>
      <c r="E546" s="35"/>
      <c r="F546" s="35"/>
    </row>
    <row r="547" spans="1:7" ht="14.25">
      <c r="A547" s="176"/>
      <c r="B547" s="468" t="s">
        <v>308</v>
      </c>
      <c r="C547" s="179"/>
      <c r="D547" s="1277" t="s">
        <v>1147</v>
      </c>
      <c r="E547" s="1277"/>
      <c r="F547" s="1277"/>
    </row>
    <row r="548" spans="1:7">
      <c r="C548" s="179"/>
      <c r="D548" s="1266" t="s">
        <v>1148</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1149</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1082</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1098</v>
      </c>
      <c r="E560" s="1280"/>
      <c r="F560" s="1280"/>
    </row>
    <row r="561" spans="1:6">
      <c r="A561"/>
      <c r="B561"/>
      <c r="C561" s="175"/>
      <c r="D561" s="255"/>
    </row>
    <row r="562" spans="1:6">
      <c r="A562" s="175"/>
      <c r="B562" s="468" t="s">
        <v>308</v>
      </c>
      <c r="D562" s="1280" t="s">
        <v>902</v>
      </c>
      <c r="E562" s="1280"/>
      <c r="F562" s="1280"/>
    </row>
    <row r="563" spans="1:6">
      <c r="A563" s="13"/>
      <c r="B563" s="13"/>
      <c r="D563" s="218"/>
    </row>
    <row r="564" spans="1:6">
      <c r="A564" s="13"/>
      <c r="B564" s="468" t="s">
        <v>308</v>
      </c>
      <c r="D564" s="1280" t="s">
        <v>1099</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1100</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1101</v>
      </c>
      <c r="E573" s="1280"/>
      <c r="F573" s="1280"/>
    </row>
    <row r="574" spans="1:6">
      <c r="A574" s="13"/>
      <c r="B574" s="13"/>
      <c r="D574" s="1280"/>
      <c r="E574" s="1280"/>
      <c r="F574" s="1280"/>
    </row>
    <row r="575" spans="1:6">
      <c r="A575" s="13"/>
      <c r="B575" s="13"/>
      <c r="D575" s="255"/>
    </row>
    <row r="576" spans="1:6">
      <c r="A576" s="13"/>
      <c r="B576" s="468" t="s">
        <v>308</v>
      </c>
      <c r="D576" s="1280" t="s">
        <v>1102</v>
      </c>
      <c r="E576" s="1280"/>
      <c r="F576" s="1280"/>
    </row>
    <row r="577" spans="1:7">
      <c r="A577" s="13"/>
      <c r="B577" s="13"/>
      <c r="D577" s="1280"/>
      <c r="E577" s="1280"/>
      <c r="F577" s="1280"/>
    </row>
    <row r="578" spans="1:7">
      <c r="A578" s="13"/>
      <c r="B578" s="13"/>
      <c r="D578" s="255"/>
    </row>
    <row r="579" spans="1:7" ht="14.25">
      <c r="A579" s="176"/>
      <c r="B579" s="468" t="s">
        <v>308</v>
      </c>
      <c r="D579" s="1280" t="s">
        <v>897</v>
      </c>
      <c r="E579" s="1280"/>
      <c r="F579" s="1280"/>
    </row>
    <row r="580" spans="1:7" ht="14.25">
      <c r="A580" s="176"/>
      <c r="B580" s="176"/>
      <c r="D580" s="255"/>
    </row>
    <row r="581" spans="1:7" ht="14.25">
      <c r="A581" s="176"/>
      <c r="B581" s="468" t="s">
        <v>308</v>
      </c>
      <c r="D581" s="1280" t="s">
        <v>1103</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1083</v>
      </c>
      <c r="B588" s="1281"/>
      <c r="C588" s="1281"/>
      <c r="D588" s="1281"/>
      <c r="E588" s="1281"/>
      <c r="F588" s="1281"/>
      <c r="G588" s="1281"/>
    </row>
    <row r="589" spans="1:7"/>
    <row r="590" spans="1:7">
      <c r="D590" s="1292" t="s">
        <v>1183</v>
      </c>
      <c r="E590" s="1292"/>
      <c r="F590" s="1292"/>
    </row>
    <row r="591" spans="1:7">
      <c r="D591" s="1315" t="s">
        <v>1184</v>
      </c>
      <c r="E591" s="1315"/>
      <c r="F591" s="1315"/>
    </row>
    <row r="592" spans="1:7">
      <c r="D592" s="478"/>
      <c r="E592" s="433"/>
      <c r="F592" s="433"/>
    </row>
    <row r="593" spans="1:7" ht="14.25">
      <c r="A593" s="176"/>
      <c r="B593" s="468" t="s">
        <v>308</v>
      </c>
      <c r="D593" s="1293" t="s">
        <v>1185</v>
      </c>
      <c r="E593" s="1293"/>
      <c r="F593" s="1293"/>
    </row>
    <row r="594" spans="1:7">
      <c r="D594" s="1293"/>
      <c r="E594" s="1293"/>
      <c r="F594" s="1293"/>
    </row>
    <row r="595" spans="1:7">
      <c r="D595" s="1293"/>
      <c r="E595" s="1293"/>
      <c r="F595" s="1293"/>
    </row>
    <row r="596" spans="1:7"/>
    <row r="597" spans="1:7">
      <c r="A597" s="1281" t="s">
        <v>1084</v>
      </c>
      <c r="B597" s="1281"/>
      <c r="C597" s="1281"/>
      <c r="D597" s="1281"/>
      <c r="E597" s="1281"/>
      <c r="F597" s="1281"/>
      <c r="G597" s="1281"/>
    </row>
    <row r="598" spans="1:7">
      <c r="A598" s="35"/>
      <c r="B598" s="35"/>
    </row>
    <row r="599" spans="1:7">
      <c r="A599" s="172"/>
      <c r="B599" s="172"/>
      <c r="C599" s="172"/>
      <c r="D599" s="1316" t="s">
        <v>1186</v>
      </c>
      <c r="E599" s="1316"/>
      <c r="F599" s="1316"/>
    </row>
    <row r="600" spans="1:7">
      <c r="A600" s="172"/>
      <c r="B600" s="172"/>
      <c r="C600" s="172"/>
      <c r="D600" s="1316"/>
      <c r="E600" s="1316"/>
      <c r="F600" s="1316"/>
    </row>
    <row r="601" spans="1:7">
      <c r="C601" s="175"/>
      <c r="D601" s="1315" t="s">
        <v>1187</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1188</v>
      </c>
      <c r="E605" s="1291"/>
      <c r="F605" s="1291"/>
    </row>
    <row r="606" spans="1:7">
      <c r="D606" s="1291"/>
      <c r="E606" s="1291"/>
      <c r="F606" s="1291"/>
    </row>
    <row r="607" spans="1:7">
      <c r="D607"/>
    </row>
    <row r="608" spans="1:7">
      <c r="B608" s="468" t="s">
        <v>308</v>
      </c>
      <c r="D608" s="1291" t="s">
        <v>1189</v>
      </c>
      <c r="E608" s="1291"/>
      <c r="F608" s="1291"/>
    </row>
    <row r="609" spans="1:7">
      <c r="C609" s="180"/>
      <c r="D609" s="1291"/>
      <c r="E609" s="1291"/>
      <c r="F609" s="1291"/>
    </row>
    <row r="610" spans="1:7">
      <c r="C610" s="180"/>
    </row>
    <row r="611" spans="1:7">
      <c r="B611" s="468" t="s">
        <v>308</v>
      </c>
      <c r="C611" s="180"/>
      <c r="D611" s="1291" t="s">
        <v>1190</v>
      </c>
      <c r="E611" s="1291"/>
      <c r="F611" s="1291"/>
    </row>
    <row r="612" spans="1:7">
      <c r="C612" s="180"/>
      <c r="D612" s="1291"/>
      <c r="E612" s="1291"/>
      <c r="F612" s="1291"/>
    </row>
    <row r="613" spans="1:7">
      <c r="C613" s="180"/>
    </row>
    <row r="614" spans="1:7">
      <c r="A614" s="1281" t="s">
        <v>1085</v>
      </c>
      <c r="B614" s="1281"/>
      <c r="C614" s="1281"/>
      <c r="D614" s="1281"/>
      <c r="E614" s="1281"/>
      <c r="F614" s="1281"/>
      <c r="G614" s="1281"/>
    </row>
    <row r="615" spans="1:7">
      <c r="A615" s="172"/>
      <c r="B615" s="172"/>
      <c r="C615" s="172"/>
    </row>
    <row r="616" spans="1:7">
      <c r="C616" s="13"/>
      <c r="D616" s="1292" t="s">
        <v>1191</v>
      </c>
      <c r="E616" s="1292"/>
      <c r="F616" s="1292"/>
    </row>
    <row r="617" spans="1:7">
      <c r="A617" s="13"/>
      <c r="B617" s="13"/>
      <c r="D617" s="2"/>
    </row>
    <row r="618" spans="1:7" ht="14.25">
      <c r="A618" s="176"/>
      <c r="B618" s="468" t="s">
        <v>308</v>
      </c>
      <c r="D618" s="1293" t="s">
        <v>1192</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1193</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1194</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1195</v>
      </c>
      <c r="E633" s="1294"/>
      <c r="F633" s="1294"/>
    </row>
    <row r="634" spans="1:7">
      <c r="A634" s="179"/>
      <c r="B634" s="179"/>
      <c r="C634" s="179"/>
      <c r="D634" s="480"/>
      <c r="E634" s="480"/>
      <c r="F634" s="480"/>
    </row>
    <row r="635" spans="1:7">
      <c r="A635" s="1281" t="s">
        <v>1086</v>
      </c>
      <c r="B635" s="1281"/>
      <c r="C635" s="1281"/>
      <c r="D635" s="1281"/>
      <c r="E635" s="1281"/>
      <c r="F635" s="1281"/>
      <c r="G635" s="1281"/>
    </row>
    <row r="636" spans="1:7">
      <c r="A636" s="35"/>
      <c r="B636" s="35"/>
      <c r="C636" s="179"/>
      <c r="D636" s="35"/>
      <c r="E636" s="35"/>
      <c r="F636" s="35"/>
    </row>
    <row r="637" spans="1:7">
      <c r="C637" s="172"/>
      <c r="D637" s="1282" t="s">
        <v>1245</v>
      </c>
      <c r="E637" s="1282"/>
      <c r="F637" s="1282"/>
    </row>
    <row r="638" spans="1:7">
      <c r="A638" s="175"/>
      <c r="B638" s="175"/>
      <c r="C638" s="175"/>
      <c r="D638" s="1277" t="s">
        <v>1246</v>
      </c>
      <c r="E638" s="1277"/>
      <c r="F638" s="1277"/>
    </row>
    <row r="639" spans="1:7">
      <c r="A639" s="175"/>
      <c r="B639" s="175"/>
      <c r="C639" s="175"/>
      <c r="D639" s="118"/>
      <c r="E639" s="118"/>
      <c r="F639" s="118"/>
    </row>
    <row r="640" spans="1:7" ht="14.45" customHeight="1">
      <c r="A640" s="176"/>
      <c r="B640" s="468" t="s">
        <v>308</v>
      </c>
      <c r="C640" s="179"/>
      <c r="D640" s="1266" t="s">
        <v>1247</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1097</v>
      </c>
      <c r="E646" s="1305"/>
      <c r="F646" s="1305"/>
    </row>
    <row r="647" spans="1:11" ht="14.25">
      <c r="A647" s="176"/>
      <c r="B647" s="176"/>
      <c r="C647" s="179"/>
      <c r="D647" s="1306" t="s">
        <v>1248</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1249</v>
      </c>
      <c r="E652" s="1307"/>
      <c r="F652" s="1307"/>
    </row>
    <row r="653" spans="1:11">
      <c r="A653" s="179"/>
      <c r="B653" s="179"/>
      <c r="C653" s="179"/>
      <c r="D653" s="35"/>
      <c r="E653" s="35"/>
      <c r="F653" s="35"/>
    </row>
    <row r="654" spans="1:11">
      <c r="A654" s="1281" t="s">
        <v>1087</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1123</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898</v>
      </c>
      <c r="E660" s="1277"/>
      <c r="F660" s="1277"/>
      <c r="H660" s="181"/>
      <c r="I660" s="181"/>
      <c r="J660" s="181"/>
      <c r="K660" s="181"/>
    </row>
    <row r="661" spans="1:11">
      <c r="A661" s="175"/>
      <c r="B661" s="175"/>
      <c r="C661" s="175"/>
      <c r="D661" s="1277" t="s">
        <v>908</v>
      </c>
      <c r="E661" s="1277"/>
      <c r="F661" s="1277"/>
      <c r="H661" s="181"/>
      <c r="I661" s="181"/>
      <c r="J661" s="181"/>
      <c r="K661" s="181"/>
    </row>
    <row r="662" spans="1:11">
      <c r="A662" s="175"/>
      <c r="B662" s="175"/>
      <c r="C662" s="175"/>
      <c r="D662" s="3"/>
      <c r="E662" s="1276" t="s">
        <v>1124</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1125</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936</v>
      </c>
      <c r="E669" s="1277"/>
      <c r="F669" s="1277"/>
      <c r="H669" s="181"/>
      <c r="I669" s="181"/>
      <c r="J669" s="181"/>
      <c r="K669" s="181"/>
    </row>
    <row r="670" spans="1:11" ht="14.25">
      <c r="A670" s="176"/>
      <c r="B670" s="176"/>
      <c r="C670" s="175"/>
      <c r="D670" s="1277" t="s">
        <v>908</v>
      </c>
      <c r="E670" s="1277"/>
      <c r="F670" s="1277"/>
      <c r="H670" s="181"/>
      <c r="I670" s="181"/>
      <c r="J670" s="181"/>
      <c r="K670" s="181"/>
    </row>
    <row r="671" spans="1:11">
      <c r="A671" s="175"/>
      <c r="B671" s="175"/>
      <c r="C671" s="175"/>
      <c r="D671" s="3"/>
      <c r="E671" s="1288" t="s">
        <v>1126</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1136</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1127</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1137</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1134</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1135</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1128</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1129</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1130</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1263</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1131</v>
      </c>
      <c r="E724" s="1310"/>
      <c r="F724" s="1310"/>
      <c r="H724" s="181"/>
      <c r="I724" s="181"/>
      <c r="J724" s="181"/>
      <c r="K724" s="181"/>
    </row>
    <row r="725" spans="1:11">
      <c r="A725" s="175"/>
      <c r="B725" s="175"/>
      <c r="C725" s="175"/>
      <c r="D725" s="369"/>
      <c r="H725" s="181"/>
      <c r="I725" s="181"/>
      <c r="J725" s="181"/>
      <c r="K725" s="181"/>
    </row>
    <row r="726" spans="1:11">
      <c r="A726" s="1312" t="s">
        <v>1088</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35" customHeight="1">
      <c r="C728" s="175"/>
      <c r="D728" s="1299" t="s">
        <v>1104</v>
      </c>
      <c r="E728" s="1299"/>
      <c r="F728" s="1299"/>
      <c r="G728" s="183"/>
      <c r="H728" s="181"/>
      <c r="I728" s="181"/>
      <c r="J728" s="181"/>
      <c r="K728" s="181"/>
    </row>
    <row r="729" spans="1:11">
      <c r="A729" s="175"/>
      <c r="B729" s="175"/>
      <c r="C729" s="175"/>
      <c r="D729" s="1309" t="s">
        <v>1105</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1106</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1107</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1108</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1109</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1110</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1111</v>
      </c>
      <c r="B754" s="1281"/>
      <c r="C754" s="1281"/>
      <c r="D754" s="1281"/>
      <c r="E754" s="1281"/>
      <c r="F754" s="1281"/>
      <c r="G754" s="1281"/>
    </row>
    <row r="755" spans="1:11">
      <c r="A755" s="175"/>
      <c r="B755" s="175"/>
      <c r="C755" s="175"/>
      <c r="D755" s="184"/>
      <c r="F755" s="35"/>
      <c r="G755" s="183"/>
    </row>
    <row r="756" spans="1:11">
      <c r="D756" s="1313" t="s">
        <v>1095</v>
      </c>
      <c r="E756" s="1313"/>
      <c r="F756" s="1313"/>
      <c r="G756" s="183"/>
    </row>
    <row r="757" spans="1:11">
      <c r="A757" s="345"/>
      <c r="B757" s="345"/>
      <c r="C757" s="345"/>
      <c r="D757" s="1296" t="s">
        <v>1112</v>
      </c>
      <c r="E757" s="1296"/>
      <c r="F757" s="1296"/>
      <c r="G757" s="183"/>
    </row>
    <row r="758" spans="1:11">
      <c r="D758" s="433"/>
      <c r="E758" s="433"/>
      <c r="F758" s="433"/>
      <c r="G758" s="183"/>
    </row>
    <row r="759" spans="1:11" ht="14.25">
      <c r="A759" s="176"/>
      <c r="B759" s="468" t="s">
        <v>308</v>
      </c>
      <c r="D759" s="1296" t="s">
        <v>1005</v>
      </c>
      <c r="E759" s="1296"/>
      <c r="F759" s="1296"/>
      <c r="G759" s="183"/>
    </row>
    <row r="760" spans="1:11">
      <c r="D760" s="433"/>
      <c r="E760" s="1308" t="s">
        <v>1096</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1004</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885</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2.75"/>
    <row r="5" spans="1:10" ht="12.75" customHeight="1">
      <c r="A5" s="1319" t="s">
        <v>2359</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3" t="s">
        <v>2063</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1295</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1296</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2059</v>
      </c>
      <c r="B72" s="1320"/>
      <c r="C72" s="1320"/>
      <c r="D72" s="1320"/>
      <c r="E72" s="1320"/>
      <c r="F72" s="1320"/>
      <c r="G72" s="1320"/>
      <c r="H72" s="1320"/>
      <c r="I72" s="1320"/>
    </row>
    <row r="73" spans="1:9" ht="12.75">
      <c r="A73" s="1272" t="s">
        <v>2357</v>
      </c>
      <c r="B73" s="1272"/>
      <c r="C73" s="1272"/>
      <c r="D73" s="1272"/>
      <c r="E73" s="1272"/>
    </row>
    <row r="74" spans="1:9" ht="12.75">
      <c r="A74" s="1272" t="s">
        <v>2358</v>
      </c>
      <c r="B74" s="1272"/>
      <c r="C74" s="1272"/>
      <c r="D74" s="1272"/>
      <c r="E74" s="1272"/>
    </row>
    <row r="75" spans="1:9" ht="12.75">
      <c r="A75" s="1272" t="s">
        <v>2060</v>
      </c>
      <c r="B75" s="1272"/>
      <c r="C75" s="1272"/>
      <c r="D75" s="1272"/>
      <c r="E75" s="1272"/>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305" sqref="B305"/>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49" t="s">
        <v>2579</v>
      </c>
      <c r="B2" s="1349"/>
      <c r="C2" s="1349"/>
      <c r="D2" s="1349"/>
      <c r="E2" s="1349"/>
      <c r="F2" s="1349"/>
      <c r="G2" s="1349"/>
      <c r="H2" s="1349"/>
      <c r="I2" s="1349"/>
    </row>
    <row r="3" spans="1:13">
      <c r="A3" s="1337" t="s">
        <v>2625</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1" t="s">
        <v>1168</v>
      </c>
      <c r="B9" s="1281"/>
      <c r="C9" s="1281"/>
      <c r="D9" s="1281"/>
      <c r="E9" s="1281"/>
      <c r="F9" s="1281"/>
      <c r="G9" s="1281"/>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294" t="s">
        <v>1150</v>
      </c>
      <c r="E13" s="1294"/>
      <c r="F13" s="1294"/>
      <c r="M13" s="96"/>
    </row>
    <row r="14" spans="1:13">
      <c r="A14" s="517"/>
      <c r="B14" s="517"/>
      <c r="C14" s="517"/>
      <c r="D14" s="510"/>
      <c r="L14" s="336"/>
    </row>
    <row r="15" spans="1:13" ht="14.25">
      <c r="A15" s="518"/>
      <c r="B15" s="519" t="s">
        <v>2691</v>
      </c>
      <c r="C15" s="517"/>
      <c r="D15" s="1293" t="s">
        <v>2220</v>
      </c>
      <c r="E15" s="1293"/>
      <c r="F15" s="1293"/>
      <c r="I15" s="524" t="s">
        <v>2071</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2218</v>
      </c>
      <c r="F18" s="479"/>
      <c r="I18" s="524"/>
    </row>
    <row r="19" spans="1:9">
      <c r="A19" s="517"/>
      <c r="B19" s="517"/>
      <c r="C19" s="517"/>
      <c r="I19" s="524"/>
    </row>
    <row r="20" spans="1:9" ht="14.25">
      <c r="A20" s="518"/>
      <c r="B20" s="519" t="s">
        <v>2691</v>
      </c>
      <c r="D20" s="1293" t="s">
        <v>2221</v>
      </c>
      <c r="E20" s="1293"/>
      <c r="F20" s="1293"/>
      <c r="I20" s="524" t="s">
        <v>2072</v>
      </c>
    </row>
    <row r="21" spans="1:9" ht="14.25">
      <c r="A21" s="518"/>
      <c r="D21" s="1293"/>
      <c r="E21" s="1293"/>
      <c r="F21" s="1293"/>
      <c r="I21" s="524"/>
    </row>
    <row r="22" spans="1:9" ht="14.25">
      <c r="A22" s="518"/>
      <c r="D22" s="423"/>
      <c r="E22" s="96" t="s">
        <v>2217</v>
      </c>
      <c r="F22" s="423"/>
      <c r="I22" s="524"/>
    </row>
    <row r="23" spans="1:9" ht="14.25">
      <c r="A23" s="518"/>
      <c r="B23" s="518"/>
      <c r="D23" s="480"/>
      <c r="I23" s="524"/>
    </row>
    <row r="24" spans="1:9" ht="14.25">
      <c r="A24" s="518"/>
      <c r="B24" s="519" t="s">
        <v>2692</v>
      </c>
      <c r="D24" s="1293" t="s">
        <v>1153</v>
      </c>
      <c r="E24" s="1293"/>
      <c r="F24" s="1293"/>
      <c r="I24" s="524" t="s">
        <v>2072</v>
      </c>
    </row>
    <row r="25" spans="1:9" ht="14.25">
      <c r="A25" s="518"/>
      <c r="B25" s="518"/>
      <c r="D25" s="1293"/>
      <c r="E25" s="1293"/>
      <c r="F25" s="1293"/>
      <c r="I25" s="524"/>
    </row>
    <row r="26" spans="1:9">
      <c r="I26" s="524"/>
    </row>
    <row r="27" spans="1:9" ht="14.25">
      <c r="A27" s="518"/>
      <c r="B27" s="519" t="s">
        <v>2691</v>
      </c>
      <c r="D27" s="1293" t="s">
        <v>2360</v>
      </c>
      <c r="E27" s="1293"/>
      <c r="F27" s="1293"/>
      <c r="I27" s="524" t="s">
        <v>2075</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2692</v>
      </c>
      <c r="D33" s="1293" t="s">
        <v>2361</v>
      </c>
      <c r="E33" s="1293"/>
      <c r="F33" s="1293"/>
      <c r="I33" s="524" t="s">
        <v>2071</v>
      </c>
    </row>
    <row r="34" spans="1:9">
      <c r="D34" s="1293"/>
      <c r="E34" s="1293"/>
      <c r="F34" s="1293"/>
      <c r="I34" s="524"/>
    </row>
    <row r="35" spans="1:9" ht="14.25">
      <c r="A35" s="518"/>
      <c r="B35" s="518"/>
      <c r="D35" s="481"/>
      <c r="I35" s="524"/>
    </row>
    <row r="36" spans="1:9" ht="14.45" customHeight="1">
      <c r="A36" s="518"/>
      <c r="B36" s="519" t="s">
        <v>2691</v>
      </c>
      <c r="D36" s="1293" t="s">
        <v>1320</v>
      </c>
      <c r="E36" s="1293"/>
      <c r="F36" s="1293"/>
      <c r="I36" s="524" t="s">
        <v>2142</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2692</v>
      </c>
      <c r="D41" s="1293" t="s">
        <v>1157</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2692</v>
      </c>
      <c r="D47" s="1293" t="s">
        <v>1158</v>
      </c>
      <c r="E47" s="1293"/>
      <c r="F47" s="1293"/>
      <c r="I47" s="524" t="s">
        <v>2142</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2691</v>
      </c>
      <c r="D52" s="1293" t="s">
        <v>1159</v>
      </c>
      <c r="E52" s="1293"/>
      <c r="F52" s="1293"/>
      <c r="I52" s="524" t="s">
        <v>2142</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2691</v>
      </c>
      <c r="D56" s="1342" t="s">
        <v>1160</v>
      </c>
      <c r="E56" s="1342"/>
      <c r="F56" s="1342"/>
      <c r="I56" s="524"/>
    </row>
    <row r="57" spans="1:9" ht="14.25">
      <c r="A57" s="518"/>
      <c r="B57" s="518"/>
      <c r="D57" s="1342"/>
      <c r="E57" s="1342"/>
      <c r="F57" s="1342"/>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2692</v>
      </c>
      <c r="D61" s="1293" t="s">
        <v>1161</v>
      </c>
      <c r="E61" s="1293"/>
      <c r="F61" s="1293"/>
      <c r="I61" s="524" t="s">
        <v>2073</v>
      </c>
    </row>
    <row r="62" spans="1:9">
      <c r="D62" s="1293"/>
      <c r="E62" s="1293"/>
      <c r="F62" s="1293"/>
      <c r="I62" s="524"/>
    </row>
    <row r="63" spans="1:9">
      <c r="D63" s="1293"/>
      <c r="E63" s="1293"/>
      <c r="F63" s="1293"/>
      <c r="I63" s="524"/>
    </row>
    <row r="64" spans="1:9">
      <c r="I64" s="524"/>
    </row>
    <row r="65" spans="1:9" ht="14.25">
      <c r="A65" s="518"/>
      <c r="B65" s="519" t="s">
        <v>2692</v>
      </c>
      <c r="D65" s="1293" t="s">
        <v>1162</v>
      </c>
      <c r="E65" s="1293"/>
      <c r="F65" s="1293"/>
      <c r="I65" s="524" t="s">
        <v>2074</v>
      </c>
    </row>
    <row r="66" spans="1:9">
      <c r="D66" s="1293"/>
      <c r="E66" s="1293"/>
      <c r="F66" s="1293"/>
      <c r="I66" s="524"/>
    </row>
    <row r="67" spans="1:9">
      <c r="I67" s="524"/>
    </row>
    <row r="68" spans="1:9" ht="14.25">
      <c r="A68" s="518"/>
      <c r="B68" s="519" t="s">
        <v>2691</v>
      </c>
      <c r="D68" s="1293" t="s">
        <v>1163</v>
      </c>
      <c r="E68" s="1293"/>
      <c r="F68" s="1293"/>
      <c r="I68" s="524"/>
    </row>
    <row r="69" spans="1:9">
      <c r="D69" s="1293"/>
      <c r="E69" s="1293"/>
      <c r="F69" s="1293"/>
      <c r="I69" s="524" t="s">
        <v>2075</v>
      </c>
    </row>
    <row r="70" spans="1:9">
      <c r="D70" s="1293"/>
      <c r="E70" s="1293"/>
      <c r="F70" s="1293"/>
      <c r="I70" s="524"/>
    </row>
    <row r="71" spans="1:9">
      <c r="I71" s="524"/>
    </row>
    <row r="72" spans="1:9" ht="14.25">
      <c r="A72" s="518"/>
      <c r="B72" s="519" t="s">
        <v>2691</v>
      </c>
      <c r="D72" s="1293" t="s">
        <v>1164</v>
      </c>
      <c r="E72" s="1293"/>
      <c r="F72" s="1293"/>
      <c r="I72" s="524" t="s">
        <v>2075</v>
      </c>
    </row>
    <row r="73" spans="1:9">
      <c r="D73" s="1293"/>
      <c r="E73" s="1293"/>
      <c r="F73" s="1293"/>
      <c r="I73" s="524"/>
    </row>
    <row r="74" spans="1:9" ht="14.25">
      <c r="A74" s="518"/>
      <c r="B74" s="518"/>
      <c r="D74" s="480"/>
      <c r="I74" s="524"/>
    </row>
    <row r="75" spans="1:9">
      <c r="A75" s="1281" t="s">
        <v>1071</v>
      </c>
      <c r="B75" s="1281"/>
      <c r="C75" s="1281"/>
      <c r="D75" s="1281"/>
      <c r="E75" s="1281"/>
      <c r="F75" s="1281"/>
      <c r="G75" s="1281"/>
      <c r="H75" s="1063"/>
      <c r="I75" s="1256"/>
    </row>
    <row r="76" spans="1:9">
      <c r="I76" s="524"/>
    </row>
    <row r="77" spans="1:9">
      <c r="C77" s="520"/>
      <c r="D77" s="1295" t="s">
        <v>1169</v>
      </c>
      <c r="E77" s="1295"/>
      <c r="F77" s="1295"/>
      <c r="I77" s="524"/>
    </row>
    <row r="78" spans="1:9">
      <c r="A78" s="480"/>
      <c r="B78" s="480"/>
      <c r="D78" s="1293" t="s">
        <v>1196</v>
      </c>
      <c r="E78" s="1293"/>
      <c r="F78" s="1293"/>
      <c r="I78" s="524"/>
    </row>
    <row r="79" spans="1:9">
      <c r="A79" s="480"/>
      <c r="B79" s="480"/>
      <c r="I79" s="524"/>
    </row>
    <row r="80" spans="1:9" ht="13.7" customHeight="1">
      <c r="A80" s="518"/>
      <c r="B80" s="519" t="s">
        <v>2691</v>
      </c>
      <c r="D80" s="1293" t="s">
        <v>1353</v>
      </c>
      <c r="E80" s="1293"/>
      <c r="F80" s="1293"/>
      <c r="I80" s="524" t="s">
        <v>2076</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2691</v>
      </c>
      <c r="D89" s="1293" t="s">
        <v>1930</v>
      </c>
      <c r="E89" s="1293"/>
      <c r="F89" s="1293"/>
      <c r="I89" s="524" t="s">
        <v>2077</v>
      </c>
    </row>
    <row r="90" spans="1:9" ht="14.25">
      <c r="A90" s="518"/>
      <c r="B90" s="518"/>
      <c r="D90" s="1293"/>
      <c r="E90" s="1293"/>
      <c r="F90" s="1293"/>
      <c r="I90" s="524"/>
    </row>
    <row r="91" spans="1:9" ht="14.25">
      <c r="A91" s="518"/>
      <c r="B91" s="518"/>
      <c r="D91" s="479"/>
      <c r="E91" s="479"/>
      <c r="F91" s="479"/>
      <c r="I91" s="524"/>
    </row>
    <row r="92" spans="1:9" ht="14.25">
      <c r="A92" s="518"/>
      <c r="B92" s="519" t="s">
        <v>2691</v>
      </c>
      <c r="D92" s="1293" t="s">
        <v>1933</v>
      </c>
      <c r="E92" s="1293"/>
      <c r="F92" s="1293"/>
      <c r="I92" s="524" t="s">
        <v>2078</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2691</v>
      </c>
      <c r="D96" s="1293" t="s">
        <v>1932</v>
      </c>
      <c r="E96" s="1293"/>
      <c r="F96" s="1293"/>
      <c r="I96" s="524" t="s">
        <v>2123</v>
      </c>
    </row>
    <row r="97" spans="1:9" s="1022" customFormat="1" ht="14.25">
      <c r="A97" s="1020"/>
      <c r="B97" s="1020"/>
      <c r="C97" s="1021"/>
      <c r="D97" s="1293"/>
      <c r="E97" s="1293"/>
      <c r="F97" s="1293"/>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2692</v>
      </c>
      <c r="D100" s="1293" t="s">
        <v>1931</v>
      </c>
      <c r="E100" s="1293"/>
      <c r="F100" s="1293"/>
      <c r="I100" s="524" t="s">
        <v>2079</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2692</v>
      </c>
      <c r="D103" s="1293" t="s">
        <v>1300</v>
      </c>
      <c r="E103" s="1293"/>
      <c r="F103" s="1293"/>
      <c r="I103" s="524" t="s">
        <v>2080</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2692</v>
      </c>
      <c r="D119" s="1304" t="s">
        <v>1171</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2692</v>
      </c>
      <c r="C128" s="433"/>
      <c r="D128" s="1304" t="s">
        <v>2362</v>
      </c>
      <c r="E128" s="1304"/>
      <c r="F128" s="1304"/>
      <c r="I128" s="524" t="s">
        <v>2081</v>
      </c>
    </row>
    <row r="129" spans="1:9" ht="14.25">
      <c r="A129" s="518"/>
      <c r="B129" s="518"/>
      <c r="C129" s="433"/>
      <c r="D129" s="1304"/>
      <c r="E129" s="1304"/>
      <c r="F129" s="1304"/>
      <c r="I129" s="524"/>
    </row>
    <row r="130" spans="1:9">
      <c r="I130" s="524"/>
    </row>
    <row r="131" spans="1:9" ht="14.25">
      <c r="A131" s="518"/>
      <c r="B131" s="519" t="s">
        <v>2692</v>
      </c>
      <c r="D131" s="1293" t="s">
        <v>1174</v>
      </c>
      <c r="E131" s="1293"/>
      <c r="F131" s="1293"/>
      <c r="I131" s="524" t="s">
        <v>2081</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2691</v>
      </c>
      <c r="D137" s="1293" t="s">
        <v>1175</v>
      </c>
      <c r="E137" s="1293"/>
      <c r="F137" s="1293"/>
      <c r="I137" s="524" t="s">
        <v>2082</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2692</v>
      </c>
      <c r="D151" s="1293" t="s">
        <v>1283</v>
      </c>
      <c r="E151" s="1293"/>
      <c r="F151" s="1293"/>
      <c r="I151" s="524" t="s">
        <v>2083</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2386</v>
      </c>
      <c r="E169" s="1338"/>
      <c r="F169" s="1338"/>
      <c r="G169" s="541"/>
      <c r="I169" s="524"/>
    </row>
    <row r="170" spans="1:9" ht="13.7" customHeight="1">
      <c r="D170" s="1279"/>
      <c r="E170" s="1279"/>
      <c r="F170" s="1279"/>
      <c r="G170" s="1279"/>
      <c r="I170" s="524"/>
    </row>
    <row r="171" spans="1:9" ht="14.45" customHeight="1">
      <c r="A171" s="523"/>
      <c r="B171" s="519" t="s">
        <v>2692</v>
      </c>
      <c r="C171" s="510"/>
      <c r="D171" s="1275" t="s">
        <v>2574</v>
      </c>
      <c r="E171" s="1275"/>
      <c r="F171" s="1275"/>
      <c r="G171" s="510"/>
      <c r="I171" s="524" t="s">
        <v>2078</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2692</v>
      </c>
      <c r="C177" s="510"/>
      <c r="D177" s="1275" t="s">
        <v>1177</v>
      </c>
      <c r="E177" s="1275"/>
      <c r="F177" s="1275"/>
      <c r="G177" s="510"/>
      <c r="I177" s="524" t="s">
        <v>2084</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2692</v>
      </c>
      <c r="D182" s="1280" t="s">
        <v>2363</v>
      </c>
      <c r="E182" s="1280"/>
      <c r="F182" s="1280"/>
      <c r="I182" s="524" t="s">
        <v>2085</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2364</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2064</v>
      </c>
      <c r="C189" s="423"/>
      <c r="D189" s="423"/>
      <c r="E189" s="423"/>
      <c r="F189" s="423"/>
      <c r="I189" s="524"/>
    </row>
    <row r="190" spans="1:9" ht="12" customHeight="1">
      <c r="A190" s="516"/>
      <c r="B190" s="516"/>
      <c r="C190" s="516"/>
      <c r="I190" s="524"/>
    </row>
    <row r="191" spans="1:9">
      <c r="A191" s="1281" t="s">
        <v>1073</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1934</v>
      </c>
      <c r="E193" s="1295"/>
      <c r="F193" s="1295"/>
      <c r="I193" s="524"/>
    </row>
    <row r="194" spans="1:9">
      <c r="A194" s="435"/>
      <c r="B194" s="435"/>
      <c r="D194" s="1295"/>
      <c r="E194" s="1295"/>
      <c r="F194" s="1295"/>
      <c r="I194" s="524"/>
    </row>
    <row r="195" spans="1:9">
      <c r="A195" s="435"/>
      <c r="B195" s="435"/>
      <c r="D195" s="1296" t="s">
        <v>1301</v>
      </c>
      <c r="E195" s="1296"/>
      <c r="F195" s="1296"/>
      <c r="I195" s="524"/>
    </row>
    <row r="196" spans="1:9">
      <c r="A196" s="435"/>
      <c r="B196" s="435"/>
      <c r="D196" s="423"/>
      <c r="E196" s="423"/>
      <c r="F196" s="423"/>
      <c r="I196" s="524"/>
    </row>
    <row r="197" spans="1:9">
      <c r="A197" s="435"/>
      <c r="B197" s="519" t="s">
        <v>2692</v>
      </c>
      <c r="D197" s="1277" t="s">
        <v>1935</v>
      </c>
      <c r="E197" s="1277"/>
      <c r="F197" s="1277"/>
      <c r="I197" s="524" t="s">
        <v>2134</v>
      </c>
    </row>
    <row r="198" spans="1:9">
      <c r="A198" s="435"/>
      <c r="B198" s="435"/>
      <c r="D198" s="1309" t="s">
        <v>2200</v>
      </c>
      <c r="E198" s="1309"/>
      <c r="F198" s="1309"/>
      <c r="I198" s="524"/>
    </row>
    <row r="199" spans="1:9">
      <c r="A199" s="435"/>
      <c r="B199" s="435"/>
      <c r="D199" s="96" t="s">
        <v>1936</v>
      </c>
      <c r="E199" s="1341" t="s">
        <v>2223</v>
      </c>
      <c r="F199" s="1341"/>
      <c r="I199" s="524"/>
    </row>
    <row r="200" spans="1:9">
      <c r="A200" s="435"/>
      <c r="B200" s="435"/>
      <c r="D200" s="3"/>
      <c r="E200" s="3"/>
      <c r="F200" s="3"/>
      <c r="I200" s="524"/>
    </row>
    <row r="201" spans="1:9">
      <c r="A201" s="435"/>
      <c r="B201" s="519" t="s">
        <v>2692</v>
      </c>
      <c r="D201" s="1309" t="s">
        <v>1937</v>
      </c>
      <c r="E201" s="1309"/>
      <c r="F201" s="1309"/>
      <c r="I201" s="524" t="s">
        <v>2135</v>
      </c>
    </row>
    <row r="202" spans="1:9">
      <c r="A202" s="435"/>
      <c r="B202" s="435"/>
      <c r="D202" s="1277" t="s">
        <v>2200</v>
      </c>
      <c r="E202" s="1277"/>
      <c r="F202" s="1277"/>
      <c r="I202" s="524"/>
    </row>
    <row r="203" spans="1:9">
      <c r="A203" s="435"/>
      <c r="B203" s="435"/>
      <c r="D203" s="57" t="s">
        <v>1938</v>
      </c>
      <c r="E203" s="1341" t="s">
        <v>2224</v>
      </c>
      <c r="F203" s="1341"/>
      <c r="I203" s="524"/>
    </row>
    <row r="204" spans="1:9">
      <c r="A204" s="435"/>
      <c r="B204" s="435"/>
      <c r="D204" s="3"/>
      <c r="E204" s="3"/>
      <c r="F204" s="3"/>
      <c r="I204" s="524"/>
    </row>
    <row r="205" spans="1:9">
      <c r="A205" s="435"/>
      <c r="B205" s="519" t="s">
        <v>2691</v>
      </c>
      <c r="D205" s="1309" t="s">
        <v>1939</v>
      </c>
      <c r="E205" s="1309"/>
      <c r="F205" s="1309"/>
      <c r="I205" s="524" t="s">
        <v>2136</v>
      </c>
    </row>
    <row r="206" spans="1:9">
      <c r="A206" s="435"/>
      <c r="B206" s="435"/>
      <c r="D206" s="1277" t="s">
        <v>2200</v>
      </c>
      <c r="E206" s="1277"/>
      <c r="F206" s="1277"/>
      <c r="I206" s="524"/>
    </row>
    <row r="207" spans="1:9">
      <c r="A207" s="435"/>
      <c r="B207" s="435"/>
      <c r="D207" s="57" t="s">
        <v>1936</v>
      </c>
      <c r="E207" s="1341" t="s">
        <v>2225</v>
      </c>
      <c r="F207" s="1341"/>
      <c r="I207" s="524"/>
    </row>
    <row r="208" spans="1:9">
      <c r="A208" s="435"/>
      <c r="B208" s="435"/>
      <c r="D208" s="423"/>
      <c r="E208" s="423"/>
      <c r="F208" s="423"/>
      <c r="I208" s="524"/>
    </row>
    <row r="209" spans="1:9" ht="14.25" customHeight="1">
      <c r="A209" s="518"/>
      <c r="B209" s="519" t="s">
        <v>2692</v>
      </c>
      <c r="D209" s="417" t="s">
        <v>2193</v>
      </c>
      <c r="E209" s="416"/>
      <c r="F209" s="416"/>
      <c r="I209" s="524" t="s">
        <v>2137</v>
      </c>
    </row>
    <row r="210" spans="1:9" ht="14.25">
      <c r="A210" s="518"/>
      <c r="B210" s="518"/>
      <c r="D210" s="1277" t="s">
        <v>2200</v>
      </c>
      <c r="E210" s="1277"/>
      <c r="F210" s="1277"/>
      <c r="I210" s="524"/>
    </row>
    <row r="211" spans="1:9">
      <c r="D211" s="416"/>
      <c r="E211" s="1341" t="s">
        <v>2226</v>
      </c>
      <c r="F211" s="1341"/>
      <c r="I211" s="524"/>
    </row>
    <row r="212" spans="1:9">
      <c r="D212" s="481"/>
      <c r="I212" s="524"/>
    </row>
    <row r="213" spans="1:9">
      <c r="B213" s="519" t="s">
        <v>2692</v>
      </c>
      <c r="D213" s="1309" t="s">
        <v>1940</v>
      </c>
      <c r="E213" s="1309"/>
      <c r="F213" s="1309"/>
      <c r="I213" s="524" t="s">
        <v>2138</v>
      </c>
    </row>
    <row r="214" spans="1:9">
      <c r="D214" s="1277" t="s">
        <v>2200</v>
      </c>
      <c r="E214" s="1277"/>
      <c r="F214" s="1277"/>
      <c r="I214" s="524"/>
    </row>
    <row r="215" spans="1:9">
      <c r="D215" s="57" t="s">
        <v>1936</v>
      </c>
      <c r="E215" s="1341" t="s">
        <v>2227</v>
      </c>
      <c r="F215" s="1341"/>
      <c r="I215" s="524"/>
    </row>
    <row r="216" spans="1:9">
      <c r="D216" s="485"/>
      <c r="E216" s="485"/>
      <c r="F216" s="485"/>
      <c r="I216" s="524"/>
    </row>
    <row r="217" spans="1:9" ht="14.25">
      <c r="A217" s="518"/>
      <c r="B217" s="519" t="s">
        <v>2691</v>
      </c>
      <c r="D217" s="1293" t="s">
        <v>1322</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1074</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1203</v>
      </c>
      <c r="E225" s="1294"/>
      <c r="F225" s="1294"/>
      <c r="I225" s="524"/>
    </row>
    <row r="226" spans="1:9" ht="12" customHeight="1">
      <c r="A226" s="524"/>
      <c r="B226" s="524"/>
      <c r="C226" s="524"/>
      <c r="I226" s="524"/>
    </row>
    <row r="227" spans="1:9" ht="13.7" customHeight="1">
      <c r="A227" s="524"/>
      <c r="C227" s="524"/>
      <c r="D227" s="1292" t="s">
        <v>554</v>
      </c>
      <c r="E227" s="1292"/>
      <c r="F227" s="1292"/>
      <c r="I227" s="524" t="s">
        <v>2086</v>
      </c>
    </row>
    <row r="228" spans="1:9" ht="14.25">
      <c r="A228" s="518"/>
      <c r="B228" s="519" t="s">
        <v>2691</v>
      </c>
      <c r="D228" s="1293" t="s">
        <v>1941</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2691</v>
      </c>
      <c r="D233" s="1293" t="s">
        <v>1942</v>
      </c>
      <c r="E233" s="1293"/>
      <c r="F233" s="1293"/>
      <c r="I233" s="524" t="s">
        <v>2087</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1199</v>
      </c>
      <c r="E239" s="1293"/>
      <c r="F239" s="1293"/>
      <c r="I239" s="524" t="s">
        <v>2086</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2692</v>
      </c>
      <c r="D245" s="1293" t="s">
        <v>2365</v>
      </c>
      <c r="E245" s="1293"/>
      <c r="F245" s="1293"/>
      <c r="I245" s="524" t="s">
        <v>2125</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2692</v>
      </c>
      <c r="D250" s="1293" t="s">
        <v>2366</v>
      </c>
      <c r="E250" s="1293"/>
      <c r="F250" s="1293"/>
      <c r="I250" s="524" t="s">
        <v>2143</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2691</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2691</v>
      </c>
      <c r="D259" s="1293" t="s">
        <v>1201</v>
      </c>
      <c r="E259" s="1293"/>
      <c r="F259" s="1293"/>
      <c r="I259" s="524"/>
    </row>
    <row r="260" spans="1:9" ht="14.25">
      <c r="A260" s="518"/>
      <c r="B260" s="518"/>
      <c r="D260" s="1293"/>
      <c r="E260" s="1293"/>
      <c r="F260" s="1293"/>
      <c r="I260" s="524"/>
    </row>
    <row r="261" spans="1:9">
      <c r="D261" s="525"/>
      <c r="I261" s="524"/>
    </row>
    <row r="262" spans="1:9">
      <c r="A262" s="1281" t="s">
        <v>1075</v>
      </c>
      <c r="B262" s="1281"/>
      <c r="C262" s="1281"/>
      <c r="D262" s="1281"/>
      <c r="E262" s="1281"/>
      <c r="F262" s="1281"/>
      <c r="G262" s="1281"/>
      <c r="H262" s="1063"/>
      <c r="I262" s="1256"/>
    </row>
    <row r="263" spans="1:9">
      <c r="D263" s="525"/>
      <c r="I263" s="524"/>
    </row>
    <row r="264" spans="1:9">
      <c r="C264" s="520"/>
      <c r="D264" s="1292" t="s">
        <v>1204</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2126</v>
      </c>
    </row>
    <row r="267" spans="1:9" ht="14.45" customHeight="1">
      <c r="A267" s="518"/>
      <c r="B267" s="519" t="s">
        <v>2691</v>
      </c>
      <c r="D267" s="1293" t="s">
        <v>1302</v>
      </c>
      <c r="E267" s="1293"/>
      <c r="F267" s="1293"/>
      <c r="I267" s="524"/>
    </row>
    <row r="268" spans="1:9">
      <c r="D268" s="1293"/>
      <c r="E268" s="1293"/>
      <c r="F268" s="1293"/>
      <c r="I268" s="524"/>
    </row>
    <row r="269" spans="1:9">
      <c r="E269" s="1071" t="s">
        <v>2196</v>
      </c>
      <c r="I269" s="524"/>
    </row>
    <row r="270" spans="1:9">
      <c r="D270" s="480"/>
      <c r="E270" s="480"/>
      <c r="F270" s="480"/>
      <c r="I270" s="524"/>
    </row>
    <row r="271" spans="1:9" ht="14.45" customHeight="1">
      <c r="A271" s="518"/>
      <c r="B271" s="519" t="s">
        <v>2692</v>
      </c>
      <c r="D271" s="1293" t="s">
        <v>2368</v>
      </c>
      <c r="E271" s="1293"/>
      <c r="F271" s="1293"/>
      <c r="I271" s="524" t="s">
        <v>2144</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2692</v>
      </c>
      <c r="D278" s="1293" t="s">
        <v>1207</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1076</v>
      </c>
      <c r="B282" s="1281"/>
      <c r="C282" s="1281"/>
      <c r="D282" s="1281"/>
      <c r="E282" s="1281"/>
      <c r="F282" s="1281"/>
      <c r="G282" s="1281"/>
      <c r="H282" s="1063"/>
      <c r="I282" s="1256"/>
    </row>
    <row r="283" spans="1:9">
      <c r="D283" s="526"/>
      <c r="E283" s="480"/>
      <c r="F283" s="480"/>
      <c r="I283" s="524"/>
    </row>
    <row r="284" spans="1:9">
      <c r="C284" s="516"/>
      <c r="D284" s="1295" t="s">
        <v>1209</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1210</v>
      </c>
      <c r="E288" s="1344"/>
      <c r="F288" s="1344"/>
      <c r="I288" s="524"/>
    </row>
    <row r="289" spans="1:9">
      <c r="E289" s="480"/>
      <c r="F289" s="480"/>
      <c r="I289" s="524"/>
    </row>
    <row r="290" spans="1:9" ht="14.25">
      <c r="A290" s="518"/>
      <c r="B290" s="519" t="s">
        <v>2691</v>
      </c>
      <c r="D290" s="1293" t="s">
        <v>1211</v>
      </c>
      <c r="E290" s="1293"/>
      <c r="F290" s="1293"/>
      <c r="I290" s="524" t="s">
        <v>2088</v>
      </c>
    </row>
    <row r="291" spans="1:9" ht="14.25">
      <c r="A291" s="518"/>
      <c r="B291" s="518"/>
      <c r="D291" s="1293"/>
      <c r="E291" s="1293"/>
      <c r="F291" s="1293"/>
      <c r="I291" s="524"/>
    </row>
    <row r="292" spans="1:9">
      <c r="D292" s="480"/>
      <c r="E292" s="480"/>
      <c r="F292" s="480"/>
      <c r="I292" s="524"/>
    </row>
    <row r="293" spans="1:9" ht="14.25">
      <c r="A293" s="518"/>
      <c r="B293" s="519" t="s">
        <v>2691</v>
      </c>
      <c r="D293" s="1293" t="s">
        <v>1212</v>
      </c>
      <c r="E293" s="1293"/>
      <c r="F293" s="1293"/>
      <c r="I293" s="524" t="s">
        <v>2088</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2692</v>
      </c>
      <c r="D297" s="1293" t="s">
        <v>1213</v>
      </c>
      <c r="E297" s="1293"/>
      <c r="F297" s="1293"/>
      <c r="I297" s="524" t="s">
        <v>2088</v>
      </c>
    </row>
    <row r="298" spans="1:9" ht="14.25">
      <c r="A298" s="518"/>
      <c r="B298" s="518"/>
      <c r="D298" s="1293"/>
      <c r="E298" s="1293"/>
      <c r="F298" s="1293"/>
      <c r="I298" s="524"/>
    </row>
    <row r="299" spans="1:9">
      <c r="A299" s="524"/>
      <c r="B299" s="524"/>
      <c r="E299" s="480"/>
      <c r="F299" s="480"/>
      <c r="I299" s="524"/>
    </row>
    <row r="300" spans="1:9">
      <c r="A300" s="1281" t="s">
        <v>1077</v>
      </c>
      <c r="B300" s="1281"/>
      <c r="C300" s="1281"/>
      <c r="D300" s="1281"/>
      <c r="E300" s="1281"/>
      <c r="F300" s="1281"/>
      <c r="G300" s="1281"/>
      <c r="H300" s="1063"/>
      <c r="I300" s="1256"/>
    </row>
    <row r="301" spans="1:9">
      <c r="A301" s="524"/>
      <c r="B301" s="524"/>
      <c r="D301" s="480"/>
      <c r="E301" s="480"/>
      <c r="F301" s="480"/>
      <c r="I301" s="524"/>
    </row>
    <row r="302" spans="1:9">
      <c r="C302" s="524"/>
      <c r="D302" s="1292" t="s">
        <v>690</v>
      </c>
      <c r="E302" s="1292"/>
      <c r="F302" s="1292"/>
      <c r="I302" s="524"/>
    </row>
    <row r="303" spans="1:9">
      <c r="C303" s="524"/>
      <c r="D303" s="1294" t="s">
        <v>1214</v>
      </c>
      <c r="E303" s="1294"/>
      <c r="F303" s="1294"/>
      <c r="I303" s="524"/>
    </row>
    <row r="304" spans="1:9">
      <c r="C304" s="524"/>
      <c r="D304" s="527"/>
      <c r="I304" s="524"/>
    </row>
    <row r="305" spans="1:9">
      <c r="B305" s="519" t="s">
        <v>2692</v>
      </c>
      <c r="D305" s="1294" t="s">
        <v>1215</v>
      </c>
      <c r="E305" s="1294"/>
      <c r="F305" s="1294"/>
      <c r="I305" s="524" t="s">
        <v>2089</v>
      </c>
    </row>
    <row r="306" spans="1:9" ht="14.25">
      <c r="A306" s="518"/>
      <c r="B306" s="518"/>
      <c r="D306" s="528"/>
      <c r="E306" s="529"/>
      <c r="F306" s="529"/>
      <c r="I306" s="524"/>
    </row>
    <row r="307" spans="1:9" ht="13.7" customHeight="1">
      <c r="B307" s="519" t="s">
        <v>2692</v>
      </c>
      <c r="D307" s="1347" t="s">
        <v>1325</v>
      </c>
      <c r="E307" s="1347"/>
      <c r="F307" s="1347"/>
      <c r="I307" s="524" t="s">
        <v>2089</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2692</v>
      </c>
      <c r="D313" s="1347" t="s">
        <v>1217</v>
      </c>
      <c r="E313" s="1347"/>
      <c r="F313" s="1347"/>
      <c r="I313" s="524" t="s">
        <v>2089</v>
      </c>
    </row>
    <row r="314" spans="1:9">
      <c r="D314" s="1347"/>
      <c r="E314" s="1347"/>
      <c r="F314" s="1347"/>
      <c r="I314" s="524"/>
    </row>
    <row r="315" spans="1:9" ht="14.25">
      <c r="A315" s="518"/>
      <c r="B315" s="518"/>
      <c r="D315" s="528"/>
      <c r="E315" s="529"/>
      <c r="F315" s="529"/>
      <c r="I315" s="524"/>
    </row>
    <row r="316" spans="1:9">
      <c r="B316" s="519" t="s">
        <v>2692</v>
      </c>
      <c r="D316" s="1294" t="s">
        <v>1218</v>
      </c>
      <c r="E316" s="1294"/>
      <c r="F316" s="1294"/>
      <c r="I316" s="524" t="s">
        <v>2075</v>
      </c>
    </row>
    <row r="317" spans="1:9">
      <c r="E317" s="480"/>
      <c r="F317" s="480"/>
      <c r="I317" s="524"/>
    </row>
    <row r="318" spans="1:9" ht="14.25">
      <c r="A318" s="518"/>
      <c r="B318" s="519" t="s">
        <v>2692</v>
      </c>
      <c r="D318" s="1293" t="s">
        <v>2387</v>
      </c>
      <c r="E318" s="1293"/>
      <c r="F318" s="1293"/>
      <c r="I318" s="524" t="s">
        <v>2090</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2692</v>
      </c>
      <c r="D334" s="1293" t="s">
        <v>1220</v>
      </c>
      <c r="E334" s="1293"/>
      <c r="F334" s="1293"/>
      <c r="I334" s="524" t="s">
        <v>2090</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2692</v>
      </c>
      <c r="D344" s="1293" t="s">
        <v>2201</v>
      </c>
      <c r="E344" s="1293"/>
      <c r="F344" s="1293"/>
      <c r="I344" s="524" t="s">
        <v>2127</v>
      </c>
    </row>
    <row r="345" spans="1:9">
      <c r="D345" s="1293"/>
      <c r="E345" s="1293"/>
      <c r="F345" s="1293"/>
      <c r="I345" s="524"/>
    </row>
    <row r="346" spans="1:9">
      <c r="D346" s="1293"/>
      <c r="E346" s="1293"/>
      <c r="F346" s="1293"/>
      <c r="I346" s="524"/>
    </row>
    <row r="347" spans="1:9">
      <c r="D347" s="1293"/>
      <c r="E347" s="1293"/>
      <c r="F347" s="1293"/>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3" t="s">
        <v>998</v>
      </c>
      <c r="E351" s="1343"/>
      <c r="F351" s="1343"/>
      <c r="G351" s="1062"/>
      <c r="H351" s="1062"/>
      <c r="I351" s="1259"/>
    </row>
    <row r="352" spans="1:9" ht="13.5" thickTop="1">
      <c r="D352" s="1348" t="s">
        <v>1222</v>
      </c>
      <c r="E352" s="1348"/>
      <c r="F352" s="1348"/>
      <c r="I352" s="524"/>
    </row>
    <row r="353" spans="1:9">
      <c r="D353" s="480"/>
      <c r="E353" s="480"/>
      <c r="F353" s="480"/>
      <c r="I353" s="524"/>
    </row>
    <row r="354" spans="1:9">
      <c r="A354" s="510"/>
      <c r="B354" s="510"/>
      <c r="C354" s="510"/>
      <c r="D354" s="481"/>
      <c r="E354" s="481"/>
      <c r="F354" s="480"/>
      <c r="I354" s="524" t="s">
        <v>2091</v>
      </c>
    </row>
    <row r="355" spans="1:9" ht="14.25">
      <c r="A355" s="518"/>
      <c r="B355" s="519" t="s">
        <v>2692</v>
      </c>
      <c r="C355" s="521"/>
      <c r="D355" s="1294" t="s">
        <v>2199</v>
      </c>
      <c r="E355" s="1294"/>
      <c r="F355" s="1294"/>
      <c r="I355" s="1350" t="s">
        <v>2141</v>
      </c>
    </row>
    <row r="356" spans="1:9" ht="12.75" customHeight="1">
      <c r="D356" s="1072"/>
      <c r="E356" s="96" t="s">
        <v>2198</v>
      </c>
      <c r="F356" s="1072"/>
      <c r="I356" s="1351"/>
    </row>
    <row r="357" spans="1:9">
      <c r="D357" s="1293" t="s">
        <v>1346</v>
      </c>
      <c r="E357" s="1293"/>
      <c r="F357" s="1293"/>
      <c r="I357" s="1351"/>
    </row>
    <row r="358" spans="1:9">
      <c r="D358" s="1293"/>
      <c r="E358" s="1293"/>
      <c r="F358" s="1293"/>
      <c r="I358" s="1351"/>
    </row>
    <row r="359" spans="1:9">
      <c r="D359" s="1293"/>
      <c r="E359" s="1293"/>
      <c r="F359" s="1293"/>
      <c r="I359" s="1352"/>
    </row>
    <row r="360" spans="1:9" ht="14.25">
      <c r="A360" s="518"/>
      <c r="B360" s="519" t="s">
        <v>2692</v>
      </c>
      <c r="C360" s="510"/>
      <c r="D360" s="1279" t="s">
        <v>2369</v>
      </c>
      <c r="E360" s="1279"/>
      <c r="F360" s="1279"/>
      <c r="I360" s="514"/>
    </row>
    <row r="361" spans="1:9">
      <c r="A361" s="510"/>
      <c r="B361" s="510"/>
      <c r="C361" s="510"/>
      <c r="D361" s="481"/>
      <c r="E361" s="481"/>
      <c r="F361" s="480"/>
      <c r="I361" s="524"/>
    </row>
    <row r="362" spans="1:9">
      <c r="A362" s="510"/>
      <c r="B362" s="519" t="s">
        <v>2692</v>
      </c>
      <c r="C362" s="510"/>
      <c r="D362" s="1275" t="s">
        <v>2370</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6" customHeight="1">
      <c r="A375" s="510"/>
      <c r="B375" s="519" t="s">
        <v>2692</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2692</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2692</v>
      </c>
      <c r="C387" s="510"/>
      <c r="D387" s="1275" t="s">
        <v>1225</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1226</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1227</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2692</v>
      </c>
      <c r="C420" s="510"/>
      <c r="D420" s="1275" t="s">
        <v>1228</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2692</v>
      </c>
      <c r="D423" s="1275" t="s">
        <v>2128</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2692</v>
      </c>
      <c r="C429" s="510"/>
      <c r="D429" s="1275" t="s">
        <v>1347</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2388</v>
      </c>
      <c r="E433" s="1275"/>
      <c r="F433" s="1275"/>
      <c r="I433" s="524"/>
    </row>
    <row r="434" spans="1:9">
      <c r="D434" s="480"/>
      <c r="E434" s="480"/>
      <c r="F434" s="480"/>
      <c r="I434" s="524"/>
    </row>
    <row r="435" spans="1:9" ht="14.25">
      <c r="A435" s="518"/>
      <c r="B435" s="519" t="s">
        <v>2692</v>
      </c>
      <c r="C435" s="521"/>
      <c r="D435" s="1293" t="s">
        <v>2371</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2692</v>
      </c>
      <c r="C467" s="521"/>
      <c r="D467" s="1293" t="s">
        <v>1233</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2692</v>
      </c>
      <c r="C471" s="518"/>
      <c r="D471" s="1293" t="s">
        <v>1303</v>
      </c>
      <c r="E471" s="1293"/>
      <c r="F471" s="1293"/>
      <c r="I471" s="524"/>
    </row>
    <row r="472" spans="1:9">
      <c r="D472" s="1293"/>
      <c r="E472" s="1293"/>
      <c r="F472" s="1293"/>
      <c r="I472" s="524"/>
    </row>
    <row r="473" spans="1:9">
      <c r="D473" s="480"/>
      <c r="E473" s="480"/>
      <c r="F473" s="480"/>
      <c r="I473" s="524"/>
    </row>
    <row r="474" spans="1:9" ht="14.25">
      <c r="B474" s="519" t="s">
        <v>2692</v>
      </c>
      <c r="C474" s="518"/>
      <c r="D474" s="1293" t="s">
        <v>1235</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2692</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2692</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2692</v>
      </c>
      <c r="C486" s="433"/>
      <c r="D486" s="1293"/>
      <c r="E486" s="1293"/>
      <c r="F486" s="1293"/>
      <c r="I486" s="524"/>
    </row>
    <row r="487" spans="1:9">
      <c r="A487" s="433"/>
      <c r="C487" s="433"/>
      <c r="D487" s="1293"/>
      <c r="E487" s="1293"/>
      <c r="F487" s="1293"/>
      <c r="I487" s="524"/>
    </row>
    <row r="488" spans="1:9">
      <c r="A488" s="433"/>
      <c r="B488" s="519" t="s">
        <v>2692</v>
      </c>
      <c r="C488" s="433"/>
      <c r="D488" s="1293" t="s">
        <v>1236</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2692</v>
      </c>
      <c r="D494" s="1294" t="s">
        <v>1237</v>
      </c>
      <c r="E494" s="1294"/>
      <c r="F494" s="1294"/>
      <c r="I494" s="524"/>
    </row>
    <row r="495" spans="1:9">
      <c r="A495" s="480"/>
      <c r="B495" s="480"/>
      <c r="I495" s="524"/>
    </row>
    <row r="496" spans="1:9">
      <c r="A496" s="1281" t="s">
        <v>1078</v>
      </c>
      <c r="B496" s="1281"/>
      <c r="C496" s="1281"/>
      <c r="D496" s="1281"/>
      <c r="E496" s="1281"/>
      <c r="F496" s="1281"/>
      <c r="G496" s="1281"/>
      <c r="H496" s="1063"/>
      <c r="I496" s="1256"/>
    </row>
    <row r="497" spans="1:9">
      <c r="A497" s="480"/>
      <c r="B497" s="480"/>
      <c r="I497" s="524"/>
    </row>
    <row r="498" spans="1:9">
      <c r="D498" s="1278" t="s">
        <v>895</v>
      </c>
      <c r="E498" s="1278"/>
      <c r="F498" s="1278"/>
      <c r="I498" s="524"/>
    </row>
    <row r="499" spans="1:9" ht="14.25">
      <c r="A499" s="518"/>
      <c r="B499" s="518"/>
      <c r="D499" s="1279" t="s">
        <v>1238</v>
      </c>
      <c r="E499" s="1279"/>
      <c r="F499" s="1279"/>
      <c r="I499" s="524"/>
    </row>
    <row r="500" spans="1:9" ht="14.25">
      <c r="A500" s="518"/>
      <c r="B500" s="518"/>
      <c r="D500" s="481"/>
      <c r="I500" s="524"/>
    </row>
    <row r="501" spans="1:9" ht="14.25">
      <c r="A501" s="518"/>
      <c r="B501" s="519" t="s">
        <v>2692</v>
      </c>
      <c r="D501" s="1275" t="s">
        <v>1239</v>
      </c>
      <c r="E501" s="1275"/>
      <c r="F501" s="1275"/>
      <c r="I501" s="524" t="s">
        <v>2092</v>
      </c>
    </row>
    <row r="502" spans="1:9" ht="14.25">
      <c r="A502" s="518"/>
      <c r="B502" s="518"/>
      <c r="D502" s="1275"/>
      <c r="E502" s="1275"/>
      <c r="F502" s="1275"/>
      <c r="I502" s="524"/>
    </row>
    <row r="503" spans="1:9" ht="14.25">
      <c r="A503" s="518"/>
      <c r="B503" s="518"/>
      <c r="D503" s="480"/>
      <c r="I503" s="524"/>
    </row>
    <row r="504" spans="1:9" ht="12.75" customHeight="1">
      <c r="B504" s="519" t="s">
        <v>2691</v>
      </c>
      <c r="D504" s="1280" t="s">
        <v>1381</v>
      </c>
      <c r="E504" s="1280"/>
      <c r="F504" s="1280"/>
      <c r="I504" s="524" t="s">
        <v>2093</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2692</v>
      </c>
      <c r="D509" s="1294" t="s">
        <v>1242</v>
      </c>
      <c r="E509" s="1294"/>
      <c r="F509" s="1294"/>
      <c r="I509" s="524" t="s">
        <v>2094</v>
      </c>
    </row>
    <row r="510" spans="1:9" ht="14.25">
      <c r="A510" s="518"/>
      <c r="B510" s="518"/>
      <c r="D510" s="480"/>
      <c r="I510" s="524"/>
    </row>
    <row r="511" spans="1:9" ht="14.25">
      <c r="A511" s="518"/>
      <c r="B511" s="519" t="s">
        <v>2691</v>
      </c>
      <c r="D511" s="1293" t="s">
        <v>1243</v>
      </c>
      <c r="E511" s="1293"/>
      <c r="F511" s="1293"/>
      <c r="I511" s="524" t="s">
        <v>2094</v>
      </c>
    </row>
    <row r="512" spans="1:9" ht="14.25">
      <c r="A512" s="518"/>
      <c r="D512" s="1293"/>
      <c r="E512" s="1293"/>
      <c r="F512" s="1293"/>
      <c r="I512" s="524"/>
    </row>
    <row r="513" spans="1:9">
      <c r="A513" s="524"/>
      <c r="B513" s="524"/>
      <c r="D513" s="481"/>
      <c r="I513" s="524"/>
    </row>
    <row r="514" spans="1:9">
      <c r="A514" s="524"/>
      <c r="B514" s="519" t="s">
        <v>2692</v>
      </c>
      <c r="D514" s="1294" t="s">
        <v>1244</v>
      </c>
      <c r="E514" s="1294"/>
      <c r="F514" s="1294"/>
      <c r="I514" s="524" t="s">
        <v>2147</v>
      </c>
    </row>
    <row r="515" spans="1:9" ht="14.25">
      <c r="A515" s="518"/>
      <c r="B515" s="518"/>
      <c r="D515" s="480"/>
      <c r="I515" s="524"/>
    </row>
    <row r="516" spans="1:9">
      <c r="A516" s="1281" t="s">
        <v>1079</v>
      </c>
      <c r="B516" s="1281"/>
      <c r="C516" s="1281"/>
      <c r="D516" s="1281"/>
      <c r="E516" s="1281"/>
      <c r="F516" s="1281"/>
      <c r="G516" s="1281"/>
      <c r="H516" s="1063"/>
      <c r="I516" s="1256"/>
    </row>
    <row r="517" spans="1:9" ht="12" customHeight="1">
      <c r="A517" s="518"/>
      <c r="B517" s="518"/>
      <c r="D517" s="480"/>
      <c r="I517" s="524"/>
    </row>
    <row r="518" spans="1:9">
      <c r="C518" s="516"/>
      <c r="D518" s="1292" t="s">
        <v>802</v>
      </c>
      <c r="E518" s="1292"/>
      <c r="F518" s="1292"/>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2691</v>
      </c>
      <c r="C522" s="517"/>
      <c r="D522" s="1275" t="s">
        <v>2372</v>
      </c>
      <c r="E522" s="1275"/>
      <c r="F522" s="1275"/>
      <c r="I522" s="524" t="s">
        <v>2129</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2691</v>
      </c>
      <c r="D525" s="417" t="s">
        <v>2202</v>
      </c>
      <c r="E525" s="416"/>
      <c r="F525" s="416"/>
      <c r="I525" s="524" t="s">
        <v>2095</v>
      </c>
    </row>
    <row r="526" spans="1:9">
      <c r="A526" s="517"/>
      <c r="B526" s="517"/>
      <c r="C526" s="517"/>
      <c r="D526" s="416"/>
      <c r="E526" s="96" t="s">
        <v>2203</v>
      </c>
      <c r="I526" s="524"/>
    </row>
    <row r="527" spans="1:9">
      <c r="A527" s="517"/>
      <c r="B527" s="517"/>
      <c r="D527" s="1323" t="s">
        <v>2373</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35" customHeight="1">
      <c r="A531" s="517"/>
      <c r="B531" s="519" t="s">
        <v>2692</v>
      </c>
      <c r="C531" s="517"/>
      <c r="D531" s="1293" t="s">
        <v>2374</v>
      </c>
      <c r="E531" s="1293"/>
      <c r="F531" s="1293"/>
      <c r="I531" s="524" t="s">
        <v>2095</v>
      </c>
    </row>
    <row r="532" spans="1:9">
      <c r="A532" s="517"/>
      <c r="B532" s="517"/>
      <c r="C532" s="517"/>
      <c r="D532" s="1293"/>
      <c r="E532" s="1293"/>
      <c r="F532" s="1293"/>
      <c r="I532" s="524"/>
    </row>
    <row r="533" spans="1:9" ht="12" customHeight="1">
      <c r="A533" s="480"/>
      <c r="B533" s="480"/>
      <c r="C533" s="521"/>
      <c r="D533" s="480"/>
      <c r="F533" s="482"/>
      <c r="I533" s="524"/>
    </row>
    <row r="534" spans="1:9">
      <c r="A534" s="1281" t="s">
        <v>1080</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1081</v>
      </c>
      <c r="B538" s="1312"/>
      <c r="C538" s="1312"/>
      <c r="D538" s="1312"/>
      <c r="E538" s="1312"/>
      <c r="F538" s="1312"/>
      <c r="G538" s="1312"/>
      <c r="H538" s="1063"/>
      <c r="I538" s="1256"/>
    </row>
    <row r="539" spans="1:9">
      <c r="A539" s="480"/>
      <c r="B539" s="480"/>
      <c r="C539" s="521"/>
      <c r="D539" s="480"/>
      <c r="F539" s="480"/>
      <c r="I539" s="524"/>
    </row>
    <row r="540" spans="1:9">
      <c r="C540" s="521"/>
      <c r="D540" s="1292" t="s">
        <v>691</v>
      </c>
      <c r="E540" s="1292"/>
      <c r="F540" s="1292"/>
      <c r="I540" s="524"/>
    </row>
    <row r="541" spans="1:9">
      <c r="C541" s="521"/>
      <c r="D541" s="1294" t="s">
        <v>1138</v>
      </c>
      <c r="E541" s="1294"/>
      <c r="F541" s="1294"/>
      <c r="I541" s="524"/>
    </row>
    <row r="542" spans="1:9">
      <c r="C542" s="521"/>
      <c r="D542" s="480"/>
      <c r="E542" s="480"/>
      <c r="F542" s="480"/>
      <c r="I542" s="524"/>
    </row>
    <row r="543" spans="1:9" ht="13.7" customHeight="1">
      <c r="A543" s="518"/>
      <c r="B543" s="519" t="s">
        <v>2691</v>
      </c>
      <c r="C543" s="521"/>
      <c r="D543" s="1294" t="s">
        <v>896</v>
      </c>
      <c r="E543" s="1294"/>
      <c r="F543" s="1294"/>
      <c r="I543" s="524" t="s">
        <v>2145</v>
      </c>
    </row>
    <row r="544" spans="1:9" ht="13.7" customHeight="1">
      <c r="A544" s="521"/>
      <c r="B544" s="521"/>
      <c r="C544" s="521"/>
      <c r="D544" s="480"/>
      <c r="I544" s="524"/>
    </row>
    <row r="545" spans="1:9" ht="14.25">
      <c r="A545" s="518"/>
      <c r="B545" s="519" t="s">
        <v>2691</v>
      </c>
      <c r="C545" s="521"/>
      <c r="D545" s="1293" t="s">
        <v>1139</v>
      </c>
      <c r="E545" s="1293"/>
      <c r="F545" s="1293"/>
      <c r="I545" s="524" t="s">
        <v>2145</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2691</v>
      </c>
      <c r="C548" s="521"/>
      <c r="D548" s="1293" t="s">
        <v>1140</v>
      </c>
      <c r="E548" s="1293"/>
      <c r="F548" s="1293"/>
      <c r="I548" s="524" t="s">
        <v>2096</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2691</v>
      </c>
      <c r="C551" s="521"/>
      <c r="D551" s="1293" t="s">
        <v>1141</v>
      </c>
      <c r="E551" s="1293"/>
      <c r="F551" s="1293"/>
      <c r="I551" s="524" t="s">
        <v>2097</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2691</v>
      </c>
      <c r="C554" s="521"/>
      <c r="D554" s="1293" t="s">
        <v>1142</v>
      </c>
      <c r="E554" s="1293"/>
      <c r="F554" s="1293"/>
      <c r="I554" s="524" t="s">
        <v>2146</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2692</v>
      </c>
      <c r="C558" s="521"/>
      <c r="D558" s="1293" t="s">
        <v>1260</v>
      </c>
      <c r="E558" s="1293"/>
      <c r="F558" s="1293"/>
      <c r="I558" s="524" t="s">
        <v>2145</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2692</v>
      </c>
      <c r="C561" s="521"/>
      <c r="D561" s="1293" t="s">
        <v>1144</v>
      </c>
      <c r="E561" s="1293"/>
      <c r="F561" s="1293"/>
      <c r="I561" s="524" t="s">
        <v>2145</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2691</v>
      </c>
      <c r="C564" s="521"/>
      <c r="D564" s="1294" t="s">
        <v>1145</v>
      </c>
      <c r="E564" s="1294"/>
      <c r="F564" s="1294"/>
      <c r="I564" s="524" t="s">
        <v>2148</v>
      </c>
    </row>
    <row r="565" spans="1:9">
      <c r="A565" s="524"/>
      <c r="B565" s="524"/>
      <c r="C565" s="521"/>
      <c r="D565" s="1294" t="s">
        <v>2205</v>
      </c>
      <c r="E565" s="1294"/>
      <c r="F565" s="1294"/>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2691</v>
      </c>
      <c r="C568" s="521"/>
      <c r="D568" s="1294" t="s">
        <v>1147</v>
      </c>
      <c r="E568" s="1294"/>
      <c r="F568" s="1294"/>
      <c r="I568" s="524" t="s">
        <v>2098</v>
      </c>
    </row>
    <row r="569" spans="1:9">
      <c r="C569" s="521"/>
      <c r="D569" s="1293" t="s">
        <v>1148</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2691</v>
      </c>
      <c r="C573" s="521"/>
      <c r="D573" s="1293" t="s">
        <v>2375</v>
      </c>
      <c r="E573" s="1293"/>
      <c r="F573" s="1293"/>
      <c r="I573" s="524" t="s">
        <v>2099</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1082</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1098</v>
      </c>
      <c r="E581" s="1280"/>
      <c r="F581" s="1280"/>
      <c r="I581" s="524"/>
    </row>
    <row r="582" spans="1:9">
      <c r="A582" s="433"/>
      <c r="B582" s="433"/>
      <c r="C582" s="517"/>
      <c r="D582" s="533"/>
      <c r="I582" s="524" t="s">
        <v>2100</v>
      </c>
    </row>
    <row r="583" spans="1:9">
      <c r="A583" s="517"/>
      <c r="B583" s="519" t="s">
        <v>2691</v>
      </c>
      <c r="D583" s="1280" t="s">
        <v>902</v>
      </c>
      <c r="E583" s="1280"/>
      <c r="F583" s="1280"/>
      <c r="I583" s="524"/>
    </row>
    <row r="584" spans="1:9">
      <c r="A584" s="524"/>
      <c r="B584" s="524"/>
      <c r="D584" s="510"/>
      <c r="I584" s="524"/>
    </row>
    <row r="585" spans="1:9">
      <c r="A585" s="524"/>
      <c r="B585" s="519" t="s">
        <v>2691</v>
      </c>
      <c r="D585" s="1280" t="s">
        <v>2376</v>
      </c>
      <c r="E585" s="1280"/>
      <c r="F585" s="1280"/>
      <c r="I585" s="524" t="s">
        <v>2102</v>
      </c>
    </row>
    <row r="586" spans="1:9">
      <c r="A586" s="524"/>
      <c r="B586" s="524"/>
      <c r="D586" s="1280"/>
      <c r="E586" s="1280"/>
      <c r="F586" s="1280"/>
      <c r="I586" s="524" t="s">
        <v>2101</v>
      </c>
    </row>
    <row r="587" spans="1:9">
      <c r="A587" s="524"/>
      <c r="B587" s="524"/>
      <c r="D587" s="1280"/>
      <c r="E587" s="1280"/>
      <c r="F587" s="1280"/>
      <c r="I587" s="524"/>
    </row>
    <row r="588" spans="1:9">
      <c r="A588" s="524"/>
      <c r="B588" s="524"/>
      <c r="D588" s="1280"/>
      <c r="E588" s="1280"/>
      <c r="F588" s="1280"/>
      <c r="I588" s="524"/>
    </row>
    <row r="589" spans="1:9">
      <c r="A589" s="524"/>
      <c r="B589" s="519" t="s">
        <v>2692</v>
      </c>
      <c r="D589" s="1280" t="s">
        <v>1100</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2691</v>
      </c>
      <c r="D594" s="1280" t="s">
        <v>2377</v>
      </c>
      <c r="E594" s="1280"/>
      <c r="F594" s="1280"/>
      <c r="I594" s="524"/>
    </row>
    <row r="595" spans="1:9">
      <c r="A595" s="524"/>
      <c r="B595" s="524"/>
      <c r="D595" s="1280"/>
      <c r="E595" s="1280"/>
      <c r="F595" s="1280"/>
      <c r="I595" s="524"/>
    </row>
    <row r="596" spans="1:9">
      <c r="A596" s="524"/>
      <c r="B596" s="524"/>
      <c r="D596" s="533"/>
      <c r="I596" s="524"/>
    </row>
    <row r="597" spans="1:9">
      <c r="A597" s="524"/>
      <c r="B597" s="519" t="s">
        <v>2692</v>
      </c>
      <c r="D597" s="1280" t="s">
        <v>1102</v>
      </c>
      <c r="E597" s="1280"/>
      <c r="F597" s="1280"/>
      <c r="I597" s="524" t="s">
        <v>2149</v>
      </c>
    </row>
    <row r="598" spans="1:9">
      <c r="A598" s="524"/>
      <c r="B598" s="524"/>
      <c r="D598" s="1280"/>
      <c r="E598" s="1280"/>
      <c r="F598" s="1280"/>
      <c r="I598" s="524"/>
    </row>
    <row r="599" spans="1:9" ht="14.25">
      <c r="A599" s="518"/>
      <c r="B599" s="518"/>
      <c r="D599" s="533"/>
      <c r="I599" s="524"/>
    </row>
    <row r="600" spans="1:9">
      <c r="A600" s="1281" t="s">
        <v>1083</v>
      </c>
      <c r="B600" s="1281"/>
      <c r="C600" s="1281"/>
      <c r="D600" s="1281"/>
      <c r="E600" s="1281"/>
      <c r="F600" s="1281"/>
      <c r="G600" s="1281"/>
      <c r="H600" s="1063"/>
      <c r="I600" s="1256"/>
    </row>
    <row r="601" spans="1:9">
      <c r="I601" s="524"/>
    </row>
    <row r="602" spans="1:9">
      <c r="D602" s="1292" t="s">
        <v>1183</v>
      </c>
      <c r="E602" s="1292"/>
      <c r="F602" s="1292"/>
      <c r="I602" s="524"/>
    </row>
    <row r="603" spans="1:9">
      <c r="D603" s="1315" t="s">
        <v>1184</v>
      </c>
      <c r="E603" s="1315"/>
      <c r="F603" s="1315"/>
      <c r="I603" s="524"/>
    </row>
    <row r="604" spans="1:9">
      <c r="D604" s="478"/>
      <c r="I604" s="524"/>
    </row>
    <row r="605" spans="1:9" ht="14.25" customHeight="1">
      <c r="A605" s="518"/>
      <c r="B605" s="519" t="s">
        <v>2691</v>
      </c>
      <c r="D605" s="1333" t="s">
        <v>2206</v>
      </c>
      <c r="E605" s="1333"/>
      <c r="F605" s="1333"/>
      <c r="I605" s="524" t="s">
        <v>2130</v>
      </c>
    </row>
    <row r="606" spans="1:9">
      <c r="D606" s="1333"/>
      <c r="E606" s="1333"/>
      <c r="F606" s="1333"/>
      <c r="I606" s="524"/>
    </row>
    <row r="607" spans="1:9">
      <c r="D607" s="416"/>
      <c r="E607" s="1071" t="s">
        <v>2207</v>
      </c>
      <c r="F607" s="416"/>
      <c r="I607" s="524"/>
    </row>
    <row r="608" spans="1:9">
      <c r="I608" s="524"/>
    </row>
    <row r="609" spans="1:9">
      <c r="A609" s="1281" t="s">
        <v>1084</v>
      </c>
      <c r="B609" s="1281"/>
      <c r="C609" s="1281"/>
      <c r="D609" s="1281"/>
      <c r="E609" s="1281"/>
      <c r="F609" s="1281"/>
      <c r="G609" s="1281"/>
      <c r="H609" s="1063"/>
      <c r="I609" s="1256"/>
    </row>
    <row r="610" spans="1:9">
      <c r="A610" s="480"/>
      <c r="B610" s="480"/>
      <c r="I610" s="524"/>
    </row>
    <row r="611" spans="1:9">
      <c r="A611" s="516"/>
      <c r="B611" s="516"/>
      <c r="C611" s="516"/>
      <c r="D611" s="1316" t="s">
        <v>1186</v>
      </c>
      <c r="E611" s="1316"/>
      <c r="F611" s="1316"/>
      <c r="I611" s="524"/>
    </row>
    <row r="612" spans="1:9">
      <c r="A612" s="516"/>
      <c r="B612" s="516"/>
      <c r="C612" s="516"/>
      <c r="D612" s="1316"/>
      <c r="E612" s="1316"/>
      <c r="F612" s="1316"/>
      <c r="I612" s="524"/>
    </row>
    <row r="613" spans="1:9">
      <c r="C613" s="517"/>
      <c r="D613" s="1315" t="s">
        <v>1187</v>
      </c>
      <c r="E613" s="1315"/>
      <c r="F613" s="1315"/>
      <c r="I613" s="524"/>
    </row>
    <row r="614" spans="1:9">
      <c r="C614" s="517"/>
      <c r="D614" s="478"/>
      <c r="E614" s="478"/>
      <c r="F614" s="478"/>
      <c r="I614" s="524"/>
    </row>
    <row r="615" spans="1:9" ht="12.75" customHeight="1">
      <c r="A615" s="524"/>
      <c r="B615" s="519" t="s">
        <v>2691</v>
      </c>
      <c r="D615" s="1291" t="s">
        <v>1188</v>
      </c>
      <c r="E615" s="1291"/>
      <c r="F615" s="1291"/>
      <c r="I615" s="524" t="s">
        <v>2150</v>
      </c>
    </row>
    <row r="616" spans="1:9">
      <c r="D616" s="1291"/>
      <c r="E616" s="1291"/>
      <c r="F616" s="1291"/>
      <c r="I616" s="524"/>
    </row>
    <row r="617" spans="1:9">
      <c r="I617" s="524"/>
    </row>
    <row r="618" spans="1:9">
      <c r="B618" s="519" t="s">
        <v>2691</v>
      </c>
      <c r="D618" s="1291" t="s">
        <v>1189</v>
      </c>
      <c r="E618" s="1291"/>
      <c r="F618" s="1291"/>
      <c r="I618" s="524" t="s">
        <v>2103</v>
      </c>
    </row>
    <row r="619" spans="1:9">
      <c r="C619" s="534"/>
      <c r="D619" s="1291"/>
      <c r="E619" s="1291"/>
      <c r="F619" s="1291"/>
      <c r="I619" s="524"/>
    </row>
    <row r="620" spans="1:9">
      <c r="C620" s="534"/>
      <c r="I620" s="524"/>
    </row>
    <row r="621" spans="1:9">
      <c r="B621" s="519" t="s">
        <v>2692</v>
      </c>
      <c r="C621" s="534"/>
      <c r="D621" s="1291" t="s">
        <v>1190</v>
      </c>
      <c r="E621" s="1291"/>
      <c r="F621" s="1291"/>
      <c r="I621" s="524" t="s">
        <v>2151</v>
      </c>
    </row>
    <row r="622" spans="1:9">
      <c r="C622" s="534"/>
      <c r="D622" s="1291"/>
      <c r="E622" s="1291"/>
      <c r="F622" s="1291"/>
      <c r="I622" s="534" t="s">
        <v>2152</v>
      </c>
    </row>
    <row r="623" spans="1:9">
      <c r="C623" s="534"/>
      <c r="I623" s="524"/>
    </row>
    <row r="624" spans="1:9">
      <c r="A624" s="1281" t="s">
        <v>1085</v>
      </c>
      <c r="B624" s="1281"/>
      <c r="C624" s="1281"/>
      <c r="D624" s="1281"/>
      <c r="E624" s="1281"/>
      <c r="F624" s="1281"/>
      <c r="G624" s="1281"/>
      <c r="H624" s="1063"/>
      <c r="I624" s="1256"/>
    </row>
    <row r="625" spans="1:9">
      <c r="A625" s="516"/>
      <c r="B625" s="516"/>
      <c r="C625" s="516"/>
      <c r="I625" s="524"/>
    </row>
    <row r="626" spans="1:9">
      <c r="C626" s="524"/>
      <c r="D626" s="1292" t="s">
        <v>1191</v>
      </c>
      <c r="E626" s="1292"/>
      <c r="F626" s="1292"/>
      <c r="I626" s="524"/>
    </row>
    <row r="627" spans="1:9">
      <c r="A627" s="524"/>
      <c r="B627" s="524"/>
      <c r="D627" s="435"/>
      <c r="I627" s="524"/>
    </row>
    <row r="628" spans="1:9" ht="14.25" customHeight="1">
      <c r="A628" s="518"/>
      <c r="B628" s="519" t="s">
        <v>2691</v>
      </c>
      <c r="D628" s="1333" t="s">
        <v>2378</v>
      </c>
      <c r="E628" s="1333"/>
      <c r="F628" s="1333"/>
      <c r="I628" s="524" t="s">
        <v>2131</v>
      </c>
    </row>
    <row r="629" spans="1:9">
      <c r="D629" s="1333"/>
      <c r="E629" s="1333"/>
      <c r="F629" s="1333"/>
      <c r="I629" s="524"/>
    </row>
    <row r="630" spans="1:9">
      <c r="D630" s="416"/>
      <c r="E630" s="1071" t="s">
        <v>2209</v>
      </c>
      <c r="F630" s="416"/>
      <c r="I630" s="524"/>
    </row>
    <row r="631" spans="1:9">
      <c r="D631" s="1293" t="s">
        <v>2208</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2692</v>
      </c>
      <c r="D635" s="1293" t="s">
        <v>1193</v>
      </c>
      <c r="E635" s="1293"/>
      <c r="F635" s="1293"/>
      <c r="I635" s="524" t="s">
        <v>2153</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2692</v>
      </c>
      <c r="C638" s="521"/>
      <c r="D638" s="1293" t="s">
        <v>1332</v>
      </c>
      <c r="E638" s="1293"/>
      <c r="F638" s="1293"/>
      <c r="I638" s="524" t="s">
        <v>2104</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2692</v>
      </c>
      <c r="C641" s="521"/>
      <c r="D641" s="1294" t="s">
        <v>1195</v>
      </c>
      <c r="E641" s="1294"/>
      <c r="F641" s="1294"/>
      <c r="I641" s="524" t="s">
        <v>2104</v>
      </c>
    </row>
    <row r="642" spans="1:9">
      <c r="A642" s="521"/>
      <c r="B642" s="521"/>
      <c r="C642" s="521"/>
      <c r="D642" s="480"/>
      <c r="E642" s="480"/>
      <c r="F642" s="480"/>
      <c r="I642" s="524"/>
    </row>
    <row r="643" spans="1:9">
      <c r="A643" s="1281" t="s">
        <v>1086</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1245</v>
      </c>
      <c r="E645" s="1292"/>
      <c r="F645" s="1292"/>
      <c r="I645" s="524"/>
    </row>
    <row r="646" spans="1:9">
      <c r="A646" s="517"/>
      <c r="B646" s="517"/>
      <c r="C646" s="517"/>
      <c r="D646" s="1294" t="s">
        <v>1246</v>
      </c>
      <c r="E646" s="1294"/>
      <c r="F646" s="1294"/>
      <c r="I646" s="524"/>
    </row>
    <row r="647" spans="1:9">
      <c r="A647" s="517"/>
      <c r="B647" s="517"/>
      <c r="C647" s="517"/>
      <c r="D647" s="480"/>
      <c r="E647" s="480"/>
      <c r="F647" s="480"/>
      <c r="I647" s="524"/>
    </row>
    <row r="648" spans="1:9" ht="12.75" customHeight="1">
      <c r="B648" s="519" t="s">
        <v>2691</v>
      </c>
      <c r="C648" s="521"/>
      <c r="D648" s="1293" t="s">
        <v>1389</v>
      </c>
      <c r="E648" s="1293"/>
      <c r="F648" s="1293"/>
      <c r="I648" s="524" t="s">
        <v>2156</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2691</v>
      </c>
      <c r="C653" s="521"/>
      <c r="D653" s="1293" t="s">
        <v>1391</v>
      </c>
      <c r="E653" s="1293"/>
      <c r="F653" s="1293"/>
      <c r="I653" s="524" t="s">
        <v>2156</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2692</v>
      </c>
      <c r="C659" s="521"/>
      <c r="D659" s="1293" t="s">
        <v>1390</v>
      </c>
      <c r="E659" s="1293"/>
      <c r="F659" s="1293"/>
      <c r="I659" s="524" t="s">
        <v>2156</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2692</v>
      </c>
      <c r="C664" s="521"/>
      <c r="D664" s="1293" t="s">
        <v>2379</v>
      </c>
      <c r="E664" s="1293"/>
      <c r="F664" s="1293"/>
      <c r="I664" s="524" t="s">
        <v>2156</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1087</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1123</v>
      </c>
      <c r="E678" s="1294"/>
      <c r="F678" s="1294"/>
      <c r="H678" s="535"/>
      <c r="I678" s="517"/>
      <c r="J678" s="535"/>
      <c r="K678" s="535"/>
    </row>
    <row r="679" spans="1:11">
      <c r="A679" s="517"/>
      <c r="B679" s="517"/>
      <c r="C679" s="517"/>
      <c r="H679" s="535"/>
      <c r="I679" s="517"/>
      <c r="J679" s="535"/>
      <c r="K679" s="535"/>
    </row>
    <row r="680" spans="1:11" ht="14.25">
      <c r="A680" s="518"/>
      <c r="B680" s="519" t="s">
        <v>2691</v>
      </c>
      <c r="C680" s="517"/>
      <c r="D680" s="1294" t="s">
        <v>898</v>
      </c>
      <c r="E680" s="1294"/>
      <c r="F680" s="1294"/>
      <c r="H680" s="535"/>
      <c r="I680" s="517" t="s">
        <v>2132</v>
      </c>
      <c r="J680" s="535"/>
      <c r="K680" s="535"/>
    </row>
    <row r="681" spans="1:11">
      <c r="A681" s="517"/>
      <c r="B681" s="517"/>
      <c r="C681" s="517"/>
      <c r="D681" s="1294" t="s">
        <v>908</v>
      </c>
      <c r="E681" s="1294"/>
      <c r="F681" s="1294"/>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2692</v>
      </c>
      <c r="C685" s="517"/>
      <c r="D685" s="1293" t="s">
        <v>2380</v>
      </c>
      <c r="E685" s="1293"/>
      <c r="F685" s="1293"/>
      <c r="H685" s="535"/>
      <c r="I685" s="517" t="s">
        <v>2154</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2133</v>
      </c>
      <c r="J688" s="535"/>
      <c r="K688" s="535"/>
    </row>
    <row r="689" spans="1:11" ht="14.25">
      <c r="A689" s="518"/>
      <c r="B689" s="519" t="s">
        <v>2691</v>
      </c>
      <c r="C689" s="517"/>
      <c r="D689" s="1294" t="s">
        <v>936</v>
      </c>
      <c r="E689" s="1294"/>
      <c r="F689" s="1294"/>
      <c r="H689" s="535"/>
      <c r="I689" s="517"/>
      <c r="J689" s="535"/>
      <c r="K689" s="535"/>
    </row>
    <row r="690" spans="1:11" ht="14.25">
      <c r="A690" s="518"/>
      <c r="B690" s="518"/>
      <c r="C690" s="517"/>
      <c r="D690" s="1294" t="s">
        <v>908</v>
      </c>
      <c r="E690" s="1294"/>
      <c r="F690" s="1294"/>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2692</v>
      </c>
      <c r="C693" s="517"/>
      <c r="D693" s="1293" t="s">
        <v>1136</v>
      </c>
      <c r="E693" s="1293"/>
      <c r="F693" s="1293"/>
      <c r="H693" s="535"/>
      <c r="I693" s="517" t="s">
        <v>2105</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2692</v>
      </c>
      <c r="C700" s="517"/>
      <c r="D700" s="1293" t="s">
        <v>1307</v>
      </c>
      <c r="E700" s="1293"/>
      <c r="F700" s="1293"/>
      <c r="H700" s="535"/>
      <c r="I700" s="517" t="s">
        <v>2105</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2692</v>
      </c>
      <c r="C703" s="517"/>
      <c r="D703" s="1293" t="s">
        <v>1127</v>
      </c>
      <c r="E703" s="1293"/>
      <c r="F703" s="1293"/>
      <c r="H703" s="535"/>
      <c r="I703" s="517" t="s">
        <v>2105</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2692</v>
      </c>
      <c r="C716" s="517"/>
      <c r="D716" s="1293" t="s">
        <v>1134</v>
      </c>
      <c r="E716" s="1293"/>
      <c r="F716" s="1293"/>
      <c r="H716" s="535"/>
      <c r="I716" s="517" t="s">
        <v>2155</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2692</v>
      </c>
      <c r="C719" s="517"/>
      <c r="D719" s="1293" t="s">
        <v>1128</v>
      </c>
      <c r="E719" s="1293"/>
      <c r="F719" s="1293"/>
      <c r="H719" s="535"/>
      <c r="I719" s="517" t="s">
        <v>2155</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2692</v>
      </c>
      <c r="C723" s="517"/>
      <c r="D723" s="1293" t="s">
        <v>1129</v>
      </c>
      <c r="E723" s="1293"/>
      <c r="F723" s="1293"/>
      <c r="H723" s="535"/>
      <c r="I723" s="517" t="s">
        <v>2155</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2691</v>
      </c>
      <c r="C727" s="517"/>
      <c r="D727" s="1293" t="s">
        <v>1130</v>
      </c>
      <c r="E727" s="1293"/>
      <c r="F727" s="1293"/>
      <c r="H727" s="535"/>
      <c r="I727" s="517" t="s">
        <v>2106</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2691</v>
      </c>
      <c r="C732" s="517"/>
      <c r="D732" s="1293" t="s">
        <v>2503</v>
      </c>
      <c r="E732" s="1293"/>
      <c r="F732" s="1293"/>
      <c r="H732" s="535"/>
      <c r="I732" s="517" t="s">
        <v>2122</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2389</v>
      </c>
      <c r="E739" s="1310"/>
      <c r="F739" s="1310"/>
      <c r="H739" s="535"/>
      <c r="I739" s="517"/>
      <c r="J739" s="535"/>
      <c r="K739" s="535"/>
    </row>
    <row r="740" spans="1:11">
      <c r="A740" s="517"/>
      <c r="B740" s="517"/>
      <c r="C740" s="517"/>
      <c r="D740" s="369"/>
      <c r="H740" s="535"/>
      <c r="I740" s="517"/>
      <c r="J740" s="535"/>
      <c r="K740" s="535"/>
    </row>
    <row r="741" spans="1:11">
      <c r="A741" s="1312" t="s">
        <v>1088</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1104</v>
      </c>
      <c r="E743" s="1295"/>
      <c r="F743" s="1295"/>
      <c r="G743" s="535"/>
      <c r="H743" s="535"/>
      <c r="I743" s="517"/>
      <c r="J743" s="535"/>
      <c r="K743" s="535"/>
    </row>
    <row r="744" spans="1:11">
      <c r="A744" s="517"/>
      <c r="B744" s="517"/>
      <c r="C744" s="517"/>
      <c r="D744" s="1296" t="s">
        <v>1105</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2691</v>
      </c>
      <c r="D746" s="1293" t="s">
        <v>1106</v>
      </c>
      <c r="E746" s="1293"/>
      <c r="F746" s="1293"/>
      <c r="G746" s="535"/>
      <c r="H746" s="535"/>
      <c r="I746" s="517" t="s">
        <v>2107</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2692</v>
      </c>
      <c r="C753" s="538"/>
      <c r="D753" s="1293" t="s">
        <v>1348</v>
      </c>
      <c r="E753" s="1293"/>
      <c r="F753" s="1293"/>
      <c r="I753" s="1261" t="s">
        <v>2107</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2692</v>
      </c>
      <c r="C758" s="538"/>
      <c r="D758" s="1291" t="s">
        <v>1349</v>
      </c>
      <c r="E758" s="1291"/>
      <c r="F758" s="1291"/>
      <c r="I758" s="1261" t="s">
        <v>2108</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2692</v>
      </c>
      <c r="D762" s="1293" t="s">
        <v>1304</v>
      </c>
      <c r="E762" s="1293"/>
      <c r="F762" s="1293"/>
      <c r="G762" s="535"/>
      <c r="H762" s="535"/>
      <c r="I762" s="517" t="s">
        <v>2107</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2692</v>
      </c>
      <c r="D765" s="1293" t="s">
        <v>1321</v>
      </c>
      <c r="E765" s="1293"/>
      <c r="F765" s="1293"/>
      <c r="G765" s="535"/>
      <c r="H765" s="535"/>
      <c r="I765" s="517" t="s">
        <v>2107</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1990</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2044</v>
      </c>
      <c r="E771" s="1334"/>
      <c r="F771" s="1334"/>
      <c r="G771" s="3"/>
      <c r="I771" s="524"/>
    </row>
    <row r="772" spans="1:9">
      <c r="A772" s="57"/>
      <c r="B772" s="57"/>
      <c r="C772" s="385"/>
      <c r="D772" s="1279" t="s">
        <v>1943</v>
      </c>
      <c r="E772" s="1279"/>
      <c r="F772" s="1279"/>
      <c r="G772" s="3"/>
      <c r="I772" s="524"/>
    </row>
    <row r="773" spans="1:9">
      <c r="A773" s="57"/>
      <c r="B773" s="57"/>
      <c r="C773" s="385"/>
      <c r="D773" s="481"/>
      <c r="E773" s="481"/>
      <c r="F773" s="481"/>
      <c r="G773" s="3"/>
      <c r="I773" s="524"/>
    </row>
    <row r="774" spans="1:9">
      <c r="A774" s="57"/>
      <c r="B774" s="519" t="s">
        <v>2691</v>
      </c>
      <c r="C774" s="385"/>
      <c r="D774" s="1306" t="s">
        <v>1944</v>
      </c>
      <c r="E774" s="1306"/>
      <c r="F774" s="1306"/>
      <c r="G774" s="3"/>
      <c r="I774" s="517" t="s">
        <v>2157</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2692</v>
      </c>
      <c r="C778" s="172"/>
      <c r="D778" s="1306" t="s">
        <v>1945</v>
      </c>
      <c r="E778" s="1306"/>
      <c r="F778" s="1306"/>
      <c r="G778" s="3"/>
      <c r="I778" s="517" t="s">
        <v>2157</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2691</v>
      </c>
      <c r="C782" s="1024"/>
      <c r="D782" s="1306" t="s">
        <v>1946</v>
      </c>
      <c r="E782" s="1306"/>
      <c r="F782" s="1306"/>
      <c r="G782" s="1023"/>
      <c r="I782" s="517" t="s">
        <v>2157</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2692</v>
      </c>
      <c r="C786" s="1024"/>
      <c r="D786" s="1306" t="s">
        <v>1947</v>
      </c>
      <c r="E786" s="1306"/>
      <c r="F786" s="1306"/>
      <c r="G786" s="1023"/>
      <c r="I786" s="517" t="s">
        <v>2157</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1991</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2692</v>
      </c>
      <c r="C796" s="1024"/>
      <c r="D796" s="1306" t="s">
        <v>1948</v>
      </c>
      <c r="E796" s="1306"/>
      <c r="F796" s="1306"/>
      <c r="G796" s="1023"/>
      <c r="I796" s="517" t="s">
        <v>2157</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2692</v>
      </c>
      <c r="C803" s="1024"/>
      <c r="D803" s="1306" t="s">
        <v>1949</v>
      </c>
      <c r="E803" s="1306"/>
      <c r="F803" s="1306"/>
      <c r="G803" s="1023"/>
      <c r="I803" s="517" t="s">
        <v>2157</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2692</v>
      </c>
      <c r="C810" s="1024"/>
      <c r="D810" s="1303" t="s">
        <v>1950</v>
      </c>
      <c r="E810" s="1303"/>
      <c r="F810" s="1303"/>
      <c r="G810" s="1023"/>
      <c r="I810" s="517" t="s">
        <v>2157</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1951</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1992</v>
      </c>
      <c r="E819" s="1299"/>
      <c r="F819" s="1299"/>
      <c r="G819" s="3"/>
      <c r="I819" s="524"/>
    </row>
    <row r="820" spans="1:9" ht="14.25" customHeight="1">
      <c r="A820" s="176"/>
      <c r="B820" s="176"/>
      <c r="C820" s="385"/>
      <c r="D820" s="1266" t="s">
        <v>1952</v>
      </c>
      <c r="E820" s="1266"/>
      <c r="F820" s="1266"/>
      <c r="G820" s="3"/>
      <c r="I820" s="524"/>
    </row>
    <row r="821" spans="1:9" ht="12.75" customHeight="1">
      <c r="A821" s="176"/>
      <c r="B821" s="176"/>
      <c r="C821" s="385"/>
      <c r="D821" s="474"/>
      <c r="E821" s="474"/>
      <c r="F821" s="474"/>
      <c r="G821" s="3"/>
      <c r="I821" s="524"/>
    </row>
    <row r="822" spans="1:9" ht="12.75" customHeight="1">
      <c r="A822" s="385"/>
      <c r="B822" s="519" t="s">
        <v>2691</v>
      </c>
      <c r="C822" s="1024"/>
      <c r="D822" s="1266" t="s">
        <v>1953</v>
      </c>
      <c r="E822" s="1266"/>
      <c r="F822" s="1266"/>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2390</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2691</v>
      </c>
      <c r="C836" s="1024"/>
      <c r="D836" s="1266" t="s">
        <v>1954</v>
      </c>
      <c r="E836" s="1266"/>
      <c r="F836" s="1266"/>
      <c r="G836" s="3"/>
      <c r="I836" s="524" t="s">
        <v>2143</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2692</v>
      </c>
      <c r="C840" s="1024"/>
      <c r="D840" s="1299" t="s">
        <v>1955</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2381</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2692</v>
      </c>
      <c r="C849" s="1024"/>
      <c r="D849" s="1266" t="s">
        <v>1956</v>
      </c>
      <c r="E849" s="1266"/>
      <c r="F849" s="1266"/>
      <c r="G849" s="3"/>
      <c r="I849" s="524" t="s">
        <v>2126</v>
      </c>
    </row>
    <row r="850" spans="1:9" ht="12.75" customHeight="1">
      <c r="A850" s="176"/>
      <c r="B850" s="176"/>
      <c r="C850" s="1024"/>
      <c r="D850" s="1266" t="s">
        <v>1957</v>
      </c>
      <c r="E850" s="1266"/>
      <c r="F850" s="1266"/>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2692</v>
      </c>
      <c r="C853" s="1024"/>
      <c r="D853" s="1266" t="s">
        <v>1958</v>
      </c>
      <c r="E853" s="1266"/>
      <c r="F853" s="1266"/>
      <c r="G853" s="3"/>
      <c r="I853" s="524" t="s">
        <v>2144</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1993</v>
      </c>
      <c r="E860" s="1282"/>
      <c r="F860" s="1282"/>
      <c r="G860" s="1023"/>
      <c r="I860" s="524"/>
    </row>
    <row r="861" spans="1:9" ht="12.75" customHeight="1">
      <c r="A861" s="385"/>
      <c r="B861" s="385"/>
      <c r="C861" s="175"/>
      <c r="D861" s="1335" t="s">
        <v>1960</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2691</v>
      </c>
      <c r="C863" s="385"/>
      <c r="D863" s="1277" t="s">
        <v>1961</v>
      </c>
      <c r="E863" s="1277"/>
      <c r="F863" s="1277"/>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2691</v>
      </c>
      <c r="C866" s="385"/>
      <c r="D866" s="1266" t="s">
        <v>1962</v>
      </c>
      <c r="E866" s="1284"/>
      <c r="F866" s="1284"/>
      <c r="G866" s="3"/>
      <c r="I866" s="524" t="s">
        <v>2144</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2692</v>
      </c>
      <c r="C869" s="385"/>
      <c r="D869" s="1331" t="s">
        <v>1963</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2381</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2692</v>
      </c>
      <c r="C878" s="385"/>
      <c r="D878" s="1309" t="s">
        <v>1956</v>
      </c>
      <c r="E878" s="1309"/>
      <c r="F878" s="1309"/>
      <c r="G878" s="1023"/>
      <c r="I878" s="524" t="s">
        <v>2126</v>
      </c>
    </row>
    <row r="879" spans="1:9" ht="12.75" customHeight="1">
      <c r="A879" s="176"/>
      <c r="B879" s="176"/>
      <c r="C879" s="385"/>
      <c r="D879" s="1309" t="s">
        <v>1957</v>
      </c>
      <c r="E879" s="1309"/>
      <c r="F879" s="130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2692</v>
      </c>
      <c r="C882" s="385"/>
      <c r="D882" s="1266" t="s">
        <v>1958</v>
      </c>
      <c r="E882" s="1266"/>
      <c r="F882" s="1266"/>
      <c r="G882" s="1023"/>
      <c r="I882" s="524" t="s">
        <v>2144</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1994</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2000</v>
      </c>
      <c r="E889" s="1305"/>
      <c r="F889" s="1305"/>
      <c r="G889" s="57"/>
      <c r="I889" s="524"/>
    </row>
    <row r="890" spans="1:9" ht="12.75" customHeight="1">
      <c r="A890" s="57"/>
      <c r="B890" s="57"/>
      <c r="C890" s="57"/>
      <c r="D890" s="1016"/>
      <c r="E890" s="1016"/>
      <c r="F890" s="1016"/>
      <c r="G890" s="57"/>
      <c r="I890" s="524"/>
    </row>
    <row r="891" spans="1:9" ht="12.75" customHeight="1">
      <c r="A891" s="57"/>
      <c r="B891" s="519" t="s">
        <v>2691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5" t="s">
        <v>1995</v>
      </c>
      <c r="E893" s="1305"/>
      <c r="F893" s="1305"/>
      <c r="G893" s="1023"/>
      <c r="I893" s="524"/>
    </row>
    <row r="894" spans="1:9" ht="12.75" customHeight="1">
      <c r="A894" s="172"/>
      <c r="B894" s="172"/>
      <c r="C894" s="172"/>
      <c r="D894" s="1277" t="s">
        <v>1964</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2691</v>
      </c>
      <c r="C896" s="385"/>
      <c r="D896" s="1266" t="s">
        <v>1968</v>
      </c>
      <c r="E896" s="1266"/>
      <c r="F896" s="1266"/>
      <c r="G896" s="3"/>
      <c r="I896" s="524" t="s">
        <v>2110</v>
      </c>
    </row>
    <row r="897" spans="1:9" ht="12.75" customHeight="1">
      <c r="A897" s="385"/>
      <c r="B897" s="385"/>
      <c r="C897" s="385"/>
      <c r="D897" s="1266"/>
      <c r="E897" s="1266"/>
      <c r="F897" s="1266"/>
      <c r="G897" s="3"/>
      <c r="I897" s="524"/>
    </row>
    <row r="898" spans="1:9" ht="12.75" customHeight="1">
      <c r="A898" s="172"/>
      <c r="B898" s="172"/>
      <c r="C898" s="172"/>
      <c r="D898" s="1266" t="s">
        <v>1967</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2691</v>
      </c>
      <c r="C901" s="175"/>
      <c r="D901" s="1276" t="s">
        <v>1965</v>
      </c>
      <c r="E901" s="1276"/>
      <c r="F901" s="1276"/>
      <c r="G901" s="1023"/>
      <c r="I901" s="524" t="s">
        <v>2109</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2692</v>
      </c>
      <c r="C910" s="1024"/>
      <c r="D910" s="1266" t="s">
        <v>1969</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2692</v>
      </c>
      <c r="C913" s="1024"/>
      <c r="D913" s="1303" t="s">
        <v>1970</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2692</v>
      </c>
      <c r="C918" s="1024"/>
      <c r="D918" s="1277" t="s">
        <v>2382</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2692</v>
      </c>
      <c r="C920" s="1024"/>
      <c r="D920" s="1277" t="s">
        <v>2383</v>
      </c>
      <c r="E920" s="1277"/>
      <c r="F920" s="1277"/>
      <c r="G920" s="1023"/>
      <c r="I920" s="524"/>
    </row>
    <row r="921" spans="1:9" ht="12.75" customHeight="1">
      <c r="A921" s="175"/>
      <c r="B921" s="175"/>
      <c r="C921" s="175"/>
      <c r="D921" s="2"/>
      <c r="E921" s="3"/>
      <c r="F921" s="1023"/>
      <c r="G921" s="1023"/>
      <c r="I921" s="524"/>
    </row>
    <row r="922" spans="1:9" ht="12.75" customHeight="1">
      <c r="A922" s="1032"/>
      <c r="B922" s="519" t="s">
        <v>2692</v>
      </c>
      <c r="C922" s="1033"/>
      <c r="D922" s="1276" t="s">
        <v>1966</v>
      </c>
      <c r="E922" s="1276"/>
      <c r="F922" s="1276"/>
      <c r="G922" s="1034"/>
      <c r="I922" s="524" t="s">
        <v>2159</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2692</v>
      </c>
      <c r="C932" s="175"/>
      <c r="D932" s="1332" t="s">
        <v>2161</v>
      </c>
      <c r="E932" s="1332"/>
      <c r="F932" s="1332"/>
      <c r="G932" s="1023"/>
      <c r="I932" s="524" t="s">
        <v>2159</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2692</v>
      </c>
      <c r="C940" s="175"/>
      <c r="D940" s="1275" t="s">
        <v>2455</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2692</v>
      </c>
      <c r="C947" s="1024"/>
      <c r="D947" s="1303" t="s">
        <v>1971</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2692</v>
      </c>
      <c r="C952" s="175"/>
      <c r="D952" s="1276" t="s">
        <v>2160</v>
      </c>
      <c r="E952" s="1276"/>
      <c r="F952" s="1276"/>
      <c r="G952" s="1023"/>
      <c r="I952" s="524" t="s">
        <v>2159</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1972</v>
      </c>
      <c r="E957" s="1282"/>
      <c r="F957" s="1282"/>
      <c r="G957" s="3"/>
      <c r="I957" s="524"/>
    </row>
    <row r="958" spans="1:9" ht="12.75" customHeight="1">
      <c r="A958" s="176"/>
      <c r="B958" s="519" t="s">
        <v>2692</v>
      </c>
      <c r="C958" s="385"/>
      <c r="D958" s="1277" t="s">
        <v>1996</v>
      </c>
      <c r="E958" s="1277"/>
      <c r="F958" s="1277"/>
      <c r="G958" s="3"/>
      <c r="I958" s="524" t="s">
        <v>2159</v>
      </c>
    </row>
    <row r="959" spans="1:9" ht="12.75" customHeight="1">
      <c r="A959" s="385"/>
      <c r="B959" s="385"/>
      <c r="C959" s="385"/>
      <c r="D959" s="3"/>
      <c r="E959" s="3"/>
      <c r="F959" s="3"/>
      <c r="G959" s="3"/>
      <c r="I959" s="524"/>
    </row>
    <row r="960" spans="1:9" ht="12.75" customHeight="1">
      <c r="A960" s="385"/>
      <c r="B960" s="385"/>
      <c r="C960" s="385"/>
      <c r="D960" s="1282" t="s">
        <v>1973</v>
      </c>
      <c r="E960" s="1282"/>
      <c r="F960" s="1282"/>
      <c r="G960"/>
      <c r="I960" s="524"/>
    </row>
    <row r="961" spans="1:9" ht="12.75" customHeight="1">
      <c r="A961" s="176"/>
      <c r="B961" s="519" t="s">
        <v>2691</v>
      </c>
      <c r="C961" s="385"/>
      <c r="D961" s="1266" t="s">
        <v>2384</v>
      </c>
      <c r="E961" s="1266"/>
      <c r="F961" s="1266"/>
      <c r="G961"/>
      <c r="I961" s="524" t="s">
        <v>2159</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1974</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1997</v>
      </c>
      <c r="E979" s="1282"/>
      <c r="F979" s="1282"/>
      <c r="G979" s="3"/>
      <c r="I979" s="524"/>
    </row>
    <row r="980" spans="1:9" ht="12.75" customHeight="1">
      <c r="A980" s="172"/>
      <c r="B980" s="172"/>
      <c r="C980" s="172"/>
      <c r="D980" s="1277" t="s">
        <v>1975</v>
      </c>
      <c r="E980" s="1277"/>
      <c r="F980" s="1277"/>
      <c r="G980" s="3"/>
      <c r="I980" s="524"/>
    </row>
    <row r="981" spans="1:9" ht="12.75" customHeight="1">
      <c r="A981" s="172"/>
      <c r="B981" s="172"/>
      <c r="C981" s="172"/>
      <c r="D981" s="3"/>
      <c r="E981" s="3"/>
      <c r="F981" s="1023"/>
      <c r="G981"/>
      <c r="I981" s="524"/>
    </row>
    <row r="982" spans="1:9" ht="12.75" customHeight="1">
      <c r="A982" s="385"/>
      <c r="B982" s="519" t="s">
        <v>2691</v>
      </c>
      <c r="C982" s="385"/>
      <c r="D982" s="1330" t="s">
        <v>2214</v>
      </c>
      <c r="E982" s="1330"/>
      <c r="F982" s="1330"/>
      <c r="G982"/>
      <c r="I982" s="524" t="s">
        <v>2139</v>
      </c>
    </row>
    <row r="983" spans="1:9" ht="12.75" customHeight="1">
      <c r="A983" s="385"/>
      <c r="B983" s="385"/>
      <c r="C983" s="385"/>
      <c r="D983" s="1330"/>
      <c r="E983" s="1330"/>
      <c r="F983" s="1330"/>
      <c r="G983"/>
      <c r="I983" s="524"/>
    </row>
    <row r="984" spans="1:9" ht="12.75" customHeight="1">
      <c r="A984" s="385"/>
      <c r="B984" s="385"/>
      <c r="C984" s="385"/>
      <c r="D984" s="1073"/>
      <c r="E984" s="1071" t="s">
        <v>2215</v>
      </c>
      <c r="F984" s="1073"/>
      <c r="G984"/>
      <c r="I984" s="524"/>
    </row>
    <row r="985" spans="1:9" ht="12.75" customHeight="1">
      <c r="A985" s="385"/>
      <c r="B985" s="385"/>
      <c r="C985" s="385"/>
      <c r="D985" s="1270" t="s">
        <v>2213</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2691</v>
      </c>
      <c r="C990" s="175"/>
      <c r="D990" s="1266" t="s">
        <v>1976</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2692</v>
      </c>
      <c r="C995" s="175"/>
      <c r="D995" s="1266" t="s">
        <v>1977</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2692</v>
      </c>
      <c r="C998" s="385"/>
      <c r="D998" s="1277" t="s">
        <v>1978</v>
      </c>
      <c r="E998" s="1277"/>
      <c r="F998" s="1277"/>
      <c r="G998"/>
      <c r="I998" s="524"/>
    </row>
    <row r="999" spans="1:9" ht="12.75" customHeight="1">
      <c r="A999" s="385"/>
      <c r="B999" s="385"/>
      <c r="C999" s="385"/>
      <c r="D999" s="3"/>
      <c r="E999" s="3"/>
      <c r="F999" s="3"/>
      <c r="G999"/>
      <c r="I999" s="524"/>
    </row>
    <row r="1000" spans="1:9" ht="12.75" customHeight="1">
      <c r="A1000" s="176"/>
      <c r="B1000" s="519" t="s">
        <v>2692</v>
      </c>
      <c r="C1000" s="385"/>
      <c r="D1000" s="1277" t="s">
        <v>1979</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2691</v>
      </c>
      <c r="C1002" s="385"/>
      <c r="D1002" s="1277" t="s">
        <v>1980</v>
      </c>
      <c r="E1002" s="1277"/>
      <c r="F1002" s="1277"/>
      <c r="G1002"/>
      <c r="I1002" s="524"/>
    </row>
    <row r="1003" spans="1:9" ht="12.75" customHeight="1">
      <c r="A1003" s="385"/>
      <c r="B1003" s="385"/>
      <c r="C1003" s="385"/>
      <c r="D1003" s="118"/>
      <c r="E1003" s="3"/>
      <c r="F1003" s="3"/>
      <c r="G1003"/>
      <c r="I1003" s="524"/>
    </row>
    <row r="1004" spans="1:9" ht="12.75" customHeight="1">
      <c r="A1004" s="176"/>
      <c r="B1004" s="519" t="s">
        <v>2691</v>
      </c>
      <c r="C1004" s="385"/>
      <c r="D1004" s="1266" t="s">
        <v>1981</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2692</v>
      </c>
      <c r="C1007" s="1035"/>
      <c r="D1007" s="1306" t="s">
        <v>1982</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2692</v>
      </c>
      <c r="C1010" s="1035"/>
      <c r="D1010" s="1324" t="s">
        <v>1983</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2691</v>
      </c>
      <c r="C1012" s="385"/>
      <c r="D1012" s="1277" t="s">
        <v>1984</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2691</v>
      </c>
      <c r="C1014" s="385"/>
      <c r="D1014" s="1266" t="s">
        <v>1985</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1986</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1987</v>
      </c>
      <c r="E1019" s="1305"/>
      <c r="F1019" s="1305"/>
      <c r="G1019" s="3"/>
      <c r="I1019" s="524"/>
    </row>
    <row r="1020" spans="1:9" ht="12.75" customHeight="1">
      <c r="A1020" s="385"/>
      <c r="B1020" s="385"/>
      <c r="C1020" s="385"/>
      <c r="D1020" s="1324" t="s">
        <v>1988</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2002</v>
      </c>
      <c r="E1022" s="1305"/>
      <c r="F1022" s="1305"/>
      <c r="G1022" s="3"/>
      <c r="I1022" s="524" t="s">
        <v>2111</v>
      </c>
    </row>
    <row r="1023" spans="1:9" ht="12.75" customHeight="1">
      <c r="A1023" s="385"/>
      <c r="B1023" s="519" t="s">
        <v>2691</v>
      </c>
      <c r="C1023" s="385"/>
      <c r="D1023" s="1324" t="s">
        <v>1379</v>
      </c>
      <c r="E1023" s="1324"/>
      <c r="F1023" s="1324"/>
      <c r="G1023" s="3"/>
      <c r="I1023" s="524"/>
    </row>
    <row r="1024" spans="1:9" ht="12.75" customHeight="1">
      <c r="A1024" s="385"/>
      <c r="B1024" s="176"/>
      <c r="C1024" s="385"/>
      <c r="D1024" s="1324" t="s">
        <v>1989</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1998</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1380</v>
      </c>
      <c r="E1028" s="1313"/>
      <c r="F1028" s="1313"/>
      <c r="G1028" s="3"/>
      <c r="I1028" s="524"/>
    </row>
    <row r="1029" spans="1:9" ht="12.75" hidden="1" customHeight="1">
      <c r="A1029" s="118"/>
      <c r="B1029" s="519" t="s">
        <v>308</v>
      </c>
      <c r="D1029" s="1315" t="s">
        <v>1379</v>
      </c>
      <c r="E1029" s="1315"/>
      <c r="F1029" s="1315"/>
      <c r="G1029" s="3"/>
      <c r="I1029" s="524"/>
    </row>
    <row r="1030" spans="1:9" ht="12.75" hidden="1" customHeight="1">
      <c r="A1030" s="118"/>
      <c r="B1030" s="433"/>
      <c r="D1030" s="1315" t="s">
        <v>1999</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1095</v>
      </c>
      <c r="E1032" s="1325"/>
      <c r="F1032" s="1325"/>
      <c r="G1032" s="3"/>
      <c r="I1032" s="524" t="s">
        <v>2140</v>
      </c>
    </row>
    <row r="1033" spans="1:9" ht="12.75" customHeight="1">
      <c r="A1033" s="345"/>
      <c r="B1033" s="345"/>
      <c r="C1033" s="345"/>
      <c r="D1033" s="1309" t="s">
        <v>1112</v>
      </c>
      <c r="E1033" s="1309"/>
      <c r="F1033" s="1309"/>
      <c r="G1033" s="98"/>
      <c r="I1033" s="524"/>
    </row>
    <row r="1034" spans="1:9" ht="12.75" customHeight="1">
      <c r="A1034" s="176"/>
      <c r="B1034" s="519" t="s">
        <v>2692</v>
      </c>
      <c r="C1034" s="385"/>
      <c r="D1034" s="1309" t="s">
        <v>1005</v>
      </c>
      <c r="E1034" s="1309"/>
      <c r="F1034" s="130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1" t="s">
        <v>2019</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2692</v>
      </c>
      <c r="C1042" s="433"/>
      <c r="D1042" s="1327" t="s">
        <v>2003</v>
      </c>
      <c r="E1042" s="1327"/>
      <c r="F1042" s="1327"/>
      <c r="I1042" s="524" t="s">
        <v>2112</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2691</v>
      </c>
      <c r="C1050" s="433"/>
      <c r="D1050" s="433" t="s">
        <v>2001</v>
      </c>
      <c r="I1050" s="524" t="s">
        <v>2113</v>
      </c>
    </row>
    <row r="1051" spans="1:9">
      <c r="A1051" s="433"/>
      <c r="B1051" s="433"/>
      <c r="C1051" s="433"/>
      <c r="I1051" s="524"/>
    </row>
    <row r="1052" spans="1:9">
      <c r="A1052" s="433"/>
      <c r="B1052" s="519" t="s">
        <v>2692</v>
      </c>
      <c r="C1052" s="433"/>
      <c r="D1052" s="1327" t="s">
        <v>2007</v>
      </c>
      <c r="E1052" s="1327"/>
      <c r="F1052" s="1327"/>
      <c r="I1052" s="524" t="s">
        <v>2114</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2008</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2691</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2692</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2692</v>
      </c>
      <c r="C1067" s="433"/>
      <c r="D1067" s="119" t="s">
        <v>2017</v>
      </c>
      <c r="I1067" s="524" t="s">
        <v>2117</v>
      </c>
    </row>
    <row r="1068" spans="1:9">
      <c r="A1068" s="433"/>
      <c r="B1068" s="433"/>
      <c r="C1068" s="433"/>
      <c r="D1068" s="1266" t="s">
        <v>2018</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2692</v>
      </c>
      <c r="C1075" s="433"/>
      <c r="D1075" s="1326" t="s">
        <v>2010</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2015</v>
      </c>
      <c r="I1080" s="524"/>
    </row>
    <row r="1081" spans="1:9">
      <c r="A1081" s="433"/>
      <c r="B1081" s="433"/>
      <c r="C1081" s="433"/>
      <c r="I1081" s="524"/>
    </row>
    <row r="1082" spans="1:9">
      <c r="A1082" s="1311" t="s">
        <v>2020</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2692</v>
      </c>
      <c r="C1085" s="433"/>
      <c r="D1085" s="1328" t="s">
        <v>2228</v>
      </c>
      <c r="E1085" s="1328"/>
      <c r="F1085" s="1328"/>
      <c r="I1085" s="524" t="s">
        <v>2119</v>
      </c>
    </row>
    <row r="1086" spans="1:9">
      <c r="A1086" s="433"/>
      <c r="B1086" s="433"/>
      <c r="C1086" s="433"/>
      <c r="D1086" s="1328"/>
      <c r="E1086" s="1328"/>
      <c r="F1086" s="1328"/>
      <c r="I1086" s="524"/>
    </row>
    <row r="1087" spans="1:9">
      <c r="A1087" s="433"/>
      <c r="B1087" s="433"/>
      <c r="C1087" s="433"/>
      <c r="D1087" s="1329" t="s">
        <v>2501</v>
      </c>
      <c r="E1087" s="1266"/>
      <c r="F1087" s="1266"/>
      <c r="I1087" s="524"/>
    </row>
    <row r="1088" spans="1:9">
      <c r="A1088" s="433"/>
      <c r="B1088" s="433"/>
      <c r="C1088" s="433"/>
      <c r="D1088" s="561"/>
      <c r="I1088" s="524"/>
    </row>
    <row r="1089" spans="1:9">
      <c r="A1089" s="433"/>
      <c r="B1089" s="519" t="s">
        <v>2692</v>
      </c>
      <c r="C1089" s="433"/>
      <c r="D1089" s="1326" t="s">
        <v>2021</v>
      </c>
      <c r="E1089" s="1326"/>
      <c r="F1089" s="1326"/>
      <c r="I1089" s="524" t="s">
        <v>2120</v>
      </c>
    </row>
    <row r="1090" spans="1:9">
      <c r="A1090" s="433"/>
      <c r="B1090" s="433"/>
      <c r="C1090" s="433"/>
      <c r="D1090" s="1326"/>
      <c r="E1090" s="1326"/>
      <c r="F1090" s="1326"/>
      <c r="I1090" s="524"/>
    </row>
    <row r="1091" spans="1:9">
      <c r="A1091" s="433"/>
      <c r="B1091" s="433"/>
      <c r="C1091" s="433"/>
      <c r="D1091" s="561"/>
      <c r="I1091" s="524"/>
    </row>
    <row r="1092" spans="1:9">
      <c r="A1092" s="433"/>
      <c r="B1092" s="519" t="s">
        <v>2692</v>
      </c>
      <c r="C1092" s="433"/>
      <c r="D1092" s="1326" t="s">
        <v>2164</v>
      </c>
      <c r="E1092" s="1326"/>
      <c r="F1092" s="1326"/>
      <c r="I1092" s="524" t="s">
        <v>2162</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2163</v>
      </c>
      <c r="I1098" s="514"/>
    </row>
    <row r="1099" spans="1:9">
      <c r="A1099" s="433"/>
      <c r="B1099" s="519" t="s">
        <v>2692</v>
      </c>
      <c r="C1099" s="433"/>
      <c r="D1099" s="1326" t="s">
        <v>2022</v>
      </c>
      <c r="E1099" s="1326"/>
      <c r="F1099" s="1326"/>
      <c r="I1099" s="524" t="s">
        <v>2121</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2692</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2692</v>
      </c>
      <c r="C1107" s="433"/>
      <c r="D1107" s="1266" t="s">
        <v>2167</v>
      </c>
      <c r="E1107" s="1266"/>
      <c r="F1107" s="1266"/>
      <c r="I1107" s="524" t="s">
        <v>2166</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11" zoomScaleNormal="100" workbookViewId="0">
      <selection activeCell="U371" sqref="U371"/>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58" t="s">
        <v>100</v>
      </c>
      <c r="B8" s="1458"/>
      <c r="C8" s="1458"/>
      <c r="D8" s="1458"/>
      <c r="E8" s="1458"/>
      <c r="F8" s="1458"/>
      <c r="G8" s="1458"/>
      <c r="H8" s="1458"/>
      <c r="I8" s="1458"/>
      <c r="J8" s="1458"/>
      <c r="K8" s="1458"/>
      <c r="L8" s="1458"/>
      <c r="M8" s="1458"/>
      <c r="N8" s="1458"/>
      <c r="O8" s="1458"/>
      <c r="P8" s="1458"/>
      <c r="Q8" s="1458"/>
      <c r="R8" s="1458"/>
      <c r="S8" s="1458"/>
      <c r="T8" s="1458"/>
      <c r="U8" s="1458"/>
      <c r="V8" s="1458"/>
      <c r="W8" s="1458"/>
      <c r="X8" s="1458"/>
      <c r="Y8" s="1458"/>
      <c r="Z8" s="1458"/>
      <c r="AA8" s="1458"/>
      <c r="AB8" s="1458"/>
      <c r="AC8" s="1458"/>
      <c r="AD8" s="1458"/>
      <c r="AE8" s="1458"/>
      <c r="AF8" s="1458"/>
      <c r="AG8" s="1458"/>
      <c r="AH8" s="1458"/>
      <c r="AI8" s="1458"/>
      <c r="AJ8" s="1458"/>
      <c r="AK8" s="1458"/>
      <c r="AL8" s="1458"/>
      <c r="AM8" s="1458"/>
      <c r="AN8" s="1458"/>
      <c r="AO8" s="1458"/>
      <c r="AP8" s="1458"/>
      <c r="AQ8" s="1458"/>
      <c r="AR8" s="1458"/>
      <c r="AS8" s="1458"/>
      <c r="AT8" s="1458"/>
      <c r="AU8" s="933"/>
      <c r="AV8" s="933"/>
      <c r="AW8" s="933"/>
      <c r="AX8" s="933"/>
      <c r="AY8" s="933"/>
    </row>
    <row r="9" spans="1:51" ht="12.95" customHeight="1">
      <c r="A9" s="1302" t="s">
        <v>2391</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2580</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1769</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59" t="s">
        <v>2639</v>
      </c>
      <c r="B12" s="1459"/>
      <c r="C12" s="1459"/>
      <c r="D12" s="1459"/>
      <c r="E12" s="1459"/>
      <c r="F12" s="1459"/>
      <c r="G12" s="1459"/>
      <c r="H12" s="1459"/>
      <c r="I12" s="1459"/>
      <c r="J12" s="1459"/>
      <c r="K12" s="1459"/>
      <c r="L12" s="1459"/>
      <c r="M12" s="1459"/>
      <c r="N12" s="1459"/>
      <c r="O12" s="1459"/>
      <c r="P12" s="1459"/>
      <c r="Q12" s="1459"/>
      <c r="R12" s="1459"/>
      <c r="S12" s="1459"/>
      <c r="T12" s="1459"/>
      <c r="U12" s="1459"/>
      <c r="V12" s="1459"/>
      <c r="W12" s="1459"/>
      <c r="X12" s="1459"/>
      <c r="Y12" s="1459"/>
      <c r="Z12" s="1459"/>
      <c r="AA12" s="1459"/>
      <c r="AB12" s="1459"/>
      <c r="AC12" s="1459"/>
      <c r="AD12" s="1459"/>
      <c r="AE12" s="1459"/>
      <c r="AF12" s="1459"/>
      <c r="AG12" s="1459"/>
      <c r="AH12" s="1459"/>
      <c r="AI12" s="1459"/>
      <c r="AJ12" s="1459"/>
      <c r="AK12" s="1459"/>
      <c r="AL12" s="1459"/>
      <c r="AM12" s="1459"/>
      <c r="AN12" s="1459"/>
      <c r="AO12" s="1459"/>
      <c r="AP12" s="1459"/>
      <c r="AQ12" s="1459"/>
      <c r="AR12" s="1459"/>
      <c r="AS12" s="1459"/>
      <c r="AT12" s="1459"/>
      <c r="AU12" s="6"/>
      <c r="AV12" s="6"/>
      <c r="AW12" s="6"/>
      <c r="AX12" s="6"/>
      <c r="AY12" s="6"/>
    </row>
    <row r="13" spans="1:51" ht="12.95" customHeight="1">
      <c r="A13" s="1264" t="s">
        <v>2392</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66" t="s">
        <v>2648</v>
      </c>
      <c r="I16" s="1467"/>
      <c r="J16" s="1467"/>
      <c r="K16" s="1467"/>
      <c r="L16" s="1467"/>
      <c r="M16" s="1467"/>
      <c r="N16" s="1467"/>
      <c r="O16" s="1467"/>
      <c r="P16" s="1467"/>
      <c r="Q16" s="1467"/>
      <c r="R16" s="1467"/>
      <c r="S16" s="1467"/>
      <c r="T16" s="1467"/>
      <c r="U16" s="1467"/>
      <c r="V16" s="1467"/>
      <c r="W16" s="1467"/>
      <c r="X16" s="1467"/>
      <c r="Y16" s="1467"/>
      <c r="Z16" s="1467"/>
      <c r="AA16" s="1467"/>
      <c r="AB16" s="1467"/>
      <c r="AC16" s="1467"/>
      <c r="AD16" s="1467"/>
      <c r="AE16" s="1467"/>
      <c r="AF16" s="1467"/>
      <c r="AG16" s="1467"/>
      <c r="AH16" s="1467"/>
      <c r="AI16" s="1467"/>
      <c r="AJ16" s="1467"/>
    </row>
    <row r="17" spans="1:52" ht="12.95" customHeight="1"/>
    <row r="18" spans="1:52" ht="12.95" customHeight="1">
      <c r="A18" s="57" t="s">
        <v>101</v>
      </c>
      <c r="C18" s="4"/>
      <c r="D18" s="4"/>
      <c r="E18" s="4"/>
      <c r="F18" s="4"/>
      <c r="G18" s="4"/>
      <c r="H18" s="1407" t="s">
        <v>2641</v>
      </c>
      <c r="I18" s="1464"/>
      <c r="J18" s="1464"/>
      <c r="K18" s="1464"/>
      <c r="L18" s="1464"/>
      <c r="M18" s="1464"/>
      <c r="N18" s="1464"/>
      <c r="O18" s="1464"/>
      <c r="P18" s="1464"/>
      <c r="Q18" s="1464"/>
      <c r="R18" s="1464"/>
      <c r="S18" s="1464"/>
      <c r="T18" s="1464"/>
      <c r="U18" s="1464"/>
      <c r="V18" s="1464"/>
      <c r="W18" s="1464"/>
      <c r="X18" s="1464"/>
      <c r="Y18" s="1464"/>
      <c r="Z18" s="1464"/>
      <c r="AA18" s="1464"/>
      <c r="AB18" s="1464"/>
      <c r="AC18" s="1464"/>
      <c r="AD18" s="1464"/>
      <c r="AE18" s="1464"/>
      <c r="AF18" s="1464"/>
      <c r="AG18" s="1464"/>
      <c r="AH18" s="1464"/>
      <c r="AI18" s="1464"/>
      <c r="AJ18" s="1464"/>
    </row>
    <row r="19" spans="1:52" ht="12.95" customHeight="1"/>
    <row r="20" spans="1:52" ht="12.95" customHeight="1">
      <c r="A20" s="1460" t="s">
        <v>884</v>
      </c>
      <c r="B20" s="1460"/>
      <c r="C20" s="1460"/>
      <c r="D20" s="1460"/>
      <c r="E20" s="1460"/>
      <c r="F20" s="1460"/>
      <c r="G20" s="1460"/>
      <c r="H20" s="1460"/>
      <c r="I20" s="1460"/>
      <c r="J20" s="1460"/>
      <c r="K20" s="1460"/>
      <c r="L20" s="1460"/>
      <c r="M20" s="1460"/>
      <c r="N20" s="1460"/>
      <c r="O20" s="1460"/>
      <c r="P20" s="1460"/>
      <c r="Q20" s="1460"/>
      <c r="R20" s="1460"/>
      <c r="S20" s="1460"/>
      <c r="T20" s="1460"/>
      <c r="U20" s="1460"/>
      <c r="V20" s="1460"/>
      <c r="W20" s="1460"/>
      <c r="X20" s="1460"/>
      <c r="Y20" s="1460"/>
      <c r="Z20" s="1460"/>
      <c r="AA20" s="1460"/>
      <c r="AB20" s="1460"/>
      <c r="AC20" s="1460"/>
      <c r="AD20" s="1460"/>
      <c r="AE20" s="1460"/>
      <c r="AF20" s="1460"/>
      <c r="AG20" s="1460"/>
      <c r="AH20" s="1460"/>
      <c r="AI20" s="1460"/>
      <c r="AJ20" s="1460"/>
      <c r="AK20" s="1460"/>
      <c r="AL20" s="1460"/>
      <c r="AM20" s="1460"/>
      <c r="AN20" s="1460"/>
      <c r="AO20" s="1460"/>
      <c r="AP20" s="1460"/>
      <c r="AQ20" s="1460"/>
      <c r="AR20" s="1460"/>
      <c r="AS20" s="1460"/>
      <c r="AT20" s="1460"/>
      <c r="AU20" s="935"/>
      <c r="AV20" s="935"/>
      <c r="AW20" s="935"/>
      <c r="AX20" s="935"/>
      <c r="AY20" s="935"/>
    </row>
    <row r="21" spans="1:52" ht="12.95" customHeight="1">
      <c r="A21" s="1468" t="s">
        <v>1033</v>
      </c>
      <c r="B21" s="1468"/>
      <c r="C21" s="1468"/>
      <c r="D21" s="1468"/>
      <c r="E21" s="1468"/>
      <c r="F21" s="1468"/>
      <c r="G21" s="1468"/>
      <c r="H21" s="1468"/>
      <c r="I21" s="1468"/>
      <c r="J21" s="1468"/>
      <c r="K21" s="1468"/>
      <c r="L21" s="1468"/>
      <c r="M21" s="1468"/>
      <c r="N21" s="1468"/>
      <c r="O21" s="1468"/>
      <c r="P21" s="1468"/>
      <c r="Q21" s="1468"/>
      <c r="R21" s="1468"/>
      <c r="S21" s="1468"/>
      <c r="T21" s="1468"/>
      <c r="U21" s="1468"/>
      <c r="V21" s="1468"/>
      <c r="W21" s="1468"/>
      <c r="X21" s="1468"/>
      <c r="Y21" s="1468"/>
      <c r="Z21" s="1468"/>
      <c r="AA21" s="1468"/>
      <c r="AB21" s="1468"/>
      <c r="AC21" s="1468"/>
      <c r="AD21" s="1468"/>
      <c r="AE21" s="1468"/>
      <c r="AF21" s="1468"/>
      <c r="AG21" s="1468"/>
      <c r="AH21" s="1468"/>
      <c r="AI21" s="1468"/>
      <c r="AJ21" s="1468"/>
      <c r="AK21" s="1468"/>
      <c r="AL21" s="1468"/>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2505</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65">
        <f>'Basis &amp; Credits'!AB56</f>
        <v>3567700.9</v>
      </c>
      <c r="N26" s="1465"/>
      <c r="O26" s="1465"/>
      <c r="P26" s="1465"/>
      <c r="Q26" s="1465"/>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1">
        <f>'Basis &amp; Credits'!AB78</f>
        <v>0</v>
      </c>
      <c r="N27" s="1371"/>
      <c r="O27" s="1371"/>
      <c r="P27" s="1371"/>
      <c r="Q27" s="1371"/>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61" t="s">
        <v>2506</v>
      </c>
      <c r="B29" s="1461"/>
      <c r="C29" s="1461"/>
      <c r="D29" s="1461"/>
      <c r="E29" s="1461"/>
      <c r="F29" s="1461"/>
      <c r="G29" s="1461"/>
      <c r="H29" s="1461"/>
      <c r="I29" s="1461"/>
      <c r="J29" s="1461"/>
      <c r="K29" s="1461"/>
      <c r="L29" s="1461"/>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61"/>
      <c r="AR29" s="1461"/>
      <c r="AS29" s="1461"/>
      <c r="AT29" s="1461"/>
    </row>
    <row r="30" spans="1:52" ht="12.95" customHeight="1">
      <c r="A30" s="1461"/>
      <c r="B30" s="1461"/>
      <c r="C30" s="1461"/>
      <c r="D30" s="1461"/>
      <c r="E30" s="1461"/>
      <c r="F30" s="1461"/>
      <c r="G30" s="1461"/>
      <c r="H30" s="1461"/>
      <c r="I30" s="1461"/>
      <c r="J30" s="1461"/>
      <c r="K30" s="1461"/>
      <c r="L30" s="1461"/>
      <c r="M30" s="1461"/>
      <c r="N30" s="1461"/>
      <c r="O30" s="1461"/>
      <c r="P30" s="1461"/>
      <c r="Q30" s="1461"/>
      <c r="R30" s="1461"/>
      <c r="S30" s="1461"/>
      <c r="T30" s="1461"/>
      <c r="U30" s="1461"/>
      <c r="V30" s="1461"/>
      <c r="W30" s="1461"/>
      <c r="X30" s="1461"/>
      <c r="Y30" s="1461"/>
      <c r="Z30" s="1461"/>
      <c r="AA30" s="1461"/>
      <c r="AB30" s="1461"/>
      <c r="AC30" s="1461"/>
      <c r="AD30" s="1461"/>
      <c r="AE30" s="1461"/>
      <c r="AF30" s="1461"/>
      <c r="AG30" s="1461"/>
      <c r="AH30" s="1461"/>
      <c r="AI30" s="1461"/>
      <c r="AJ30" s="1461"/>
      <c r="AK30" s="1461"/>
      <c r="AL30" s="1461"/>
      <c r="AM30" s="1461"/>
      <c r="AN30" s="1461"/>
      <c r="AO30" s="1461"/>
      <c r="AP30" s="1461"/>
      <c r="AQ30" s="1461"/>
      <c r="AR30" s="1461"/>
      <c r="AS30" s="1461"/>
      <c r="AT30" s="1461"/>
      <c r="AZ30" s="20"/>
    </row>
    <row r="31" spans="1:52" ht="12.95" customHeight="1">
      <c r="A31" s="1461"/>
      <c r="B31" s="1461"/>
      <c r="C31" s="1461"/>
      <c r="D31" s="1461"/>
      <c r="E31" s="1461"/>
      <c r="F31" s="1461"/>
      <c r="G31" s="1461"/>
      <c r="H31" s="1461"/>
      <c r="I31" s="1461"/>
      <c r="J31" s="1461"/>
      <c r="K31" s="1461"/>
      <c r="L31" s="1461"/>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61"/>
      <c r="AR31" s="1461"/>
      <c r="AS31" s="1461"/>
      <c r="AT31" s="1461"/>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416" t="s">
        <v>677</v>
      </c>
      <c r="P33" s="1416"/>
      <c r="Q33" s="1462" t="s">
        <v>2507</v>
      </c>
      <c r="R33" s="1462"/>
      <c r="S33" s="1462"/>
      <c r="T33" s="1462"/>
      <c r="U33" s="1462"/>
      <c r="V33" s="1462"/>
      <c r="W33" s="1462"/>
      <c r="X33" s="1462"/>
      <c r="Y33" s="1462"/>
      <c r="Z33" s="1462"/>
      <c r="AA33" s="1462"/>
      <c r="AB33" s="1462"/>
      <c r="AC33" s="1462"/>
      <c r="AD33" s="1462"/>
      <c r="AE33" s="1462"/>
      <c r="AF33" s="1462"/>
      <c r="AG33" s="1462"/>
      <c r="AH33" s="1462"/>
      <c r="AI33" s="1462"/>
      <c r="AJ33" s="1462"/>
      <c r="AK33" s="1462"/>
      <c r="AL33" s="1462"/>
      <c r="AM33" s="1462"/>
      <c r="AN33" s="1462"/>
      <c r="AO33" s="1462"/>
      <c r="AP33" s="1462"/>
      <c r="AQ33" s="1462"/>
      <c r="AR33" s="1462"/>
      <c r="AS33" s="1462"/>
      <c r="AT33" s="1462"/>
      <c r="AU33" s="20"/>
      <c r="AV33" s="20"/>
      <c r="AW33" s="20"/>
      <c r="AX33" s="20"/>
      <c r="AY33" s="20"/>
    </row>
    <row r="34" spans="1:52" ht="12.95" customHeight="1">
      <c r="A34" s="1461" t="s">
        <v>2508</v>
      </c>
      <c r="B34" s="1461"/>
      <c r="C34" s="1461"/>
      <c r="D34" s="1461"/>
      <c r="E34" s="1461"/>
      <c r="F34" s="1461"/>
      <c r="G34" s="1461"/>
      <c r="H34" s="1461"/>
      <c r="I34" s="1461"/>
      <c r="J34" s="1461"/>
      <c r="K34" s="146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1461"/>
      <c r="AI34" s="1461"/>
      <c r="AJ34" s="1461"/>
      <c r="AK34" s="1461"/>
      <c r="AL34" s="1461"/>
      <c r="AM34" s="1461"/>
      <c r="AN34" s="1461"/>
      <c r="AO34" s="1461"/>
      <c r="AP34" s="1461"/>
      <c r="AQ34" s="1461"/>
      <c r="AR34" s="1461"/>
      <c r="AS34" s="1461"/>
      <c r="AT34" s="1461"/>
      <c r="AU34" s="20"/>
      <c r="AV34" s="20"/>
      <c r="AW34" s="20"/>
      <c r="AX34" s="20"/>
      <c r="AY34" s="20"/>
      <c r="AZ34" s="20"/>
    </row>
    <row r="35" spans="1:52" ht="12.95" customHeight="1">
      <c r="A35" s="1461"/>
      <c r="B35" s="1461"/>
      <c r="C35" s="1461"/>
      <c r="D35" s="1461"/>
      <c r="E35" s="1461"/>
      <c r="F35" s="1461"/>
      <c r="G35" s="1461"/>
      <c r="H35" s="1461"/>
      <c r="I35" s="1461"/>
      <c r="J35" s="1461"/>
      <c r="K35" s="1461"/>
      <c r="L35" s="1461"/>
      <c r="M35" s="1461"/>
      <c r="N35" s="1461"/>
      <c r="O35" s="1461"/>
      <c r="P35" s="1461"/>
      <c r="Q35" s="1461"/>
      <c r="R35" s="1461"/>
      <c r="S35" s="1461"/>
      <c r="T35" s="1461"/>
      <c r="U35" s="1461"/>
      <c r="V35" s="1461"/>
      <c r="W35" s="1461"/>
      <c r="X35" s="1461"/>
      <c r="Y35" s="1461"/>
      <c r="Z35" s="1461"/>
      <c r="AA35" s="1461"/>
      <c r="AB35" s="1461"/>
      <c r="AC35" s="1461"/>
      <c r="AD35" s="1461"/>
      <c r="AE35" s="1461"/>
      <c r="AF35" s="1461"/>
      <c r="AG35" s="1461"/>
      <c r="AH35" s="1461"/>
      <c r="AI35" s="1461"/>
      <c r="AJ35" s="1461"/>
      <c r="AK35" s="1461"/>
      <c r="AL35" s="1461"/>
      <c r="AM35" s="1461"/>
      <c r="AN35" s="1461"/>
      <c r="AO35" s="1461"/>
      <c r="AP35" s="1461"/>
      <c r="AQ35" s="1461"/>
      <c r="AR35" s="1461"/>
      <c r="AS35" s="1461"/>
      <c r="AT35" s="1461"/>
      <c r="AU35" s="20"/>
      <c r="AV35" s="20"/>
      <c r="AW35" s="20"/>
      <c r="AX35" s="20"/>
      <c r="AY35" s="20"/>
      <c r="AZ35" s="20"/>
    </row>
    <row r="36" spans="1:52" ht="12.95" customHeight="1">
      <c r="A36" s="1461"/>
      <c r="B36" s="1461"/>
      <c r="C36" s="1461"/>
      <c r="D36" s="1461"/>
      <c r="E36" s="1461"/>
      <c r="F36" s="1461"/>
      <c r="G36" s="1461"/>
      <c r="H36" s="1461"/>
      <c r="I36" s="1461"/>
      <c r="J36" s="1461"/>
      <c r="K36" s="1461"/>
      <c r="L36" s="1461"/>
      <c r="M36" s="1461"/>
      <c r="N36" s="1461"/>
      <c r="O36" s="1461"/>
      <c r="P36" s="1461"/>
      <c r="Q36" s="1461"/>
      <c r="R36" s="1461"/>
      <c r="S36" s="1461"/>
      <c r="T36" s="1461"/>
      <c r="U36" s="1461"/>
      <c r="V36" s="1461"/>
      <c r="W36" s="1461"/>
      <c r="X36" s="1461"/>
      <c r="Y36" s="1461"/>
      <c r="Z36" s="1461"/>
      <c r="AA36" s="1461"/>
      <c r="AB36" s="1461"/>
      <c r="AC36" s="1461"/>
      <c r="AD36" s="1461"/>
      <c r="AE36" s="1461"/>
      <c r="AF36" s="1461"/>
      <c r="AG36" s="1461"/>
      <c r="AH36" s="1461"/>
      <c r="AI36" s="1461"/>
      <c r="AJ36" s="1461"/>
      <c r="AK36" s="1461"/>
      <c r="AL36" s="1461"/>
      <c r="AM36" s="1461"/>
      <c r="AN36" s="1461"/>
      <c r="AO36" s="1461"/>
      <c r="AP36" s="1461"/>
      <c r="AQ36" s="1461"/>
      <c r="AR36" s="1461"/>
      <c r="AS36" s="1461"/>
      <c r="AT36" s="1461"/>
      <c r="AU36" s="20"/>
      <c r="AV36" s="20"/>
      <c r="AW36" s="20"/>
      <c r="AX36" s="20"/>
      <c r="AY36" s="20"/>
      <c r="AZ36" s="20"/>
    </row>
    <row r="37" spans="1:52" ht="12.95" customHeight="1">
      <c r="A37" s="1461"/>
      <c r="B37" s="1461"/>
      <c r="C37" s="1461"/>
      <c r="D37" s="1461"/>
      <c r="E37" s="1461"/>
      <c r="F37" s="1461"/>
      <c r="G37" s="1461"/>
      <c r="H37" s="1461"/>
      <c r="I37" s="1461"/>
      <c r="J37" s="1461"/>
      <c r="K37" s="1461"/>
      <c r="L37" s="1461"/>
      <c r="M37" s="1461"/>
      <c r="N37" s="1461"/>
      <c r="O37" s="1461"/>
      <c r="P37" s="1461"/>
      <c r="Q37" s="1461"/>
      <c r="R37" s="1461"/>
      <c r="S37" s="1461"/>
      <c r="T37" s="1461"/>
      <c r="U37" s="1461"/>
      <c r="V37" s="1461"/>
      <c r="W37" s="1461"/>
      <c r="X37" s="1461"/>
      <c r="Y37" s="1461"/>
      <c r="Z37" s="1461"/>
      <c r="AA37" s="1461"/>
      <c r="AB37" s="1461"/>
      <c r="AC37" s="1461"/>
      <c r="AD37" s="1461"/>
      <c r="AE37" s="1461"/>
      <c r="AF37" s="1461"/>
      <c r="AG37" s="1461"/>
      <c r="AH37" s="1461"/>
      <c r="AI37" s="1461"/>
      <c r="AJ37" s="1461"/>
      <c r="AK37" s="1461"/>
      <c r="AL37" s="1461"/>
      <c r="AM37" s="1461"/>
      <c r="AN37" s="1461"/>
      <c r="AO37" s="1461"/>
      <c r="AP37" s="1461"/>
      <c r="AQ37" s="1461"/>
      <c r="AR37" s="1461"/>
      <c r="AS37" s="1461"/>
      <c r="AT37" s="1461"/>
      <c r="AZ37" s="20"/>
    </row>
    <row r="38" spans="1:52" ht="12.95" customHeight="1">
      <c r="A38" s="3"/>
      <c r="AZ38" s="20"/>
    </row>
    <row r="39" spans="1:52" ht="12.95" customHeight="1">
      <c r="A39" s="1266" t="s">
        <v>2509</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2510</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2511</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2512</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2513</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63" t="s">
        <v>2515</v>
      </c>
      <c r="B65" s="1463"/>
      <c r="C65" s="1463"/>
      <c r="D65" s="1463"/>
      <c r="E65" s="1463"/>
      <c r="F65" s="1463"/>
      <c r="G65" s="1463"/>
      <c r="H65" s="1463"/>
      <c r="I65" s="1463"/>
      <c r="J65" s="1463"/>
      <c r="K65" s="1463"/>
      <c r="L65" s="1463"/>
      <c r="M65" s="1463"/>
      <c r="N65" s="1463"/>
      <c r="O65" s="1463"/>
      <c r="P65" s="1463"/>
      <c r="Q65" s="1463"/>
      <c r="R65" s="1463"/>
      <c r="S65" s="1463"/>
      <c r="T65" s="1463"/>
      <c r="U65" s="1463"/>
      <c r="V65" s="1463"/>
      <c r="W65" s="1463"/>
      <c r="X65" s="1463"/>
      <c r="Y65" s="1463"/>
      <c r="Z65" s="1463"/>
      <c r="AA65" s="1463"/>
      <c r="AB65" s="1463"/>
      <c r="AC65" s="1463"/>
      <c r="AD65" s="1463"/>
      <c r="AE65" s="1463"/>
      <c r="AF65" s="1463"/>
      <c r="AG65" s="1463"/>
      <c r="AH65" s="1463"/>
      <c r="AI65" s="1463"/>
      <c r="AJ65" s="1463"/>
      <c r="AK65" s="1463"/>
      <c r="AL65" s="1463"/>
      <c r="AM65" s="1463"/>
      <c r="AN65" s="1463"/>
      <c r="AO65" s="1463"/>
      <c r="AP65" s="1463"/>
      <c r="AQ65" s="1463"/>
      <c r="AR65" s="1463"/>
      <c r="AS65" s="1463"/>
      <c r="AT65" s="1463"/>
      <c r="AU65" s="21"/>
      <c r="AV65" s="21"/>
      <c r="AW65" s="21"/>
      <c r="AX65" s="21"/>
      <c r="AY65" s="21"/>
      <c r="AZ65" s="20"/>
    </row>
    <row r="66" spans="1:52" ht="12.95" customHeight="1">
      <c r="A66" s="1463"/>
      <c r="B66" s="1463"/>
      <c r="C66" s="1463"/>
      <c r="D66" s="1463"/>
      <c r="E66" s="1463"/>
      <c r="F66" s="1463"/>
      <c r="G66" s="1463"/>
      <c r="H66" s="1463"/>
      <c r="I66" s="1463"/>
      <c r="J66" s="1463"/>
      <c r="K66" s="1463"/>
      <c r="L66" s="1463"/>
      <c r="M66" s="1463"/>
      <c r="N66" s="1463"/>
      <c r="O66" s="1463"/>
      <c r="P66" s="1463"/>
      <c r="Q66" s="1463"/>
      <c r="R66" s="1463"/>
      <c r="S66" s="1463"/>
      <c r="T66" s="1463"/>
      <c r="U66" s="1463"/>
      <c r="V66" s="1463"/>
      <c r="W66" s="1463"/>
      <c r="X66" s="1463"/>
      <c r="Y66" s="1463"/>
      <c r="Z66" s="1463"/>
      <c r="AA66" s="1463"/>
      <c r="AB66" s="1463"/>
      <c r="AC66" s="1463"/>
      <c r="AD66" s="1463"/>
      <c r="AE66" s="1463"/>
      <c r="AF66" s="1463"/>
      <c r="AG66" s="1463"/>
      <c r="AH66" s="1463"/>
      <c r="AI66" s="1463"/>
      <c r="AJ66" s="1463"/>
      <c r="AK66" s="1463"/>
      <c r="AL66" s="1463"/>
      <c r="AM66" s="1463"/>
      <c r="AN66" s="1463"/>
      <c r="AO66" s="1463"/>
      <c r="AP66" s="1463"/>
      <c r="AQ66" s="1463"/>
      <c r="AR66" s="1463"/>
      <c r="AS66" s="1463"/>
      <c r="AT66" s="1463"/>
      <c r="AU66" s="21"/>
      <c r="AV66" s="21"/>
      <c r="AW66" s="21"/>
      <c r="AX66" s="21"/>
      <c r="AY66" s="21"/>
      <c r="AZ66" s="20"/>
    </row>
    <row r="67" spans="1:52" ht="12.95" customHeight="1">
      <c r="A67" s="1463"/>
      <c r="B67" s="1463"/>
      <c r="C67" s="1463"/>
      <c r="D67" s="1463"/>
      <c r="E67" s="1463"/>
      <c r="F67" s="1463"/>
      <c r="G67" s="1463"/>
      <c r="H67" s="1463"/>
      <c r="I67" s="1463"/>
      <c r="J67" s="1463"/>
      <c r="K67" s="1463"/>
      <c r="L67" s="1463"/>
      <c r="M67" s="1463"/>
      <c r="N67" s="1463"/>
      <c r="O67" s="1463"/>
      <c r="P67" s="1463"/>
      <c r="Q67" s="1463"/>
      <c r="R67" s="1463"/>
      <c r="S67" s="1463"/>
      <c r="T67" s="1463"/>
      <c r="U67" s="1463"/>
      <c r="V67" s="1463"/>
      <c r="W67" s="1463"/>
      <c r="X67" s="1463"/>
      <c r="Y67" s="1463"/>
      <c r="Z67" s="1463"/>
      <c r="AA67" s="1463"/>
      <c r="AB67" s="1463"/>
      <c r="AC67" s="1463"/>
      <c r="AD67" s="1463"/>
      <c r="AE67" s="1463"/>
      <c r="AF67" s="1463"/>
      <c r="AG67" s="1463"/>
      <c r="AH67" s="1463"/>
      <c r="AI67" s="1463"/>
      <c r="AJ67" s="1463"/>
      <c r="AK67" s="1463"/>
      <c r="AL67" s="1463"/>
      <c r="AM67" s="1463"/>
      <c r="AN67" s="1463"/>
      <c r="AO67" s="1463"/>
      <c r="AP67" s="1463"/>
      <c r="AQ67" s="1463"/>
      <c r="AR67" s="1463"/>
      <c r="AS67" s="1463"/>
      <c r="AT67" s="1463"/>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63" t="s">
        <v>2516</v>
      </c>
      <c r="B69" s="1463"/>
      <c r="C69" s="1463"/>
      <c r="D69" s="1463"/>
      <c r="E69" s="1463"/>
      <c r="F69" s="1463"/>
      <c r="G69" s="1463"/>
      <c r="H69" s="1463"/>
      <c r="I69" s="1463"/>
      <c r="J69" s="1463"/>
      <c r="K69" s="1463"/>
      <c r="L69" s="1463"/>
      <c r="M69" s="1463"/>
      <c r="N69" s="1463"/>
      <c r="O69" s="1463"/>
      <c r="P69" s="1463"/>
      <c r="Q69" s="1463"/>
      <c r="R69" s="1463"/>
      <c r="S69" s="1463"/>
      <c r="T69" s="1463"/>
      <c r="U69" s="1463"/>
      <c r="V69" s="1463"/>
      <c r="W69" s="1463"/>
      <c r="X69" s="1463"/>
      <c r="Y69" s="1463"/>
      <c r="Z69" s="1463"/>
      <c r="AA69" s="1463"/>
      <c r="AB69" s="1463"/>
      <c r="AC69" s="1463"/>
      <c r="AD69" s="1463"/>
      <c r="AE69" s="1463"/>
      <c r="AF69" s="1463"/>
      <c r="AG69" s="1463"/>
      <c r="AH69" s="1463"/>
      <c r="AI69" s="1463"/>
      <c r="AJ69" s="1463"/>
      <c r="AK69" s="1463"/>
      <c r="AL69" s="1463"/>
      <c r="AM69" s="1463"/>
      <c r="AN69" s="1463"/>
      <c r="AO69" s="1463"/>
      <c r="AP69" s="1463"/>
      <c r="AQ69" s="1463"/>
      <c r="AR69" s="1463"/>
      <c r="AS69" s="1463"/>
      <c r="AT69" s="1463"/>
      <c r="AZ69" s="20"/>
    </row>
    <row r="70" spans="1:52" ht="12.95" customHeight="1">
      <c r="A70" s="1463"/>
      <c r="B70" s="1463"/>
      <c r="C70" s="1463"/>
      <c r="D70" s="1463"/>
      <c r="E70" s="1463"/>
      <c r="F70" s="1463"/>
      <c r="G70" s="1463"/>
      <c r="H70" s="1463"/>
      <c r="I70" s="1463"/>
      <c r="J70" s="1463"/>
      <c r="K70" s="1463"/>
      <c r="L70" s="1463"/>
      <c r="M70" s="1463"/>
      <c r="N70" s="1463"/>
      <c r="O70" s="1463"/>
      <c r="P70" s="1463"/>
      <c r="Q70" s="1463"/>
      <c r="R70" s="1463"/>
      <c r="S70" s="1463"/>
      <c r="T70" s="1463"/>
      <c r="U70" s="1463"/>
      <c r="V70" s="1463"/>
      <c r="W70" s="1463"/>
      <c r="X70" s="1463"/>
      <c r="Y70" s="1463"/>
      <c r="Z70" s="1463"/>
      <c r="AA70" s="1463"/>
      <c r="AB70" s="1463"/>
      <c r="AC70" s="1463"/>
      <c r="AD70" s="1463"/>
      <c r="AE70" s="1463"/>
      <c r="AF70" s="1463"/>
      <c r="AG70" s="1463"/>
      <c r="AH70" s="1463"/>
      <c r="AI70" s="1463"/>
      <c r="AJ70" s="1463"/>
      <c r="AK70" s="1463"/>
      <c r="AL70" s="1463"/>
      <c r="AM70" s="1463"/>
      <c r="AN70" s="1463"/>
      <c r="AO70" s="1463"/>
      <c r="AP70" s="1463"/>
      <c r="AQ70" s="1463"/>
      <c r="AR70" s="1463"/>
      <c r="AS70" s="1463"/>
      <c r="AT70" s="1463"/>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61" t="s">
        <v>2517</v>
      </c>
      <c r="B72" s="1461"/>
      <c r="C72" s="1461"/>
      <c r="D72" s="1461"/>
      <c r="E72" s="1461"/>
      <c r="F72" s="1461"/>
      <c r="G72" s="1461"/>
      <c r="H72" s="1461"/>
      <c r="I72" s="1461"/>
      <c r="J72" s="1461"/>
      <c r="K72" s="1461"/>
      <c r="L72" s="1461"/>
      <c r="M72" s="1461"/>
      <c r="N72" s="1461"/>
      <c r="O72" s="1461"/>
      <c r="P72" s="1461"/>
      <c r="Q72" s="1461"/>
      <c r="R72" s="1461"/>
      <c r="S72" s="1461"/>
      <c r="T72" s="1461"/>
      <c r="U72" s="1461"/>
      <c r="V72" s="1461"/>
      <c r="W72" s="1461"/>
      <c r="X72" s="1461"/>
      <c r="Y72" s="1461"/>
      <c r="Z72" s="1461"/>
      <c r="AA72" s="1461"/>
      <c r="AB72" s="1461"/>
      <c r="AC72" s="1461"/>
      <c r="AD72" s="1461"/>
      <c r="AE72" s="1461"/>
      <c r="AF72" s="1461"/>
      <c r="AG72" s="1461"/>
      <c r="AH72" s="1461"/>
      <c r="AI72" s="1461"/>
      <c r="AJ72" s="1461"/>
      <c r="AK72" s="1461"/>
      <c r="AL72" s="1461"/>
      <c r="AM72" s="1461"/>
      <c r="AN72" s="1461"/>
      <c r="AO72" s="1461"/>
      <c r="AP72" s="1461"/>
      <c r="AQ72" s="1461"/>
      <c r="AR72" s="1461"/>
      <c r="AS72" s="1461"/>
      <c r="AT72" s="1461"/>
      <c r="AU72" s="20"/>
      <c r="AV72" s="20"/>
      <c r="AW72" s="20"/>
      <c r="AX72" s="20"/>
      <c r="AY72" s="20"/>
      <c r="AZ72" s="20"/>
    </row>
    <row r="73" spans="1:52" ht="12.95" customHeight="1">
      <c r="A73" s="1461"/>
      <c r="B73" s="1461"/>
      <c r="C73" s="1461"/>
      <c r="D73" s="1461"/>
      <c r="E73" s="1461"/>
      <c r="F73" s="1461"/>
      <c r="G73" s="1461"/>
      <c r="H73" s="1461"/>
      <c r="I73" s="1461"/>
      <c r="J73" s="1461"/>
      <c r="K73" s="1461"/>
      <c r="L73" s="1461"/>
      <c r="M73" s="1461"/>
      <c r="N73" s="1461"/>
      <c r="O73" s="1461"/>
      <c r="P73" s="1461"/>
      <c r="Q73" s="1461"/>
      <c r="R73" s="1461"/>
      <c r="S73" s="1461"/>
      <c r="T73" s="1461"/>
      <c r="U73" s="1461"/>
      <c r="V73" s="1461"/>
      <c r="W73" s="1461"/>
      <c r="X73" s="1461"/>
      <c r="Y73" s="1461"/>
      <c r="Z73" s="1461"/>
      <c r="AA73" s="1461"/>
      <c r="AB73" s="1461"/>
      <c r="AC73" s="1461"/>
      <c r="AD73" s="1461"/>
      <c r="AE73" s="1461"/>
      <c r="AF73" s="1461"/>
      <c r="AG73" s="1461"/>
      <c r="AH73" s="1461"/>
      <c r="AI73" s="1461"/>
      <c r="AJ73" s="1461"/>
      <c r="AK73" s="1461"/>
      <c r="AL73" s="1461"/>
      <c r="AM73" s="1461"/>
      <c r="AN73" s="1461"/>
      <c r="AO73" s="1461"/>
      <c r="AP73" s="1461"/>
      <c r="AQ73" s="1461"/>
      <c r="AR73" s="1461"/>
      <c r="AS73" s="1461"/>
      <c r="AT73" s="1461"/>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3" t="s">
        <v>2518</v>
      </c>
      <c r="B75" s="1793"/>
      <c r="C75" s="1793"/>
      <c r="D75" s="1793"/>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H75" s="1793"/>
      <c r="AI75" s="1793"/>
      <c r="AJ75" s="1793"/>
      <c r="AK75" s="1793"/>
      <c r="AL75" s="1793"/>
      <c r="AM75" s="1793"/>
      <c r="AN75" s="1793"/>
      <c r="AO75" s="1793"/>
      <c r="AP75" s="1793"/>
      <c r="AQ75" s="1793"/>
      <c r="AR75" s="1793"/>
      <c r="AS75" s="1793"/>
      <c r="AT75" s="1793"/>
      <c r="AU75" s="20"/>
      <c r="AV75" s="20"/>
      <c r="AW75" s="20"/>
      <c r="AX75" s="20"/>
      <c r="AY75" s="20"/>
      <c r="AZ75" s="20"/>
    </row>
    <row r="76" spans="1:52" ht="12.95" customHeight="1">
      <c r="A76" s="1793"/>
      <c r="B76" s="1793"/>
      <c r="C76" s="1793"/>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H76" s="1793"/>
      <c r="AI76" s="1793"/>
      <c r="AJ76" s="1793"/>
      <c r="AK76" s="1793"/>
      <c r="AL76" s="1793"/>
      <c r="AM76" s="1793"/>
      <c r="AN76" s="1793"/>
      <c r="AO76" s="1793"/>
      <c r="AP76" s="1793"/>
      <c r="AQ76" s="1793"/>
      <c r="AR76" s="1793"/>
      <c r="AS76" s="1793"/>
      <c r="AT76" s="1793"/>
      <c r="AU76" s="20"/>
      <c r="AV76" s="20"/>
      <c r="AW76" s="20"/>
      <c r="AX76" s="20"/>
      <c r="AY76" s="20"/>
      <c r="AZ76" s="17"/>
    </row>
    <row r="77" spans="1:52" ht="12.95" customHeight="1">
      <c r="A77" s="1793"/>
      <c r="B77" s="1793"/>
      <c r="C77" s="1793"/>
      <c r="D77" s="1793"/>
      <c r="E77" s="1793"/>
      <c r="F77" s="1793"/>
      <c r="G77" s="1793"/>
      <c r="H77" s="1793"/>
      <c r="I77" s="1793"/>
      <c r="J77" s="1793"/>
      <c r="K77" s="1793"/>
      <c r="L77" s="1793"/>
      <c r="M77" s="1793"/>
      <c r="N77" s="1793"/>
      <c r="O77" s="1793"/>
      <c r="P77" s="1793"/>
      <c r="Q77" s="1793"/>
      <c r="R77" s="1793"/>
      <c r="S77" s="1793"/>
      <c r="T77" s="1793"/>
      <c r="U77" s="1793"/>
      <c r="V77" s="1793"/>
      <c r="W77" s="1793"/>
      <c r="X77" s="1793"/>
      <c r="Y77" s="1793"/>
      <c r="Z77" s="1793"/>
      <c r="AA77" s="1793"/>
      <c r="AB77" s="1793"/>
      <c r="AC77" s="1793"/>
      <c r="AD77" s="1793"/>
      <c r="AE77" s="1793"/>
      <c r="AF77" s="1793"/>
      <c r="AG77" s="1793"/>
      <c r="AH77" s="1793"/>
      <c r="AI77" s="1793"/>
      <c r="AJ77" s="1793"/>
      <c r="AK77" s="1793"/>
      <c r="AL77" s="1793"/>
      <c r="AM77" s="1793"/>
      <c r="AN77" s="1793"/>
      <c r="AO77" s="1793"/>
      <c r="AP77" s="1793"/>
      <c r="AQ77" s="1793"/>
      <c r="AR77" s="1793"/>
      <c r="AS77" s="1793"/>
      <c r="AT77" s="1793"/>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63" t="s">
        <v>2519</v>
      </c>
      <c r="B79" s="1463"/>
      <c r="C79" s="1463"/>
      <c r="D79" s="1463"/>
      <c r="E79" s="1463"/>
      <c r="F79" s="1463"/>
      <c r="G79" s="1463"/>
      <c r="H79" s="1463"/>
      <c r="I79" s="1463"/>
      <c r="J79" s="1463"/>
      <c r="K79" s="1463"/>
      <c r="L79" s="1463"/>
      <c r="M79" s="1463"/>
      <c r="N79" s="1463"/>
      <c r="O79" s="1463"/>
      <c r="P79" s="1463"/>
      <c r="Q79" s="1463"/>
      <c r="R79" s="1463"/>
      <c r="S79" s="1463"/>
      <c r="T79" s="1463"/>
      <c r="U79" s="1463"/>
      <c r="V79" s="1463"/>
      <c r="W79" s="1463"/>
      <c r="X79" s="1463"/>
      <c r="Y79" s="1463"/>
      <c r="Z79" s="1463"/>
      <c r="AA79" s="1463"/>
      <c r="AB79" s="1463"/>
      <c r="AC79" s="1463"/>
      <c r="AD79" s="1463"/>
      <c r="AE79" s="1463"/>
      <c r="AF79" s="1463"/>
      <c r="AG79" s="1463"/>
      <c r="AH79" s="1463"/>
      <c r="AI79" s="1463"/>
      <c r="AJ79" s="1463"/>
      <c r="AK79" s="1463"/>
      <c r="AL79" s="1463"/>
      <c r="AM79" s="1463"/>
      <c r="AN79" s="1463"/>
      <c r="AO79" s="1463"/>
      <c r="AP79" s="1463"/>
      <c r="AQ79" s="1463"/>
      <c r="AR79" s="1463"/>
      <c r="AS79" s="1463"/>
      <c r="AT79" s="1463"/>
      <c r="AU79" s="20"/>
      <c r="AV79" s="20"/>
      <c r="AW79" s="20"/>
      <c r="AX79" s="20"/>
      <c r="AY79" s="20"/>
      <c r="AZ79" s="20"/>
    </row>
    <row r="80" spans="1:52" ht="12.95" customHeight="1">
      <c r="A80" s="1463"/>
      <c r="B80" s="1463"/>
      <c r="C80" s="1463"/>
      <c r="D80" s="1463"/>
      <c r="E80" s="1463"/>
      <c r="F80" s="1463"/>
      <c r="G80" s="1463"/>
      <c r="H80" s="1463"/>
      <c r="I80" s="1463"/>
      <c r="J80" s="1463"/>
      <c r="K80" s="1463"/>
      <c r="L80" s="1463"/>
      <c r="M80" s="1463"/>
      <c r="N80" s="1463"/>
      <c r="O80" s="1463"/>
      <c r="P80" s="1463"/>
      <c r="Q80" s="1463"/>
      <c r="R80" s="1463"/>
      <c r="S80" s="1463"/>
      <c r="T80" s="1463"/>
      <c r="U80" s="1463"/>
      <c r="V80" s="1463"/>
      <c r="W80" s="1463"/>
      <c r="X80" s="1463"/>
      <c r="Y80" s="1463"/>
      <c r="Z80" s="1463"/>
      <c r="AA80" s="1463"/>
      <c r="AB80" s="1463"/>
      <c r="AC80" s="1463"/>
      <c r="AD80" s="1463"/>
      <c r="AE80" s="1463"/>
      <c r="AF80" s="1463"/>
      <c r="AG80" s="1463"/>
      <c r="AH80" s="1463"/>
      <c r="AI80" s="1463"/>
      <c r="AJ80" s="1463"/>
      <c r="AK80" s="1463"/>
      <c r="AL80" s="1463"/>
      <c r="AM80" s="1463"/>
      <c r="AN80" s="1463"/>
      <c r="AO80" s="1463"/>
      <c r="AP80" s="1463"/>
      <c r="AQ80" s="1463"/>
      <c r="AR80" s="1463"/>
      <c r="AS80" s="1463"/>
      <c r="AT80" s="1463"/>
      <c r="AU80" s="20"/>
      <c r="AV80" s="20"/>
      <c r="AW80" s="20"/>
      <c r="AX80" s="20"/>
      <c r="AY80" s="20"/>
      <c r="AZ80" s="20"/>
    </row>
    <row r="81" spans="1:52" ht="12.95" customHeight="1">
      <c r="A81" s="1463"/>
      <c r="B81" s="1463"/>
      <c r="C81" s="1463"/>
      <c r="D81" s="1463"/>
      <c r="E81" s="1463"/>
      <c r="F81" s="1463"/>
      <c r="G81" s="1463"/>
      <c r="H81" s="1463"/>
      <c r="I81" s="1463"/>
      <c r="J81" s="1463"/>
      <c r="K81" s="1463"/>
      <c r="L81" s="1463"/>
      <c r="M81" s="1463"/>
      <c r="N81" s="1463"/>
      <c r="O81" s="1463"/>
      <c r="P81" s="1463"/>
      <c r="Q81" s="1463"/>
      <c r="R81" s="1463"/>
      <c r="S81" s="1463"/>
      <c r="T81" s="1463"/>
      <c r="U81" s="1463"/>
      <c r="V81" s="1463"/>
      <c r="W81" s="1463"/>
      <c r="X81" s="1463"/>
      <c r="Y81" s="1463"/>
      <c r="Z81" s="1463"/>
      <c r="AA81" s="1463"/>
      <c r="AB81" s="1463"/>
      <c r="AC81" s="1463"/>
      <c r="AD81" s="1463"/>
      <c r="AE81" s="1463"/>
      <c r="AF81" s="1463"/>
      <c r="AG81" s="1463"/>
      <c r="AH81" s="1463"/>
      <c r="AI81" s="1463"/>
      <c r="AJ81" s="1463"/>
      <c r="AK81" s="1463"/>
      <c r="AL81" s="1463"/>
      <c r="AM81" s="1463"/>
      <c r="AN81" s="1463"/>
      <c r="AO81" s="1463"/>
      <c r="AP81" s="1463"/>
      <c r="AQ81" s="1463"/>
      <c r="AR81" s="1463"/>
      <c r="AS81" s="1463"/>
      <c r="AT81" s="1463"/>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2520</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2521</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2" t="s">
        <v>2522</v>
      </c>
      <c r="B89" s="1792"/>
      <c r="C89" s="1792"/>
      <c r="D89" s="1792"/>
      <c r="E89" s="1792"/>
      <c r="F89" s="1792"/>
      <c r="G89" s="1792"/>
      <c r="H89" s="1792"/>
      <c r="I89" s="1792"/>
      <c r="J89" s="1792"/>
      <c r="K89" s="1792"/>
      <c r="L89" s="1792"/>
      <c r="M89" s="1792"/>
      <c r="N89" s="1792"/>
      <c r="O89" s="1792"/>
      <c r="P89" s="1792"/>
      <c r="Q89" s="1792"/>
      <c r="R89" s="1792"/>
      <c r="S89" s="1792"/>
      <c r="T89" s="1792"/>
      <c r="U89" s="1792"/>
      <c r="V89" s="1792"/>
      <c r="W89" s="1792"/>
      <c r="X89" s="1792"/>
      <c r="Y89" s="1792"/>
      <c r="Z89" s="1792"/>
      <c r="AA89" s="1792"/>
      <c r="AB89" s="1792"/>
      <c r="AC89" s="1792"/>
      <c r="AD89" s="1792"/>
      <c r="AE89" s="1792"/>
      <c r="AF89" s="1792"/>
      <c r="AG89" s="1792"/>
      <c r="AH89" s="1792"/>
      <c r="AI89" s="1792"/>
      <c r="AJ89" s="1792"/>
      <c r="AK89" s="1792"/>
      <c r="AL89" s="1792"/>
      <c r="AM89" s="1792"/>
      <c r="AN89" s="1792"/>
      <c r="AO89" s="1792"/>
      <c r="AP89" s="1792"/>
      <c r="AQ89" s="1792"/>
      <c r="AR89" s="1792"/>
      <c r="AS89" s="1792"/>
      <c r="AT89" s="1792"/>
      <c r="AU89" s="17"/>
      <c r="AV89" s="17"/>
      <c r="AW89" s="17"/>
      <c r="AX89" s="17"/>
      <c r="AY89" s="17"/>
      <c r="AZ89" s="20"/>
    </row>
    <row r="90" spans="1:52" ht="12.95" customHeight="1">
      <c r="A90" s="1792"/>
      <c r="B90" s="1792"/>
      <c r="C90" s="1792"/>
      <c r="D90" s="1792"/>
      <c r="E90" s="1792"/>
      <c r="F90" s="1792"/>
      <c r="G90" s="1792"/>
      <c r="H90" s="1792"/>
      <c r="I90" s="1792"/>
      <c r="J90" s="1792"/>
      <c r="K90" s="1792"/>
      <c r="L90" s="1792"/>
      <c r="M90" s="1792"/>
      <c r="N90" s="1792"/>
      <c r="O90" s="1792"/>
      <c r="P90" s="1792"/>
      <c r="Q90" s="1792"/>
      <c r="R90" s="1792"/>
      <c r="S90" s="1792"/>
      <c r="T90" s="1792"/>
      <c r="U90" s="1792"/>
      <c r="V90" s="1792"/>
      <c r="W90" s="1792"/>
      <c r="X90" s="1792"/>
      <c r="Y90" s="1792"/>
      <c r="Z90" s="1792"/>
      <c r="AA90" s="1792"/>
      <c r="AB90" s="1792"/>
      <c r="AC90" s="1792"/>
      <c r="AD90" s="1792"/>
      <c r="AE90" s="1792"/>
      <c r="AF90" s="1792"/>
      <c r="AG90" s="1792"/>
      <c r="AH90" s="1792"/>
      <c r="AI90" s="1792"/>
      <c r="AJ90" s="1792"/>
      <c r="AK90" s="1792"/>
      <c r="AL90" s="1792"/>
      <c r="AM90" s="1792"/>
      <c r="AN90" s="1792"/>
      <c r="AO90" s="1792"/>
      <c r="AP90" s="1792"/>
      <c r="AQ90" s="1792"/>
      <c r="AR90" s="1792"/>
      <c r="AS90" s="1792"/>
      <c r="AT90" s="179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3" t="s">
        <v>2523</v>
      </c>
      <c r="B92" s="1793"/>
      <c r="C92" s="1793"/>
      <c r="D92" s="1793"/>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H92" s="1793"/>
      <c r="AI92" s="1793"/>
      <c r="AJ92" s="1793"/>
      <c r="AK92" s="1793"/>
      <c r="AL92" s="1793"/>
      <c r="AM92" s="1793"/>
      <c r="AN92" s="1793"/>
      <c r="AO92" s="1793"/>
      <c r="AP92" s="1793"/>
      <c r="AQ92" s="1793"/>
      <c r="AR92" s="1793"/>
      <c r="AS92" s="1793"/>
      <c r="AT92" s="1793"/>
      <c r="AU92" s="20"/>
      <c r="AV92" s="20"/>
      <c r="AW92" s="20"/>
      <c r="AX92" s="20"/>
      <c r="AY92" s="20"/>
      <c r="AZ92" s="20"/>
    </row>
    <row r="93" spans="1:52" ht="12.95" customHeight="1">
      <c r="A93" s="1793"/>
      <c r="B93" s="1793"/>
      <c r="C93" s="1793"/>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H93" s="1793"/>
      <c r="AI93" s="1793"/>
      <c r="AJ93" s="1793"/>
      <c r="AK93" s="1793"/>
      <c r="AL93" s="1793"/>
      <c r="AM93" s="1793"/>
      <c r="AN93" s="1793"/>
      <c r="AO93" s="1793"/>
      <c r="AP93" s="1793"/>
      <c r="AQ93" s="1793"/>
      <c r="AR93" s="1793"/>
      <c r="AS93" s="1793"/>
      <c r="AT93" s="1793"/>
      <c r="AU93" s="20"/>
      <c r="AV93" s="20"/>
      <c r="AW93" s="20"/>
      <c r="AX93" s="20"/>
      <c r="AY93" s="20"/>
      <c r="AZ93" s="20"/>
    </row>
    <row r="94" spans="1:52" ht="12.95" customHeight="1">
      <c r="A94" s="1793"/>
      <c r="B94" s="1793"/>
      <c r="C94" s="1793"/>
      <c r="D94" s="1793"/>
      <c r="E94" s="1793"/>
      <c r="F94" s="1793"/>
      <c r="G94" s="1793"/>
      <c r="H94" s="1793"/>
      <c r="I94" s="1793"/>
      <c r="J94" s="1793"/>
      <c r="K94" s="1793"/>
      <c r="L94" s="1793"/>
      <c r="M94" s="1793"/>
      <c r="N94" s="1793"/>
      <c r="O94" s="1793"/>
      <c r="P94" s="1793"/>
      <c r="Q94" s="1793"/>
      <c r="R94" s="1793"/>
      <c r="S94" s="1793"/>
      <c r="T94" s="1793"/>
      <c r="U94" s="1793"/>
      <c r="V94" s="1793"/>
      <c r="W94" s="1793"/>
      <c r="X94" s="1793"/>
      <c r="Y94" s="1793"/>
      <c r="Z94" s="1793"/>
      <c r="AA94" s="1793"/>
      <c r="AB94" s="1793"/>
      <c r="AC94" s="1793"/>
      <c r="AD94" s="1793"/>
      <c r="AE94" s="1793"/>
      <c r="AF94" s="1793"/>
      <c r="AG94" s="1793"/>
      <c r="AH94" s="1793"/>
      <c r="AI94" s="1793"/>
      <c r="AJ94" s="1793"/>
      <c r="AK94" s="1793"/>
      <c r="AL94" s="1793"/>
      <c r="AM94" s="1793"/>
      <c r="AN94" s="1793"/>
      <c r="AO94" s="1793"/>
      <c r="AP94" s="1793"/>
      <c r="AQ94" s="1793"/>
      <c r="AR94" s="1793"/>
      <c r="AS94" s="1793"/>
      <c r="AT94" s="1793"/>
      <c r="AU94" s="20"/>
      <c r="AV94" s="20"/>
      <c r="AW94" s="20"/>
      <c r="AX94" s="20"/>
      <c r="AY94" s="20"/>
      <c r="AZ94" s="20"/>
    </row>
    <row r="95" spans="1:52" ht="12.95" customHeight="1">
      <c r="A95" s="1793"/>
      <c r="B95" s="1793"/>
      <c r="C95" s="1793"/>
      <c r="D95" s="1793"/>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H95" s="1793"/>
      <c r="AI95" s="1793"/>
      <c r="AJ95" s="1793"/>
      <c r="AK95" s="1793"/>
      <c r="AL95" s="1793"/>
      <c r="AM95" s="1793"/>
      <c r="AN95" s="1793"/>
      <c r="AO95" s="1793"/>
      <c r="AP95" s="1793"/>
      <c r="AQ95" s="1793"/>
      <c r="AR95" s="1793"/>
      <c r="AS95" s="1793"/>
      <c r="AT95" s="1793"/>
      <c r="AU95" s="20"/>
      <c r="AV95" s="20"/>
      <c r="AW95" s="20"/>
      <c r="AX95" s="20"/>
      <c r="AY95" s="20"/>
      <c r="AZ95" s="20"/>
    </row>
    <row r="96" spans="1:52" ht="12.95" customHeight="1">
      <c r="A96" s="1793"/>
      <c r="B96" s="1793"/>
      <c r="C96" s="1793"/>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H96" s="1793"/>
      <c r="AI96" s="1793"/>
      <c r="AJ96" s="1793"/>
      <c r="AK96" s="1793"/>
      <c r="AL96" s="1793"/>
      <c r="AM96" s="1793"/>
      <c r="AN96" s="1793"/>
      <c r="AO96" s="1793"/>
      <c r="AP96" s="1793"/>
      <c r="AQ96" s="1793"/>
      <c r="AR96" s="1793"/>
      <c r="AS96" s="1793"/>
      <c r="AT96" s="1793"/>
      <c r="AU96" s="20"/>
      <c r="AV96" s="20"/>
      <c r="AW96" s="20"/>
      <c r="AX96" s="20"/>
      <c r="AY96" s="20"/>
      <c r="AZ96" s="20"/>
    </row>
    <row r="97" spans="1:52" ht="12.95" customHeight="1">
      <c r="A97" s="1793"/>
      <c r="B97" s="1793"/>
      <c r="C97" s="1793"/>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H97" s="1793"/>
      <c r="AI97" s="1793"/>
      <c r="AJ97" s="1793"/>
      <c r="AK97" s="1793"/>
      <c r="AL97" s="1793"/>
      <c r="AM97" s="1793"/>
      <c r="AN97" s="1793"/>
      <c r="AO97" s="1793"/>
      <c r="AP97" s="1793"/>
      <c r="AQ97" s="1793"/>
      <c r="AR97" s="1793"/>
      <c r="AS97" s="1793"/>
      <c r="AT97" s="1793"/>
      <c r="AU97" s="20"/>
      <c r="AV97" s="20"/>
      <c r="AW97" s="20"/>
      <c r="AX97" s="20"/>
      <c r="AY97" s="20"/>
      <c r="AZ97" s="20"/>
    </row>
    <row r="98" spans="1:52" ht="12.95" customHeight="1">
      <c r="A98" s="1793"/>
      <c r="B98" s="1793"/>
      <c r="C98" s="1793"/>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H98" s="1793"/>
      <c r="AI98" s="1793"/>
      <c r="AJ98" s="1793"/>
      <c r="AK98" s="1793"/>
      <c r="AL98" s="1793"/>
      <c r="AM98" s="1793"/>
      <c r="AN98" s="1793"/>
      <c r="AO98" s="1793"/>
      <c r="AP98" s="1793"/>
      <c r="AQ98" s="1793"/>
      <c r="AR98" s="1793"/>
      <c r="AS98" s="1793"/>
      <c r="AT98" s="1793"/>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2524</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2525</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6"/>
      <c r="H113" s="1786"/>
      <c r="I113" s="3" t="s">
        <v>182</v>
      </c>
      <c r="L113" s="1786"/>
      <c r="M113" s="1786"/>
      <c r="N113" s="1786"/>
      <c r="O113" s="1786"/>
      <c r="P113" s="1782" t="s">
        <v>2527</v>
      </c>
      <c r="Q113" s="1782"/>
      <c r="R113" s="1782"/>
      <c r="S113" s="178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99"/>
      <c r="D115" s="1799"/>
      <c r="E115" s="1799"/>
      <c r="F115" s="1799"/>
      <c r="G115" s="1799"/>
      <c r="H115" s="1799"/>
      <c r="I115" s="1799"/>
      <c r="J115" s="1799"/>
      <c r="K115" s="1799"/>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86"/>
      <c r="Z117" s="1786"/>
      <c r="AA117" s="1786"/>
      <c r="AB117" s="1786"/>
      <c r="AC117" s="1786"/>
      <c r="AD117" s="1786"/>
      <c r="AE117" s="1786"/>
      <c r="AF117" s="1786"/>
      <c r="AG117" s="1786"/>
      <c r="AH117" s="1786"/>
      <c r="AI117" s="1786"/>
      <c r="AJ117" s="1786"/>
      <c r="AK117" s="1786"/>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6"/>
      <c r="Z120" s="1786"/>
      <c r="AA120" s="1786"/>
      <c r="AB120" s="1786"/>
      <c r="AC120" s="1786"/>
      <c r="AD120" s="1786"/>
      <c r="AE120" s="1786"/>
      <c r="AF120" s="1786"/>
      <c r="AG120" s="1786"/>
      <c r="AH120" s="1786"/>
      <c r="AI120" s="1786"/>
      <c r="AJ120" s="1786"/>
      <c r="AK120" s="1786"/>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6"/>
      <c r="Z123" s="1786"/>
      <c r="AA123" s="1786"/>
      <c r="AB123" s="1786"/>
      <c r="AC123" s="1786"/>
      <c r="AD123" s="1786"/>
      <c r="AE123" s="1786"/>
      <c r="AF123" s="1786"/>
      <c r="AG123" s="1786"/>
      <c r="AH123" s="1786"/>
      <c r="AI123" s="1786"/>
      <c r="AJ123" s="1786"/>
      <c r="AK123" s="1786"/>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07" t="s">
        <v>887</v>
      </c>
      <c r="P153" s="1464"/>
      <c r="Q153" s="1464"/>
      <c r="R153" s="1464"/>
      <c r="S153" s="1464"/>
      <c r="T153" s="1464"/>
      <c r="U153" s="1464"/>
      <c r="V153" s="1464"/>
      <c r="W153" s="1464"/>
      <c r="X153" s="1464"/>
      <c r="Y153" s="1464"/>
      <c r="Z153" s="1464"/>
      <c r="AA153" s="1464"/>
      <c r="AB153" s="1464"/>
      <c r="AC153" s="1464"/>
      <c r="AD153" s="1464"/>
      <c r="AE153" s="1464"/>
      <c r="AF153" s="1464"/>
      <c r="AG153" s="1464"/>
      <c r="AH153" s="1464"/>
    </row>
    <row r="154" spans="1:72" ht="12.95" customHeight="1">
      <c r="D154" s="325" t="s">
        <v>442</v>
      </c>
      <c r="O154" s="1506" t="s">
        <v>2642</v>
      </c>
      <c r="P154" s="1473"/>
      <c r="Q154" s="1473"/>
      <c r="R154" s="1473"/>
      <c r="S154" s="1473"/>
      <c r="T154" s="1473"/>
      <c r="U154" s="1473"/>
      <c r="V154" s="1473"/>
      <c r="W154" s="1473"/>
      <c r="X154" s="1473"/>
      <c r="Y154" s="1473"/>
      <c r="Z154" s="1473"/>
      <c r="AA154" s="1473"/>
      <c r="AB154" s="1473"/>
      <c r="AC154" s="1473"/>
      <c r="AD154" s="1473"/>
      <c r="AE154" s="1473"/>
      <c r="AF154" s="1473"/>
      <c r="AG154" s="1473"/>
      <c r="AH154" s="1473"/>
    </row>
    <row r="155" spans="1:72" ht="12.95" customHeight="1">
      <c r="D155" s="8" t="s">
        <v>443</v>
      </c>
      <c r="F155" s="8"/>
      <c r="G155" s="8"/>
      <c r="H155" s="8"/>
      <c r="I155" s="8"/>
      <c r="J155" s="8"/>
      <c r="K155" s="8"/>
      <c r="L155" s="8"/>
      <c r="M155" s="8"/>
      <c r="N155" s="8"/>
      <c r="O155" s="1776" t="s">
        <v>2643</v>
      </c>
      <c r="P155" s="1777"/>
      <c r="Q155" s="1777"/>
      <c r="R155" s="1777"/>
      <c r="S155" s="1777"/>
      <c r="T155" s="1777"/>
      <c r="U155" s="1777"/>
      <c r="V155" s="1777"/>
      <c r="W155" s="1777"/>
      <c r="X155" s="1777"/>
      <c r="Y155" s="1777"/>
      <c r="Z155" s="1777"/>
      <c r="AA155" s="1777"/>
      <c r="AB155" s="1777"/>
      <c r="AC155" s="1777"/>
      <c r="AD155" s="1777"/>
      <c r="AE155" s="1777"/>
      <c r="AF155" s="1777"/>
      <c r="AG155" s="1777"/>
      <c r="AH155" s="1777"/>
    </row>
    <row r="156" spans="1:72" ht="12.95" customHeight="1">
      <c r="D156" t="s">
        <v>314</v>
      </c>
      <c r="O156" s="1408" t="s">
        <v>2644</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308</v>
      </c>
    </row>
    <row r="157" spans="1:72" ht="12.95" customHeight="1">
      <c r="D157" t="s">
        <v>315</v>
      </c>
      <c r="O157" s="1407" t="s">
        <v>502</v>
      </c>
      <c r="P157" s="1464"/>
      <c r="Q157" s="1464"/>
      <c r="R157" s="1464"/>
      <c r="S157" s="1464"/>
      <c r="T157" s="1464"/>
      <c r="U157" s="1464"/>
      <c r="V157" s="1464"/>
      <c r="W157" s="1464"/>
      <c r="X157" s="1464"/>
      <c r="Y157" s="8"/>
      <c r="Z157" s="8"/>
      <c r="AA157" s="8"/>
      <c r="AB157" s="8"/>
      <c r="AC157" s="8"/>
      <c r="AD157" s="8"/>
      <c r="AE157" s="8"/>
      <c r="AF157" s="8"/>
      <c r="BN157" s="23" t="s">
        <v>644</v>
      </c>
      <c r="BT157" t="s">
        <v>484</v>
      </c>
    </row>
    <row r="158" spans="1:72" ht="12.95" customHeight="1">
      <c r="D158" t="s">
        <v>316</v>
      </c>
      <c r="O158" s="1778">
        <v>90017</v>
      </c>
      <c r="P158" s="1778"/>
      <c r="Q158" s="1778"/>
      <c r="R158" s="1778"/>
      <c r="S158" s="9"/>
      <c r="T158" s="9"/>
      <c r="U158" s="9"/>
      <c r="V158" s="9"/>
      <c r="W158" s="9"/>
      <c r="X158" s="9"/>
      <c r="Y158" s="9"/>
      <c r="Z158" s="9"/>
      <c r="AA158" s="9"/>
      <c r="AB158" s="9"/>
      <c r="AC158" s="9"/>
      <c r="AD158" s="9"/>
      <c r="AE158" s="9"/>
      <c r="AF158" s="9"/>
      <c r="BN158" s="23" t="s">
        <v>645</v>
      </c>
      <c r="BT158" t="s">
        <v>485</v>
      </c>
    </row>
    <row r="159" spans="1:72" ht="12.95" customHeight="1">
      <c r="D159" t="s">
        <v>317</v>
      </c>
      <c r="O159" s="1780" t="s">
        <v>2645</v>
      </c>
      <c r="P159" s="1780"/>
      <c r="Q159" s="1780"/>
      <c r="R159" s="1780"/>
      <c r="S159" s="1780"/>
      <c r="T159" s="1780"/>
      <c r="V159" s="97" t="s">
        <v>272</v>
      </c>
      <c r="W159" s="1779"/>
      <c r="X159" s="1779"/>
      <c r="Y159" s="10"/>
      <c r="Z159" s="10"/>
      <c r="AA159" s="10"/>
      <c r="AB159" s="10"/>
      <c r="AC159" s="10"/>
      <c r="AD159" s="10"/>
      <c r="AE159" s="10"/>
      <c r="AF159" s="10"/>
      <c r="BN159" s="23" t="s">
        <v>340</v>
      </c>
      <c r="BT159" t="s">
        <v>486</v>
      </c>
    </row>
    <row r="160" spans="1:72" ht="12.95" customHeight="1">
      <c r="D160" t="s">
        <v>318</v>
      </c>
      <c r="O160" s="1780"/>
      <c r="P160" s="1780"/>
      <c r="Q160" s="1780"/>
      <c r="R160" s="1780"/>
      <c r="S160" s="1780"/>
      <c r="T160" s="1780"/>
      <c r="U160" s="10"/>
      <c r="V160" s="10"/>
      <c r="W160" s="10"/>
      <c r="X160" s="10"/>
      <c r="Y160" s="10"/>
      <c r="Z160" s="10"/>
      <c r="AA160" s="10"/>
      <c r="AB160" s="10"/>
      <c r="AC160" s="10"/>
      <c r="AD160" s="10"/>
      <c r="AE160" s="10"/>
      <c r="AF160" s="10"/>
      <c r="BN160" s="23" t="s">
        <v>668</v>
      </c>
      <c r="BT160" t="s">
        <v>487</v>
      </c>
    </row>
    <row r="161" spans="1:72" ht="12.95" customHeight="1">
      <c r="D161" t="s">
        <v>319</v>
      </c>
      <c r="O161" s="1774" t="s">
        <v>2646</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0" t="s">
        <v>2622</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12" t="s">
        <v>547</v>
      </c>
      <c r="B169" s="1412"/>
      <c r="C169" s="1412"/>
      <c r="D169" s="1412"/>
      <c r="E169" s="1412"/>
      <c r="F169" s="1412"/>
      <c r="G169" s="1412"/>
      <c r="H169" s="1412"/>
      <c r="I169" s="1412"/>
      <c r="J169" s="1412"/>
      <c r="K169" s="1412"/>
      <c r="L169" s="1412"/>
      <c r="M169" s="1412"/>
      <c r="N169" s="1412"/>
      <c r="O169" s="1412"/>
      <c r="P169" s="1412"/>
      <c r="Q169" s="1412"/>
      <c r="R169" s="1412"/>
      <c r="S169" s="1412"/>
      <c r="T169" s="1412"/>
      <c r="U169" s="1412"/>
      <c r="V169" s="1412"/>
      <c r="W169" s="1412"/>
      <c r="X169" s="1412"/>
      <c r="Y169" s="1412"/>
      <c r="Z169" s="1412"/>
      <c r="AA169" s="1412"/>
      <c r="AB169" s="1412"/>
      <c r="AC169" s="1412"/>
      <c r="AD169" s="1412"/>
      <c r="AE169" s="1412"/>
      <c r="AF169" s="1412"/>
      <c r="AG169" s="1412"/>
      <c r="AH169" s="1412"/>
      <c r="AI169" s="1412"/>
      <c r="AJ169" s="1412"/>
      <c r="AK169" s="1412"/>
      <c r="AL169" s="1412"/>
      <c r="AM169" s="1412"/>
      <c r="AN169" s="1412"/>
      <c r="AO169" s="1412"/>
      <c r="AP169" s="1412"/>
      <c r="AQ169" s="1412"/>
      <c r="AR169" s="1412"/>
      <c r="AS169" s="1412"/>
      <c r="AT169" s="1412"/>
      <c r="AU169" s="95"/>
      <c r="AV169" s="95"/>
      <c r="AW169" s="95"/>
      <c r="AX169" s="95"/>
      <c r="AY169" s="95"/>
      <c r="BN169" s="23" t="s">
        <v>681</v>
      </c>
      <c r="BT169" t="s">
        <v>496</v>
      </c>
    </row>
    <row r="170" spans="1:72" ht="12.95" customHeight="1">
      <c r="A170" s="1412"/>
      <c r="B170" s="1412"/>
      <c r="C170" s="1412"/>
      <c r="D170" s="1412"/>
      <c r="E170" s="1412"/>
      <c r="F170" s="1412"/>
      <c r="G170" s="1412"/>
      <c r="H170" s="1412"/>
      <c r="I170" s="1412"/>
      <c r="J170" s="1412"/>
      <c r="K170" s="1412"/>
      <c r="L170" s="1412"/>
      <c r="M170" s="1412"/>
      <c r="N170" s="1412"/>
      <c r="O170" s="1412"/>
      <c r="P170" s="1412"/>
      <c r="Q170" s="1412"/>
      <c r="R170" s="1412"/>
      <c r="S170" s="1412"/>
      <c r="T170" s="1412"/>
      <c r="U170" s="1412"/>
      <c r="V170" s="1412"/>
      <c r="W170" s="1412"/>
      <c r="X170" s="1412"/>
      <c r="Y170" s="1412"/>
      <c r="Z170" s="1412"/>
      <c r="AA170" s="1412"/>
      <c r="AB170" s="1412"/>
      <c r="AC170" s="1412"/>
      <c r="AD170" s="1412"/>
      <c r="AE170" s="1412"/>
      <c r="AF170" s="1412"/>
      <c r="AG170" s="1412"/>
      <c r="AH170" s="1412"/>
      <c r="AI170" s="1412"/>
      <c r="AJ170" s="1412"/>
      <c r="AK170" s="1412"/>
      <c r="AL170" s="1412"/>
      <c r="AM170" s="1412"/>
      <c r="AN170" s="1412"/>
      <c r="AO170" s="1412"/>
      <c r="AP170" s="1412"/>
      <c r="AQ170" s="1412"/>
      <c r="AR170" s="1412"/>
      <c r="AS170" s="1412"/>
      <c r="AT170" s="1412"/>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75" t="s">
        <v>372</v>
      </c>
      <c r="K173" s="1775"/>
      <c r="L173" s="1775"/>
      <c r="M173" s="1775"/>
      <c r="N173" s="1775"/>
      <c r="O173" s="1775"/>
      <c r="P173" s="1775"/>
      <c r="Q173" s="1775"/>
      <c r="R173" s="1775"/>
      <c r="S173" s="1775"/>
      <c r="U173" s="25"/>
      <c r="X173" s="25"/>
      <c r="BB173" s="3" t="s">
        <v>308</v>
      </c>
      <c r="BN173" s="23" t="s">
        <v>215</v>
      </c>
      <c r="BT173" t="s">
        <v>500</v>
      </c>
    </row>
    <row r="174" spans="1:72" ht="12.95" customHeight="1">
      <c r="C174" s="24"/>
      <c r="D174" s="3" t="s">
        <v>1308</v>
      </c>
      <c r="J174" s="1408" t="s">
        <v>2419</v>
      </c>
      <c r="K174" s="1408"/>
      <c r="L174" s="1408"/>
      <c r="M174" s="1408"/>
      <c r="N174" s="1408"/>
      <c r="O174" s="1408"/>
      <c r="P174" s="1408"/>
      <c r="Q174" s="1408"/>
      <c r="R174" s="1408"/>
      <c r="S174" s="1408"/>
      <c r="T174" s="1408"/>
      <c r="U174" s="1408"/>
      <c r="V174" s="1408"/>
      <c r="W174" s="1408"/>
      <c r="X174" s="1408"/>
      <c r="Y174" s="1408"/>
      <c r="Z174" s="1408"/>
      <c r="AA174" s="1408"/>
      <c r="AB174" s="1408"/>
      <c r="BB174" t="s">
        <v>2272</v>
      </c>
      <c r="BN174" s="23" t="s">
        <v>217</v>
      </c>
      <c r="BT174" t="s">
        <v>501</v>
      </c>
    </row>
    <row r="175" spans="1:72" ht="12.95" customHeight="1">
      <c r="C175" s="8"/>
      <c r="D175" s="3" t="s">
        <v>323</v>
      </c>
      <c r="O175" s="27"/>
      <c r="U175" s="1416" t="s">
        <v>677</v>
      </c>
      <c r="V175" s="1416"/>
      <c r="BB175" t="s">
        <v>2236</v>
      </c>
      <c r="BN175" s="23" t="s">
        <v>218</v>
      </c>
      <c r="BT175" t="s">
        <v>502</v>
      </c>
    </row>
    <row r="176" spans="1:72" ht="12.95" customHeight="1">
      <c r="C176" s="8"/>
      <c r="D176" s="26"/>
      <c r="E176" t="s">
        <v>305</v>
      </c>
      <c r="O176" s="27"/>
      <c r="P176" t="s">
        <v>2394</v>
      </c>
      <c r="T176" s="27" t="s">
        <v>306</v>
      </c>
      <c r="U176" s="1469"/>
      <c r="V176" s="1469"/>
      <c r="W176" s="1" t="s">
        <v>307</v>
      </c>
      <c r="X176" s="1794"/>
      <c r="Y176" s="1794"/>
      <c r="BB176" t="s">
        <v>2273</v>
      </c>
      <c r="BN176" s="23" t="s">
        <v>220</v>
      </c>
      <c r="BT176" t="s">
        <v>503</v>
      </c>
    </row>
    <row r="177" spans="1:72" ht="12.95" customHeight="1">
      <c r="C177" s="24"/>
      <c r="D177" t="s">
        <v>250</v>
      </c>
      <c r="R177" s="1416"/>
      <c r="S177" s="1416"/>
      <c r="BB177" t="s">
        <v>2576</v>
      </c>
      <c r="BN177" s="23" t="s">
        <v>221</v>
      </c>
      <c r="BT177" t="s">
        <v>504</v>
      </c>
    </row>
    <row r="178" spans="1:72" ht="12.95" customHeight="1">
      <c r="C178" s="24"/>
      <c r="D178" s="3" t="s">
        <v>1309</v>
      </c>
      <c r="AA178" t="s">
        <v>2394</v>
      </c>
      <c r="AE178" s="27" t="s">
        <v>306</v>
      </c>
      <c r="AF178" s="1785"/>
      <c r="AG178" s="1785"/>
      <c r="AH178" s="1" t="s">
        <v>307</v>
      </c>
      <c r="AI178" s="1698"/>
      <c r="AJ178" s="1698"/>
      <c r="AK178" s="1698"/>
      <c r="BB178" t="s">
        <v>2577</v>
      </c>
      <c r="BN178" s="23" t="s">
        <v>222</v>
      </c>
      <c r="BT178" t="s">
        <v>53</v>
      </c>
    </row>
    <row r="179" spans="1:72" ht="12.95" customHeight="1">
      <c r="C179" s="24"/>
      <c r="BN179" s="23" t="s">
        <v>223</v>
      </c>
      <c r="BT179" t="s">
        <v>54</v>
      </c>
    </row>
    <row r="180" spans="1:72" ht="12.95" customHeight="1">
      <c r="C180" s="24"/>
      <c r="D180" t="s">
        <v>2395</v>
      </c>
      <c r="X180" s="1416" t="s">
        <v>677</v>
      </c>
      <c r="Y180" s="1416"/>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74" t="str">
        <f>H18</f>
        <v>Oaks on Balboa</v>
      </c>
      <c r="J184" s="1474"/>
      <c r="K184" s="1474"/>
      <c r="L184" s="1474"/>
      <c r="M184" s="1474"/>
      <c r="N184" s="1474"/>
      <c r="O184" s="1474"/>
      <c r="P184" s="1474"/>
      <c r="Q184" s="1474"/>
      <c r="R184" s="1474"/>
      <c r="S184" s="1474"/>
      <c r="T184" s="1474"/>
      <c r="U184" s="1474"/>
      <c r="V184" s="1474"/>
      <c r="W184" s="1474"/>
      <c r="X184" s="1474"/>
      <c r="Y184" s="1474"/>
      <c r="Z184" s="1474"/>
      <c r="AA184" s="1474"/>
      <c r="AB184" s="1474"/>
      <c r="AC184" s="1474"/>
      <c r="AD184" s="1474"/>
      <c r="AE184" s="1474"/>
      <c r="BC184" t="s">
        <v>595</v>
      </c>
      <c r="BN184" s="23" t="s">
        <v>231</v>
      </c>
      <c r="BT184" t="s">
        <v>62</v>
      </c>
    </row>
    <row r="185" spans="1:72" ht="12.95" customHeight="1">
      <c r="C185" s="21"/>
      <c r="D185" t="s">
        <v>587</v>
      </c>
      <c r="I185" s="1417" t="s">
        <v>2647</v>
      </c>
      <c r="J185" s="1417"/>
      <c r="K185" s="1417"/>
      <c r="L185" s="1417"/>
      <c r="M185" s="1417"/>
      <c r="N185" s="1417"/>
      <c r="O185" s="1417"/>
      <c r="P185" s="1417"/>
      <c r="Q185" s="1417"/>
      <c r="R185" s="1417"/>
      <c r="S185" s="1417"/>
      <c r="T185" s="1417"/>
      <c r="U185" s="1417"/>
      <c r="V185" s="1417"/>
      <c r="W185" s="1417"/>
      <c r="X185" s="1417"/>
      <c r="Y185" s="1417"/>
      <c r="Z185" s="1417"/>
      <c r="AA185" s="1417"/>
      <c r="AB185" s="1417"/>
      <c r="AC185" s="1417"/>
      <c r="AD185" s="1417"/>
      <c r="AE185" s="1417"/>
      <c r="BC185" t="s">
        <v>596</v>
      </c>
      <c r="BN185" s="23" t="s">
        <v>232</v>
      </c>
      <c r="BT185" t="s">
        <v>63</v>
      </c>
    </row>
    <row r="186" spans="1:72" ht="12.95" customHeight="1">
      <c r="C186" s="21"/>
      <c r="E186" t="s">
        <v>168</v>
      </c>
      <c r="BN186" s="23" t="s">
        <v>233</v>
      </c>
      <c r="BT186" t="s">
        <v>64</v>
      </c>
    </row>
    <row r="187" spans="1:72" ht="12.95" customHeight="1">
      <c r="C187" s="21"/>
      <c r="E187" s="1795"/>
      <c r="F187" s="1795"/>
      <c r="G187" s="1795"/>
      <c r="H187" s="1795"/>
      <c r="I187" s="1795"/>
      <c r="J187" s="1795"/>
      <c r="K187" s="1795"/>
      <c r="L187" s="1795"/>
      <c r="M187" s="1795"/>
      <c r="N187" s="1795"/>
      <c r="O187" s="1795"/>
      <c r="P187" s="1795"/>
      <c r="Q187" s="1795"/>
      <c r="R187" s="1795"/>
      <c r="S187" s="1795"/>
      <c r="T187" s="1795"/>
      <c r="U187" s="1795"/>
      <c r="V187" s="1795"/>
      <c r="W187" s="1795"/>
      <c r="X187" s="1795"/>
      <c r="Y187" s="1795"/>
      <c r="Z187" s="1795"/>
      <c r="AA187" s="1795"/>
      <c r="AB187" s="1795"/>
      <c r="AC187" s="1795"/>
      <c r="AD187" s="1795"/>
      <c r="AE187" s="1795"/>
      <c r="BN187" s="23" t="s">
        <v>234</v>
      </c>
      <c r="BT187" t="s">
        <v>65</v>
      </c>
    </row>
    <row r="188" spans="1:72" ht="12.95" customHeight="1">
      <c r="C188" s="21"/>
      <c r="E188" s="1796"/>
      <c r="F188" s="1796"/>
      <c r="G188" s="1796"/>
      <c r="H188" s="1796"/>
      <c r="I188" s="1796"/>
      <c r="J188" s="1796"/>
      <c r="K188" s="1796"/>
      <c r="L188" s="1796"/>
      <c r="M188" s="1796"/>
      <c r="N188" s="1796"/>
      <c r="O188" s="1796"/>
      <c r="P188" s="1796"/>
      <c r="Q188" s="1796"/>
      <c r="R188" s="1796"/>
      <c r="S188" s="1796"/>
      <c r="T188" s="1796"/>
      <c r="U188" s="1796"/>
      <c r="V188" s="1796"/>
      <c r="W188" s="1796"/>
      <c r="X188" s="1796"/>
      <c r="Y188" s="1796"/>
      <c r="Z188" s="1796"/>
      <c r="AA188" s="1796"/>
      <c r="AB188" s="1796"/>
      <c r="AC188" s="1796"/>
      <c r="AD188" s="1796"/>
      <c r="AE188" s="1796"/>
      <c r="BN188" s="23" t="s">
        <v>236</v>
      </c>
      <c r="BT188" t="s">
        <v>66</v>
      </c>
    </row>
    <row r="189" spans="1:72" ht="12.95" customHeight="1">
      <c r="C189" s="21"/>
      <c r="D189" t="s">
        <v>588</v>
      </c>
      <c r="I189" s="1408" t="s">
        <v>502</v>
      </c>
      <c r="J189" s="1408"/>
      <c r="K189" s="1408"/>
      <c r="L189" s="1408"/>
      <c r="M189" s="1408"/>
      <c r="N189" s="1408"/>
      <c r="O189" s="1408"/>
      <c r="P189" s="1408"/>
      <c r="Q189" t="s">
        <v>590</v>
      </c>
      <c r="T189" s="1408" t="s">
        <v>502</v>
      </c>
      <c r="U189" s="1408"/>
      <c r="V189" s="1408"/>
      <c r="W189" s="1408"/>
      <c r="X189" s="1408"/>
      <c r="Y189" s="1408"/>
      <c r="Z189" s="1408"/>
      <c r="AA189" s="1408"/>
      <c r="AB189" s="1408"/>
      <c r="AC189" s="1408"/>
      <c r="AD189" s="1408"/>
      <c r="AE189" s="1408"/>
      <c r="BC189" t="s">
        <v>308</v>
      </c>
      <c r="BH189" s="3" t="s">
        <v>599</v>
      </c>
      <c r="BN189" s="23" t="s">
        <v>237</v>
      </c>
      <c r="BT189" t="s">
        <v>67</v>
      </c>
    </row>
    <row r="190" spans="1:72" ht="12.95" customHeight="1">
      <c r="C190" s="21"/>
      <c r="D190" t="s">
        <v>591</v>
      </c>
      <c r="I190" s="1417">
        <v>91316</v>
      </c>
      <c r="J190" s="1417"/>
      <c r="K190" s="1417"/>
      <c r="L190" s="1417"/>
      <c r="M190" s="1417"/>
      <c r="N190" s="1417"/>
      <c r="O190" t="s">
        <v>593</v>
      </c>
      <c r="T190" s="1787">
        <v>1396</v>
      </c>
      <c r="U190" s="1787"/>
      <c r="V190" s="1787"/>
      <c r="W190" s="1787"/>
      <c r="X190" s="1787"/>
      <c r="Y190" s="1787"/>
      <c r="Z190" s="1787"/>
      <c r="AA190" s="1787"/>
      <c r="AB190" s="1787"/>
      <c r="AC190" s="1787"/>
      <c r="AD190" s="1787"/>
      <c r="AE190" s="1787"/>
      <c r="BC190" t="s">
        <v>1065</v>
      </c>
      <c r="BH190" t="s">
        <v>1065</v>
      </c>
      <c r="BN190" s="23" t="s">
        <v>643</v>
      </c>
      <c r="BT190" t="s">
        <v>68</v>
      </c>
    </row>
    <row r="191" spans="1:72" ht="12.95" customHeight="1">
      <c r="C191" s="21"/>
      <c r="D191" t="s">
        <v>470</v>
      </c>
      <c r="N191" s="1795" t="s">
        <v>2770</v>
      </c>
      <c r="O191" s="1795"/>
      <c r="P191" s="1795"/>
      <c r="Q191" s="1795"/>
      <c r="R191" s="1795"/>
      <c r="S191" s="1795"/>
      <c r="T191" s="1795"/>
      <c r="U191" s="1795"/>
      <c r="V191" s="1795"/>
      <c r="W191" s="1795"/>
      <c r="X191" s="1795"/>
      <c r="Y191" s="1795"/>
      <c r="Z191" s="1795"/>
      <c r="AA191" s="1795"/>
      <c r="AB191" s="1795"/>
      <c r="AC191" s="1795"/>
      <c r="AD191" s="1795"/>
      <c r="AE191" s="1795"/>
      <c r="BC191" t="s">
        <v>1064</v>
      </c>
      <c r="BH191" t="s">
        <v>1064</v>
      </c>
      <c r="BN191" s="23" t="s">
        <v>697</v>
      </c>
      <c r="BT191" t="s">
        <v>736</v>
      </c>
    </row>
    <row r="192" spans="1:72" ht="12.95" customHeight="1">
      <c r="C192" s="21"/>
      <c r="M192" s="40"/>
      <c r="N192" s="1796"/>
      <c r="O192" s="1796"/>
      <c r="P192" s="1796"/>
      <c r="Q192" s="1796"/>
      <c r="R192" s="1796"/>
      <c r="S192" s="1796"/>
      <c r="T192" s="1796"/>
      <c r="U192" s="1796"/>
      <c r="V192" s="1796"/>
      <c r="W192" s="1796"/>
      <c r="X192" s="1796"/>
      <c r="Y192" s="1796"/>
      <c r="Z192" s="1796"/>
      <c r="AA192" s="1796"/>
      <c r="AB192" s="1796"/>
      <c r="AC192" s="1796"/>
      <c r="AD192" s="1796"/>
      <c r="AE192" s="1796"/>
      <c r="BC192" t="s">
        <v>1067</v>
      </c>
      <c r="BH192" s="3" t="s">
        <v>1473</v>
      </c>
      <c r="BN192" s="23" t="s">
        <v>698</v>
      </c>
      <c r="BT192" t="s">
        <v>737</v>
      </c>
    </row>
    <row r="193" spans="1:74" ht="12.95" customHeight="1">
      <c r="C193" s="21"/>
      <c r="D193" t="s">
        <v>2396</v>
      </c>
      <c r="M193" s="40"/>
      <c r="N193" s="928"/>
      <c r="O193" s="928"/>
      <c r="P193" s="928"/>
      <c r="Q193" s="928"/>
      <c r="R193" s="928"/>
      <c r="S193" s="928"/>
      <c r="T193" s="1791" t="s">
        <v>2272</v>
      </c>
      <c r="U193" s="1791"/>
      <c r="V193" s="1791"/>
      <c r="W193" s="1791"/>
      <c r="X193" s="1791"/>
      <c r="Y193" s="1791"/>
      <c r="Z193" s="1791"/>
      <c r="AA193" s="1791"/>
      <c r="AB193" s="1791"/>
      <c r="AC193" s="1791"/>
      <c r="AD193" s="1791"/>
      <c r="AE193" s="1791"/>
      <c r="AF193" s="1791"/>
      <c r="AG193" s="1791"/>
      <c r="AH193" s="1791"/>
      <c r="AI193" s="1791"/>
      <c r="BC193" t="s">
        <v>1066</v>
      </c>
      <c r="BH193" s="3" t="s">
        <v>1740</v>
      </c>
      <c r="BN193" s="23" t="s">
        <v>699</v>
      </c>
      <c r="BT193" t="s">
        <v>738</v>
      </c>
    </row>
    <row r="194" spans="1:74" ht="12.95" customHeight="1">
      <c r="C194" s="21"/>
      <c r="D194" s="3" t="s">
        <v>2578</v>
      </c>
      <c r="M194" s="40"/>
      <c r="N194" s="928"/>
      <c r="O194" s="928"/>
      <c r="P194" s="928"/>
      <c r="Q194" s="928"/>
      <c r="R194" s="928"/>
      <c r="S194" s="928"/>
      <c r="AH194" s="1416" t="s">
        <v>677</v>
      </c>
      <c r="AI194" s="1416"/>
      <c r="BC194" t="s">
        <v>1473</v>
      </c>
      <c r="BN194" s="23" t="s">
        <v>700</v>
      </c>
      <c r="BT194" t="s">
        <v>739</v>
      </c>
    </row>
    <row r="195" spans="1:74" ht="12.95" customHeight="1">
      <c r="C195" s="21"/>
      <c r="D195" t="s">
        <v>332</v>
      </c>
      <c r="T195" s="1416" t="s">
        <v>553</v>
      </c>
      <c r="U195" s="1416"/>
      <c r="W195" t="s">
        <v>693</v>
      </c>
      <c r="AH195" s="1416">
        <v>32</v>
      </c>
      <c r="AI195" s="1416"/>
      <c r="BC195" t="s">
        <v>2046</v>
      </c>
      <c r="BN195" s="23" t="s">
        <v>243</v>
      </c>
      <c r="BT195" t="s">
        <v>740</v>
      </c>
    </row>
    <row r="196" spans="1:74" ht="12.95" customHeight="1">
      <c r="C196" s="21"/>
      <c r="D196" t="s">
        <v>387</v>
      </c>
      <c r="T196" s="1456" t="s">
        <v>677</v>
      </c>
      <c r="U196" s="1456"/>
      <c r="W196" t="s">
        <v>694</v>
      </c>
      <c r="AH196" s="1416">
        <v>46</v>
      </c>
      <c r="AI196" s="1416"/>
      <c r="BN196" s="23" t="s">
        <v>244</v>
      </c>
      <c r="BT196" t="s">
        <v>69</v>
      </c>
    </row>
    <row r="197" spans="1:74" ht="12.95" customHeight="1">
      <c r="C197" s="21"/>
      <c r="D197" s="3" t="s">
        <v>169</v>
      </c>
      <c r="T197" s="1456" t="s">
        <v>677</v>
      </c>
      <c r="U197" s="1456"/>
      <c r="W197" t="s">
        <v>695</v>
      </c>
      <c r="AH197" s="1416">
        <v>27</v>
      </c>
      <c r="AI197" s="1416"/>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56">
        <v>0</v>
      </c>
      <c r="U198" s="145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416" t="s">
        <v>677</v>
      </c>
      <c r="AA199" s="141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74" t="s">
        <v>386</v>
      </c>
      <c r="E204" s="1474"/>
      <c r="F204" s="1474"/>
      <c r="G204" s="1474"/>
      <c r="H204" s="1474"/>
      <c r="I204" s="1474"/>
      <c r="J204" s="1474"/>
      <c r="K204" s="1474"/>
      <c r="L204" s="1474"/>
      <c r="M204" s="1474"/>
      <c r="P204" s="1801">
        <f>M26</f>
        <v>3567700.9</v>
      </c>
      <c r="Q204" s="1784"/>
      <c r="R204" s="1784"/>
      <c r="S204" s="1784"/>
      <c r="T204" s="1784"/>
      <c r="U204" s="1784"/>
      <c r="BC204" t="s">
        <v>618</v>
      </c>
      <c r="BN204" s="23" t="s">
        <v>712</v>
      </c>
      <c r="BT204" s="32" t="s">
        <v>198</v>
      </c>
      <c r="BU204" s="14"/>
    </row>
    <row r="205" spans="1:74" ht="12.95" customHeight="1">
      <c r="C205" s="21"/>
      <c r="D205" s="1783" t="s">
        <v>1355</v>
      </c>
      <c r="E205" s="1474"/>
      <c r="F205" s="1474"/>
      <c r="G205" s="1474"/>
      <c r="H205" s="1474"/>
      <c r="I205" s="1474"/>
      <c r="J205" s="1474"/>
      <c r="K205" s="1474"/>
      <c r="L205" s="1474"/>
      <c r="M205" s="1474"/>
      <c r="P205" s="1784">
        <f>M27</f>
        <v>0</v>
      </c>
      <c r="Q205" s="1784"/>
      <c r="R205" s="1784"/>
      <c r="S205" s="1784"/>
      <c r="T205" s="1784"/>
      <c r="U205" s="1784"/>
      <c r="V205" s="28"/>
      <c r="W205" s="3" t="s">
        <v>1908</v>
      </c>
      <c r="Z205" s="1804" t="s">
        <v>1290</v>
      </c>
      <c r="AA205" s="1804"/>
      <c r="AB205" s="1804"/>
      <c r="AC205" s="1804"/>
      <c r="AD205" s="1804"/>
      <c r="AE205" s="1804"/>
      <c r="AF205" s="1804"/>
      <c r="AG205" s="1804"/>
      <c r="AH205" s="1804"/>
      <c r="AI205" s="1804"/>
      <c r="AJ205" s="1804"/>
      <c r="AK205" s="1804"/>
      <c r="AL205" s="1804"/>
      <c r="AM205" s="1804"/>
      <c r="AN205" s="1804"/>
      <c r="AP205" s="1301"/>
      <c r="AQ205" s="1301"/>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64" t="s">
        <v>2693</v>
      </c>
      <c r="E208" s="1464"/>
      <c r="F208" s="1464"/>
      <c r="G208" s="1464"/>
      <c r="H208" s="1464"/>
      <c r="I208" s="1464"/>
      <c r="J208" s="1464"/>
      <c r="K208" s="1464"/>
      <c r="L208" s="1464"/>
      <c r="M208" s="1464"/>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64" t="s">
        <v>1067</v>
      </c>
      <c r="E211" s="1464"/>
      <c r="F211" s="1464"/>
      <c r="G211" s="1464"/>
      <c r="H211" s="1464"/>
      <c r="I211" s="1464"/>
      <c r="J211" s="1464"/>
      <c r="K211" s="1464"/>
      <c r="L211" s="1464"/>
      <c r="M211" s="1464"/>
      <c r="BN211" s="23" t="s">
        <v>129</v>
      </c>
      <c r="BT211" s="32" t="s">
        <v>130</v>
      </c>
    </row>
    <row r="212" spans="1:72" ht="12.95" customHeight="1">
      <c r="C212" s="21"/>
      <c r="D212" t="s">
        <v>1352</v>
      </c>
      <c r="Y212" s="1416">
        <v>58</v>
      </c>
      <c r="Z212" s="1416"/>
      <c r="AB212" s="1802">
        <f>IFERROR(Y212/AG440,"")</f>
        <v>0.5</v>
      </c>
      <c r="AC212" s="1803"/>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798" t="s">
        <v>1064</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538</v>
      </c>
      <c r="BI214" t="s">
        <v>2632</v>
      </c>
      <c r="BN214" s="23" t="s">
        <v>327</v>
      </c>
      <c r="BT214" s="32" t="s">
        <v>206</v>
      </c>
    </row>
    <row r="215" spans="1:72" ht="12.95" customHeight="1">
      <c r="D215" s="3" t="s">
        <v>1764</v>
      </c>
      <c r="Z215" s="40"/>
      <c r="AB215" s="1797" t="s">
        <v>2739</v>
      </c>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64" t="s">
        <v>887</v>
      </c>
      <c r="E220" s="1464"/>
      <c r="F220" s="1464"/>
      <c r="G220" s="1464"/>
      <c r="H220" s="1464"/>
      <c r="I220" s="1464"/>
      <c r="J220" s="1464"/>
      <c r="K220" s="1464"/>
      <c r="L220" s="1464"/>
      <c r="M220" s="1464"/>
      <c r="N220" s="1464"/>
      <c r="O220" s="1464"/>
      <c r="P220" s="1464"/>
      <c r="Q220" s="1464"/>
      <c r="R220" s="1464"/>
      <c r="S220" s="1464"/>
      <c r="T220" s="1464"/>
      <c r="U220" s="1464"/>
      <c r="V220" s="1464"/>
      <c r="W220" s="1464"/>
      <c r="X220" s="1464"/>
      <c r="Y220" s="1464"/>
      <c r="Z220" s="1464"/>
      <c r="BA220" s="3"/>
      <c r="BC220" t="s">
        <v>301</v>
      </c>
    </row>
    <row r="221" spans="1:72" ht="12.95" customHeight="1">
      <c r="A221" s="2"/>
      <c r="B221" s="14"/>
      <c r="C221" s="2"/>
      <c r="AU221" s="95"/>
      <c r="AV221" s="95"/>
      <c r="AW221" s="95"/>
      <c r="AX221" s="95"/>
      <c r="AY221" s="95"/>
      <c r="BA221" s="3"/>
    </row>
    <row r="222" spans="1:72" ht="12.95" customHeight="1">
      <c r="A222" s="1412" t="s">
        <v>548</v>
      </c>
      <c r="B222" s="1412"/>
      <c r="C222" s="1412"/>
      <c r="D222" s="1412"/>
      <c r="E222" s="1412"/>
      <c r="F222" s="1412"/>
      <c r="G222" s="1412"/>
      <c r="H222" s="1412"/>
      <c r="I222" s="1412"/>
      <c r="J222" s="1412"/>
      <c r="K222" s="1412"/>
      <c r="L222" s="1412"/>
      <c r="M222" s="1412"/>
      <c r="N222" s="1412"/>
      <c r="O222" s="1412"/>
      <c r="P222" s="1412"/>
      <c r="Q222" s="1412"/>
      <c r="R222" s="1412"/>
      <c r="S222" s="1412"/>
      <c r="T222" s="1412"/>
      <c r="U222" s="1412"/>
      <c r="V222" s="1412"/>
      <c r="W222" s="1412"/>
      <c r="X222" s="1412"/>
      <c r="Y222" s="1412"/>
      <c r="Z222" s="1412"/>
      <c r="AA222" s="1412"/>
      <c r="AB222" s="1412"/>
      <c r="AC222" s="1412"/>
      <c r="AD222" s="1412"/>
      <c r="AE222" s="1412"/>
      <c r="AF222" s="1412"/>
      <c r="AG222" s="1412"/>
      <c r="AH222" s="1412"/>
      <c r="AI222" s="1412"/>
      <c r="AJ222" s="1412"/>
      <c r="AK222" s="1412"/>
      <c r="AL222" s="1412"/>
      <c r="AM222" s="1412"/>
      <c r="AN222" s="1412"/>
      <c r="AO222" s="1412"/>
      <c r="AP222" s="1412"/>
      <c r="AQ222" s="1412"/>
      <c r="AR222" s="1412"/>
      <c r="AS222" s="1412"/>
      <c r="AT222" s="1412"/>
      <c r="AU222" s="95"/>
      <c r="AV222" s="95"/>
      <c r="AW222" s="95"/>
      <c r="AX222" s="95"/>
      <c r="AY222" s="95"/>
      <c r="AZ222" s="3"/>
      <c r="BA222" s="3"/>
      <c r="BP222" s="34"/>
    </row>
    <row r="223" spans="1:72" ht="12.95" customHeight="1">
      <c r="A223" s="1412"/>
      <c r="B223" s="1412"/>
      <c r="C223" s="1412"/>
      <c r="D223" s="1412"/>
      <c r="E223" s="1412"/>
      <c r="F223" s="1412"/>
      <c r="G223" s="1412"/>
      <c r="H223" s="1412"/>
      <c r="I223" s="1412"/>
      <c r="J223" s="1412"/>
      <c r="K223" s="1412"/>
      <c r="L223" s="1412"/>
      <c r="M223" s="1412"/>
      <c r="N223" s="1412"/>
      <c r="O223" s="1412"/>
      <c r="P223" s="1412"/>
      <c r="Q223" s="1412"/>
      <c r="R223" s="1412"/>
      <c r="S223" s="1412"/>
      <c r="T223" s="1412"/>
      <c r="U223" s="1412"/>
      <c r="V223" s="1412"/>
      <c r="W223" s="1412"/>
      <c r="X223" s="1412"/>
      <c r="Y223" s="1412"/>
      <c r="Z223" s="1412"/>
      <c r="AA223" s="1412"/>
      <c r="AB223" s="1412"/>
      <c r="AC223" s="1412"/>
      <c r="AD223" s="1412"/>
      <c r="AE223" s="1412"/>
      <c r="AF223" s="1412"/>
      <c r="AG223" s="1412"/>
      <c r="AH223" s="1412"/>
      <c r="AI223" s="1412"/>
      <c r="AJ223" s="1412"/>
      <c r="AK223" s="1412"/>
      <c r="AL223" s="1412"/>
      <c r="AM223" s="1412"/>
      <c r="AN223" s="1412"/>
      <c r="AO223" s="1412"/>
      <c r="AP223" s="1412"/>
      <c r="AQ223" s="1412"/>
      <c r="AR223" s="1412"/>
      <c r="AS223" s="1412"/>
      <c r="AT223" s="1412"/>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553</v>
      </c>
      <c r="AJ226" s="141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599</v>
      </c>
      <c r="AJ227" s="141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599</v>
      </c>
      <c r="AJ228" s="141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599</v>
      </c>
      <c r="AJ229" s="1416"/>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2</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8" t="str">
        <f>H16</f>
        <v>5435 Balboa, LP</v>
      </c>
      <c r="N232" s="1788"/>
      <c r="O232" s="1788"/>
      <c r="P232" s="1788"/>
      <c r="Q232" s="1788"/>
      <c r="R232" s="1788"/>
      <c r="S232" s="1788"/>
      <c r="T232" s="1788"/>
      <c r="U232" s="1788"/>
      <c r="V232" s="1788"/>
      <c r="W232" s="1788"/>
      <c r="X232" s="1788"/>
      <c r="Y232" s="1788"/>
      <c r="Z232" s="1788"/>
      <c r="AA232" s="1788"/>
      <c r="AB232" s="1788"/>
      <c r="AC232" s="1788"/>
      <c r="AD232" s="1788"/>
      <c r="AE232" s="1788"/>
      <c r="AF232" s="1788"/>
      <c r="AG232" s="1788"/>
      <c r="AH232" s="1788"/>
      <c r="AI232" s="1788"/>
      <c r="AJ232" s="1788"/>
      <c r="AK232" s="178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07" t="s">
        <v>2768</v>
      </c>
      <c r="N233" s="1464"/>
      <c r="O233" s="1464"/>
      <c r="P233" s="1464"/>
      <c r="Q233" s="1464"/>
      <c r="R233" s="1464"/>
      <c r="S233" s="1464"/>
      <c r="T233" s="1464"/>
      <c r="U233" s="1464"/>
      <c r="V233" s="1464"/>
      <c r="W233" s="1464"/>
      <c r="X233" s="1464"/>
      <c r="Y233" s="1464"/>
      <c r="Z233" s="1464"/>
      <c r="AA233" s="1464"/>
      <c r="AB233" s="1464"/>
      <c r="AC233" s="1464"/>
      <c r="AD233" s="1464"/>
      <c r="AE233" s="1464"/>
      <c r="BB233" s="219" t="s">
        <v>546</v>
      </c>
      <c r="BG233" s="259">
        <f>IF(AND(AND($M$249="nonprofit",$M$257="for profit",$M$265="nonprofit")),2,0)</f>
        <v>0</v>
      </c>
    </row>
    <row r="234" spans="1:69" ht="12.95" customHeight="1">
      <c r="D234" s="4" t="s">
        <v>588</v>
      </c>
      <c r="E234" s="4"/>
      <c r="M234" s="1407" t="s">
        <v>502</v>
      </c>
      <c r="N234" s="1464"/>
      <c r="O234" s="1464"/>
      <c r="P234" s="1464"/>
      <c r="Q234" s="1464"/>
      <c r="R234" s="1464"/>
      <c r="S234" s="1464"/>
      <c r="T234" s="1464"/>
      <c r="V234" s="33" t="s">
        <v>86</v>
      </c>
      <c r="W234" s="1506" t="s">
        <v>2649</v>
      </c>
      <c r="X234" s="1473"/>
      <c r="Y234" s="4" t="s">
        <v>591</v>
      </c>
      <c r="AC234" s="1464">
        <v>90036</v>
      </c>
      <c r="AD234" s="1464"/>
      <c r="AE234" s="1464"/>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07" t="s">
        <v>2694</v>
      </c>
      <c r="N235" s="1464"/>
      <c r="O235" s="1464"/>
      <c r="P235" s="1464"/>
      <c r="Q235" s="1464"/>
      <c r="R235" s="1464"/>
      <c r="S235" s="1464"/>
      <c r="T235" s="1464"/>
      <c r="U235" s="1464"/>
      <c r="V235" s="1464"/>
      <c r="W235" s="1464"/>
      <c r="X235" s="1464"/>
      <c r="Y235" s="1464"/>
      <c r="Z235" s="1464"/>
      <c r="AA235" s="1464"/>
      <c r="AB235" s="1464"/>
      <c r="AC235" s="1464"/>
      <c r="AD235" s="1464"/>
      <c r="AE235" s="1464"/>
      <c r="AI235" s="4"/>
      <c r="AJ235" s="4"/>
      <c r="AK235" s="4"/>
      <c r="AL235" s="4"/>
      <c r="AM235" s="4"/>
      <c r="AN235" s="4"/>
      <c r="AO235" s="4"/>
      <c r="AP235" s="4"/>
      <c r="AQ235" s="4"/>
      <c r="AR235" s="4"/>
      <c r="AS235" s="4"/>
      <c r="AT235" s="4"/>
      <c r="BB235" s="219"/>
      <c r="BG235" s="218"/>
    </row>
    <row r="236" spans="1:69" ht="12.95" customHeight="1">
      <c r="D236" s="4" t="s">
        <v>88</v>
      </c>
      <c r="E236" s="4"/>
      <c r="F236" s="4"/>
      <c r="M236" s="1405" t="s">
        <v>2695</v>
      </c>
      <c r="N236" s="1406"/>
      <c r="O236" s="1406"/>
      <c r="P236" s="1406"/>
      <c r="Q236" s="1406"/>
      <c r="R236" s="1406"/>
      <c r="S236" s="4" t="s">
        <v>207</v>
      </c>
      <c r="T236" s="4"/>
      <c r="U236" s="1473"/>
      <c r="V236" s="1473"/>
      <c r="W236" s="1473"/>
      <c r="X236" s="4" t="s">
        <v>89</v>
      </c>
      <c r="Z236" s="1406"/>
      <c r="AA236" s="1406"/>
      <c r="AB236" s="1406"/>
      <c r="AC236" s="1406"/>
      <c r="AD236" s="1406"/>
      <c r="AE236" s="1406"/>
      <c r="AU236" s="4"/>
      <c r="AV236" s="4"/>
      <c r="AW236" s="4"/>
      <c r="AX236" s="4"/>
      <c r="AY236" s="4"/>
      <c r="AZ236" s="4"/>
      <c r="BB236" s="218" t="s">
        <v>545</v>
      </c>
      <c r="BG236" s="259">
        <f>IF(AND(AND($M$249="nonprofit",$M$257="nonprofit",$M$265="(select one)")),1,0)</f>
        <v>0</v>
      </c>
    </row>
    <row r="237" spans="1:69" ht="12.95" customHeight="1">
      <c r="D237" s="4" t="s">
        <v>90</v>
      </c>
      <c r="E237" s="4"/>
      <c r="F237" s="4"/>
      <c r="M237" s="1774" t="s">
        <v>2697</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17" t="s">
        <v>536</v>
      </c>
      <c r="N238" s="1417"/>
      <c r="O238" s="1417"/>
      <c r="P238" s="1417"/>
      <c r="Q238" s="1417"/>
      <c r="R238" s="1417"/>
      <c r="S238" s="1417"/>
      <c r="T238" s="1417"/>
      <c r="U238" s="218" t="s">
        <v>921</v>
      </c>
      <c r="V238" s="218"/>
      <c r="W238" s="218"/>
      <c r="X238" s="218"/>
      <c r="Y238" s="218"/>
      <c r="Z238" s="218"/>
      <c r="AA238" s="1789"/>
      <c r="AB238" s="1789"/>
      <c r="AC238" s="1789"/>
      <c r="AD238" s="1789"/>
      <c r="AE238" s="1789"/>
      <c r="AF238" s="1789"/>
      <c r="AG238" s="1789"/>
      <c r="AH238" s="1789"/>
      <c r="AI238" s="1789"/>
      <c r="AJ238" s="1789"/>
      <c r="AK238" s="1789"/>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66" t="s">
        <v>2650</v>
      </c>
      <c r="N243" s="1467"/>
      <c r="O243" s="1467"/>
      <c r="P243" s="1467"/>
      <c r="Q243" s="1467"/>
      <c r="R243" s="1467"/>
      <c r="S243" s="1467"/>
      <c r="T243" s="1467"/>
      <c r="U243" s="1467"/>
      <c r="V243" s="1467"/>
      <c r="W243" s="1467"/>
      <c r="X243" s="1467"/>
      <c r="Y243" s="1467"/>
      <c r="Z243" s="1467"/>
      <c r="AA243" s="1467"/>
      <c r="AB243" s="1467"/>
      <c r="AC243" s="1467"/>
      <c r="AD243" s="1467"/>
      <c r="AE243" s="1467"/>
      <c r="AF243" s="1467" t="s">
        <v>2653</v>
      </c>
      <c r="AG243" s="1467"/>
      <c r="AH243" s="1467"/>
      <c r="AI243" s="1467"/>
      <c r="AJ243" s="1467"/>
      <c r="AK243" s="1467"/>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07" t="s">
        <v>2654</v>
      </c>
      <c r="N244" s="1464"/>
      <c r="O244" s="1464"/>
      <c r="P244" s="1464"/>
      <c r="Q244" s="1464"/>
      <c r="R244" s="1464"/>
      <c r="S244" s="1464"/>
      <c r="T244" s="1464"/>
      <c r="U244" s="1464"/>
      <c r="V244" s="1464"/>
      <c r="W244" s="1464"/>
      <c r="X244" s="1464"/>
      <c r="Y244" s="1464"/>
      <c r="Z244" s="1464"/>
      <c r="AA244" s="1464"/>
      <c r="AB244" s="1464"/>
      <c r="AC244" s="1464"/>
      <c r="AD244" s="1464"/>
      <c r="AE244" s="1464"/>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07" t="s">
        <v>2655</v>
      </c>
      <c r="N245" s="1464"/>
      <c r="O245" s="1464"/>
      <c r="P245" s="1464"/>
      <c r="Q245" s="1464"/>
      <c r="R245" s="1464"/>
      <c r="S245" s="1464"/>
      <c r="T245" s="1464"/>
      <c r="V245" s="33" t="s">
        <v>86</v>
      </c>
      <c r="W245" s="1506" t="s">
        <v>2649</v>
      </c>
      <c r="X245" s="1473"/>
      <c r="Y245" s="4" t="s">
        <v>591</v>
      </c>
      <c r="AC245" s="1464">
        <v>92024</v>
      </c>
      <c r="AD245" s="1464"/>
      <c r="AE245" s="1464"/>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07" t="s">
        <v>2696</v>
      </c>
      <c r="N246" s="1464"/>
      <c r="O246" s="1464"/>
      <c r="P246" s="1464"/>
      <c r="Q246" s="1464"/>
      <c r="R246" s="1464"/>
      <c r="S246" s="1464"/>
      <c r="T246" s="1464"/>
      <c r="U246" s="1464"/>
      <c r="V246" s="1464"/>
      <c r="W246" s="1464"/>
      <c r="X246" s="1464"/>
      <c r="Y246" s="1464"/>
      <c r="Z246" s="1464"/>
      <c r="AA246" s="1464"/>
      <c r="AB246" s="1464"/>
      <c r="AC246" s="1464"/>
      <c r="AD246" s="1464"/>
      <c r="AE246" s="1464"/>
      <c r="AH246" s="1781">
        <v>1E-3</v>
      </c>
      <c r="AI246" s="1781"/>
      <c r="AJ246" s="1781"/>
      <c r="AK246" s="1781"/>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405" t="s">
        <v>2741</v>
      </c>
      <c r="N247" s="1406"/>
      <c r="O247" s="1406"/>
      <c r="P247" s="1406"/>
      <c r="Q247" s="1406"/>
      <c r="R247" s="1406"/>
      <c r="S247" s="4" t="s">
        <v>207</v>
      </c>
      <c r="T247" s="4"/>
      <c r="U247" s="1473"/>
      <c r="V247" s="1473"/>
      <c r="W247" s="1473"/>
      <c r="X247" s="4" t="s">
        <v>89</v>
      </c>
      <c r="Z247" s="1406"/>
      <c r="AA247" s="1406"/>
      <c r="AB247" s="1406"/>
      <c r="AC247" s="1406"/>
      <c r="AD247" s="1406"/>
      <c r="AE247" s="1406"/>
      <c r="AU247" s="4"/>
      <c r="AV247" s="4"/>
      <c r="AW247" s="4"/>
      <c r="AX247" s="4"/>
      <c r="AY247" s="4"/>
      <c r="BG247">
        <v>0</v>
      </c>
      <c r="BH247" s="3"/>
      <c r="BN247" s="34"/>
    </row>
    <row r="248" spans="1:71" ht="12.95" customHeight="1">
      <c r="A248" s="19"/>
      <c r="B248" s="4"/>
      <c r="C248" s="4"/>
      <c r="D248" s="4" t="s">
        <v>90</v>
      </c>
      <c r="E248" s="4"/>
      <c r="F248" s="4"/>
      <c r="M248" s="1774" t="s">
        <v>2740</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17" t="s">
        <v>542</v>
      </c>
      <c r="N249" s="1417"/>
      <c r="O249" s="1417"/>
      <c r="P249" s="1417"/>
      <c r="Q249" s="1417"/>
      <c r="R249" s="1417"/>
      <c r="S249" s="1417"/>
      <c r="T249" s="1417"/>
      <c r="U249" s="218" t="s">
        <v>921</v>
      </c>
      <c r="V249" s="218"/>
      <c r="W249" s="218"/>
      <c r="X249" s="218"/>
      <c r="Y249" s="218"/>
      <c r="Z249" s="218"/>
      <c r="AA249" s="1789"/>
      <c r="AB249" s="1789"/>
      <c r="AC249" s="1789"/>
      <c r="AD249" s="1789"/>
      <c r="AE249" s="1789"/>
      <c r="AF249" s="1789"/>
      <c r="AG249" s="1789"/>
      <c r="AH249" s="1789"/>
      <c r="AI249" s="1789"/>
      <c r="AJ249" s="1789"/>
      <c r="AK249" s="178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66" t="s">
        <v>2651</v>
      </c>
      <c r="N251" s="1467"/>
      <c r="O251" s="1467"/>
      <c r="P251" s="1467"/>
      <c r="Q251" s="1467"/>
      <c r="R251" s="1467"/>
      <c r="S251" s="1467"/>
      <c r="T251" s="1467"/>
      <c r="U251" s="1467"/>
      <c r="V251" s="1467"/>
      <c r="W251" s="1467"/>
      <c r="X251" s="1467"/>
      <c r="Y251" s="1467"/>
      <c r="Z251" s="1467"/>
      <c r="AA251" s="1467"/>
      <c r="AB251" s="1467"/>
      <c r="AC251" s="1467"/>
      <c r="AD251" s="1467"/>
      <c r="AE251" s="1467"/>
      <c r="AF251" s="1467" t="s">
        <v>2652</v>
      </c>
      <c r="AG251" s="1467"/>
      <c r="AH251" s="1467"/>
      <c r="AI251" s="1467"/>
      <c r="AJ251" s="1467"/>
      <c r="AK251" s="1467"/>
      <c r="AU251" s="4"/>
      <c r="AV251" s="4"/>
      <c r="AW251" s="4"/>
      <c r="AX251" s="4"/>
      <c r="AY251" s="4"/>
      <c r="BN251" s="34"/>
    </row>
    <row r="252" spans="1:71" ht="12.95" customHeight="1">
      <c r="A252" s="19"/>
      <c r="B252" s="4"/>
      <c r="C252" s="4"/>
      <c r="D252" s="4" t="s">
        <v>85</v>
      </c>
      <c r="E252" s="4"/>
      <c r="F252" s="4"/>
      <c r="G252" s="4"/>
      <c r="H252" s="4"/>
      <c r="I252" s="4"/>
      <c r="J252" s="4"/>
      <c r="K252" s="4"/>
      <c r="L252" s="4"/>
      <c r="M252" s="1464" t="s">
        <v>2768</v>
      </c>
      <c r="N252" s="1464"/>
      <c r="O252" s="1464"/>
      <c r="P252" s="1464"/>
      <c r="Q252" s="1464"/>
      <c r="R252" s="1464"/>
      <c r="S252" s="1464"/>
      <c r="T252" s="1464"/>
      <c r="U252" s="1464"/>
      <c r="V252" s="1464"/>
      <c r="W252" s="1464"/>
      <c r="X252" s="1464"/>
      <c r="Y252" s="1464"/>
      <c r="Z252" s="1464"/>
      <c r="AA252" s="1464"/>
      <c r="AB252" s="1464"/>
      <c r="AC252" s="1464"/>
      <c r="AD252" s="1464"/>
      <c r="AE252" s="1464"/>
      <c r="AF252" s="3" t="s">
        <v>1285</v>
      </c>
      <c r="AL252" s="4"/>
      <c r="AM252" s="4"/>
      <c r="AN252" s="4"/>
      <c r="AO252" s="4"/>
      <c r="AP252" s="4"/>
      <c r="AQ252" s="4"/>
      <c r="AR252" s="4"/>
      <c r="AS252" s="4"/>
      <c r="AT252" s="4"/>
      <c r="BN252" s="34"/>
    </row>
    <row r="253" spans="1:71" ht="12.95" customHeight="1">
      <c r="A253" s="19"/>
      <c r="B253" s="4"/>
      <c r="C253" s="4"/>
      <c r="D253" s="4" t="s">
        <v>588</v>
      </c>
      <c r="E253" s="4"/>
      <c r="M253" s="1464" t="s">
        <v>502</v>
      </c>
      <c r="N253" s="1464"/>
      <c r="O253" s="1464"/>
      <c r="P253" s="1464"/>
      <c r="Q253" s="1464"/>
      <c r="R253" s="1464"/>
      <c r="S253" s="1464"/>
      <c r="T253" s="1464"/>
      <c r="V253" s="33" t="s">
        <v>86</v>
      </c>
      <c r="W253" s="1473" t="s">
        <v>2649</v>
      </c>
      <c r="X253" s="1473"/>
      <c r="Y253" s="4" t="s">
        <v>591</v>
      </c>
      <c r="AC253" s="1464">
        <v>90036</v>
      </c>
      <c r="AD253" s="1464"/>
      <c r="AE253" s="1464"/>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07" t="s">
        <v>2694</v>
      </c>
      <c r="N254" s="1464"/>
      <c r="O254" s="1464"/>
      <c r="P254" s="1464"/>
      <c r="Q254" s="1464"/>
      <c r="R254" s="1464"/>
      <c r="S254" s="1464"/>
      <c r="T254" s="1464"/>
      <c r="U254" s="1464"/>
      <c r="V254" s="1464"/>
      <c r="W254" s="1464"/>
      <c r="X254" s="1464"/>
      <c r="Y254" s="1464"/>
      <c r="Z254" s="1464"/>
      <c r="AA254" s="1464"/>
      <c r="AB254" s="1464"/>
      <c r="AC254" s="1464"/>
      <c r="AD254" s="1464"/>
      <c r="AE254" s="1464"/>
      <c r="AH254" s="1781">
        <v>8.9999999999999993E-3</v>
      </c>
      <c r="AI254" s="1781"/>
      <c r="AJ254" s="1781"/>
      <c r="AK254" s="1781"/>
      <c r="AL254" s="4"/>
      <c r="AM254" s="4"/>
      <c r="AN254" s="4"/>
      <c r="AO254" s="4"/>
      <c r="AP254" s="4"/>
      <c r="AQ254" s="4"/>
      <c r="AR254" s="4"/>
      <c r="AS254" s="4"/>
      <c r="AT254" s="4"/>
    </row>
    <row r="255" spans="1:71" ht="12.95" customHeight="1">
      <c r="A255" s="19"/>
      <c r="B255" s="4"/>
      <c r="C255" s="4"/>
      <c r="D255" s="4" t="s">
        <v>88</v>
      </c>
      <c r="E255" s="4"/>
      <c r="F255" s="4"/>
      <c r="M255" s="1405" t="s">
        <v>2695</v>
      </c>
      <c r="N255" s="1406"/>
      <c r="O255" s="1406"/>
      <c r="P255" s="1406"/>
      <c r="Q255" s="1406"/>
      <c r="R255" s="1406"/>
      <c r="S255" s="4" t="s">
        <v>207</v>
      </c>
      <c r="T255" s="4"/>
      <c r="U255" s="1473"/>
      <c r="V255" s="1473"/>
      <c r="W255" s="1473"/>
      <c r="X255" s="4" t="s">
        <v>89</v>
      </c>
      <c r="Z255" s="1406"/>
      <c r="AA255" s="1406"/>
      <c r="AB255" s="1406"/>
      <c r="AC255" s="1406"/>
      <c r="AD255" s="1406"/>
      <c r="AE255" s="1406"/>
      <c r="AU255" s="4"/>
      <c r="AV255" s="4"/>
      <c r="AW255" s="4"/>
      <c r="AX255" s="4"/>
      <c r="AY255" s="4"/>
      <c r="BN255" s="34"/>
    </row>
    <row r="256" spans="1:71" ht="12.95" customHeight="1">
      <c r="A256" s="19"/>
      <c r="B256" s="4"/>
      <c r="C256" s="4"/>
      <c r="D256" s="4" t="s">
        <v>90</v>
      </c>
      <c r="E256" s="4"/>
      <c r="F256" s="4"/>
      <c r="M256" s="1774" t="s">
        <v>2697</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17" t="s">
        <v>544</v>
      </c>
      <c r="N257" s="1417"/>
      <c r="O257" s="1417"/>
      <c r="P257" s="1417"/>
      <c r="Q257" s="1417"/>
      <c r="R257" s="1417"/>
      <c r="S257" s="1417"/>
      <c r="T257" s="1417"/>
      <c r="U257" s="218" t="s">
        <v>921</v>
      </c>
      <c r="V257" s="218"/>
      <c r="W257" s="218"/>
      <c r="X257" s="218"/>
      <c r="Y257" s="218"/>
      <c r="Z257" s="218"/>
      <c r="AA257" s="1789"/>
      <c r="AB257" s="1789"/>
      <c r="AC257" s="1789"/>
      <c r="AD257" s="1789"/>
      <c r="AE257" s="1789"/>
      <c r="AF257" s="1789"/>
      <c r="AG257" s="1789"/>
      <c r="AH257" s="1789"/>
      <c r="AI257" s="1789"/>
      <c r="AJ257" s="1789"/>
      <c r="AK257" s="178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67"/>
      <c r="N259" s="1467"/>
      <c r="O259" s="1467"/>
      <c r="P259" s="1467"/>
      <c r="Q259" s="1467"/>
      <c r="R259" s="1467"/>
      <c r="S259" s="1467"/>
      <c r="T259" s="1467"/>
      <c r="U259" s="1467"/>
      <c r="V259" s="1467"/>
      <c r="W259" s="1467"/>
      <c r="X259" s="1467"/>
      <c r="Y259" s="1467"/>
      <c r="Z259" s="1467"/>
      <c r="AA259" s="1467"/>
      <c r="AB259" s="1467"/>
      <c r="AC259" s="1467"/>
      <c r="AD259" s="1467"/>
      <c r="AE259" s="1467"/>
      <c r="AF259" s="1467" t="s">
        <v>308</v>
      </c>
      <c r="AG259" s="1467"/>
      <c r="AH259" s="1467"/>
      <c r="AI259" s="1467"/>
      <c r="AJ259" s="1467"/>
      <c r="AK259" s="1467"/>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64"/>
      <c r="N260" s="1464"/>
      <c r="O260" s="1464"/>
      <c r="P260" s="1464"/>
      <c r="Q260" s="1464"/>
      <c r="R260" s="1464"/>
      <c r="S260" s="1464"/>
      <c r="T260" s="1464"/>
      <c r="U260" s="1464"/>
      <c r="V260" s="1464"/>
      <c r="W260" s="1464"/>
      <c r="X260" s="1464"/>
      <c r="Y260" s="1464"/>
      <c r="Z260" s="1464"/>
      <c r="AA260" s="1464"/>
      <c r="AB260" s="1464"/>
      <c r="AC260" s="1464"/>
      <c r="AD260" s="1464"/>
      <c r="AE260" s="1464"/>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64"/>
      <c r="N261" s="1464"/>
      <c r="O261" s="1464"/>
      <c r="P261" s="1464"/>
      <c r="Q261" s="1464"/>
      <c r="R261" s="1464"/>
      <c r="S261" s="1464"/>
      <c r="T261" s="1464"/>
      <c r="V261" s="33" t="s">
        <v>86</v>
      </c>
      <c r="W261" s="1473"/>
      <c r="X261" s="1473"/>
      <c r="Y261" s="4" t="s">
        <v>591</v>
      </c>
      <c r="AC261" s="1464"/>
      <c r="AD261" s="1464"/>
      <c r="AE261" s="1464"/>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64"/>
      <c r="N262" s="1464"/>
      <c r="O262" s="1464"/>
      <c r="P262" s="1464"/>
      <c r="Q262" s="1464"/>
      <c r="R262" s="1464"/>
      <c r="S262" s="1464"/>
      <c r="T262" s="1464"/>
      <c r="U262" s="1464"/>
      <c r="V262" s="1464"/>
      <c r="W262" s="1464"/>
      <c r="X262" s="1464"/>
      <c r="Y262" s="1464"/>
      <c r="Z262" s="1464"/>
      <c r="AA262" s="1464"/>
      <c r="AB262" s="1464"/>
      <c r="AC262" s="1464"/>
      <c r="AD262" s="1464"/>
      <c r="AE262" s="1464"/>
      <c r="AH262" s="1781"/>
      <c r="AI262" s="1781"/>
      <c r="AJ262" s="1781"/>
      <c r="AK262" s="1781"/>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06"/>
      <c r="N263" s="1406"/>
      <c r="O263" s="1406"/>
      <c r="P263" s="1406"/>
      <c r="Q263" s="1406"/>
      <c r="R263" s="1406"/>
      <c r="S263" s="4" t="s">
        <v>207</v>
      </c>
      <c r="T263" s="4"/>
      <c r="U263" s="1473"/>
      <c r="V263" s="1473"/>
      <c r="W263" s="1473"/>
      <c r="X263" s="4" t="s">
        <v>89</v>
      </c>
      <c r="Z263" s="1406"/>
      <c r="AA263" s="1406"/>
      <c r="AB263" s="1406"/>
      <c r="AC263" s="1406"/>
      <c r="AD263" s="1406"/>
      <c r="AE263" s="140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5"/>
      <c r="AB264" s="1805"/>
      <c r="AC264" s="1805"/>
      <c r="AD264" s="1805"/>
      <c r="AE264" s="1805"/>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17" t="s">
        <v>308</v>
      </c>
      <c r="N265" s="1417"/>
      <c r="O265" s="1417"/>
      <c r="P265" s="1417"/>
      <c r="Q265" s="1417"/>
      <c r="R265" s="1417"/>
      <c r="S265" s="1417"/>
      <c r="T265" s="1417"/>
      <c r="U265" s="218" t="s">
        <v>921</v>
      </c>
      <c r="V265" s="218"/>
      <c r="W265" s="218"/>
      <c r="X265" s="218"/>
      <c r="Y265" s="218"/>
      <c r="Z265" s="218"/>
      <c r="AA265" s="1806"/>
      <c r="AB265" s="1806"/>
      <c r="AC265" s="1806"/>
      <c r="AD265" s="1806"/>
      <c r="AE265" s="1806"/>
      <c r="AF265" s="1806"/>
      <c r="AG265" s="1806"/>
      <c r="AH265" s="1806"/>
      <c r="AI265" s="1806"/>
      <c r="AJ265" s="1806"/>
      <c r="AK265" s="180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790" t="str">
        <f>IFERROR(BO245,"")</f>
        <v>Joint Venture</v>
      </c>
      <c r="U267" s="1790"/>
      <c r="V267" s="1790"/>
      <c r="W267" s="1790"/>
      <c r="X267" s="1790"/>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64" t="s">
        <v>281</v>
      </c>
      <c r="E270" s="1464"/>
      <c r="F270" s="1464"/>
      <c r="G270" s="1464"/>
      <c r="H270" s="1464"/>
      <c r="J270" t="s">
        <v>280</v>
      </c>
      <c r="X270" s="1492"/>
      <c r="Y270" s="1492"/>
      <c r="Z270" s="1492"/>
      <c r="AA270" s="1492"/>
      <c r="AB270" s="1492"/>
      <c r="AC270" s="1492"/>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66" t="s">
        <v>2657</v>
      </c>
      <c r="M274" s="1467"/>
      <c r="N274" s="1467"/>
      <c r="O274" s="1467"/>
      <c r="P274" s="1467"/>
      <c r="Q274" s="1467"/>
      <c r="R274" s="1467"/>
      <c r="S274" s="1467"/>
      <c r="T274" s="1467"/>
      <c r="U274" s="1467"/>
      <c r="V274" s="1467"/>
      <c r="W274" s="1467"/>
      <c r="X274" s="1467"/>
      <c r="Y274" s="1467"/>
      <c r="Z274" s="1467"/>
      <c r="AA274" s="1467"/>
      <c r="AB274" s="1467"/>
      <c r="AC274" s="1467"/>
      <c r="AD274" s="1467"/>
      <c r="AE274" s="1467"/>
      <c r="AF274" s="1467"/>
      <c r="AG274" s="1467"/>
      <c r="AH274" s="1467"/>
      <c r="AI274" s="1467"/>
      <c r="AJ274" s="1467"/>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64" t="s">
        <v>2658</v>
      </c>
      <c r="M275" s="1464"/>
      <c r="N275" s="1464"/>
      <c r="O275" s="1464"/>
      <c r="P275" s="1464"/>
      <c r="Q275" s="1464"/>
      <c r="R275" s="1464"/>
      <c r="S275" s="1464"/>
      <c r="T275" s="1464"/>
      <c r="U275" s="1464"/>
      <c r="V275" s="1464"/>
      <c r="W275" s="1464"/>
      <c r="X275" s="1464"/>
      <c r="Y275" s="1464"/>
      <c r="Z275" s="1464"/>
      <c r="AA275" s="1464"/>
      <c r="AB275" s="1464"/>
      <c r="AC275" s="1464"/>
      <c r="AD275" s="1464"/>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07" t="s">
        <v>2657</v>
      </c>
      <c r="M276" s="1464"/>
      <c r="N276" s="1464"/>
      <c r="O276" s="1464"/>
      <c r="P276" s="1464"/>
      <c r="Q276" s="1464"/>
      <c r="R276" s="1464"/>
      <c r="S276" s="1464"/>
      <c r="U276" s="33" t="s">
        <v>86</v>
      </c>
      <c r="V276" s="1506" t="s">
        <v>2649</v>
      </c>
      <c r="W276" s="1473"/>
      <c r="X276" s="4" t="s">
        <v>591</v>
      </c>
      <c r="AB276" s="1464">
        <v>90004</v>
      </c>
      <c r="AC276" s="1464"/>
      <c r="AD276" s="1464"/>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07" t="s">
        <v>2725</v>
      </c>
      <c r="M277" s="1464"/>
      <c r="N277" s="1464"/>
      <c r="O277" s="1464"/>
      <c r="P277" s="1464"/>
      <c r="Q277" s="1464"/>
      <c r="R277" s="1464"/>
      <c r="S277" s="1464"/>
      <c r="T277" s="1464"/>
      <c r="U277" s="1464"/>
      <c r="V277" s="1464"/>
      <c r="W277" s="1464"/>
      <c r="X277" s="1464"/>
      <c r="Y277" s="1464"/>
      <c r="Z277" s="1464"/>
      <c r="AA277" s="1464"/>
      <c r="AB277" s="1464"/>
      <c r="AC277" s="1464"/>
      <c r="AD277" s="1464"/>
      <c r="AI277" s="4"/>
      <c r="AJ277" s="4"/>
      <c r="AK277" s="3"/>
      <c r="AL277" s="3"/>
      <c r="AM277" s="3"/>
      <c r="AN277" s="3"/>
      <c r="AO277" s="3"/>
      <c r="AP277" s="3"/>
      <c r="AQ277" s="3"/>
      <c r="AR277" s="3"/>
      <c r="AS277" s="3"/>
      <c r="AT277" s="3"/>
      <c r="BN277" s="34"/>
    </row>
    <row r="278" spans="1:66" ht="12.95" customHeight="1">
      <c r="D278" s="4" t="s">
        <v>88</v>
      </c>
      <c r="E278" s="4"/>
      <c r="F278" s="4"/>
      <c r="L278" s="1405" t="s">
        <v>2726</v>
      </c>
      <c r="M278" s="1406"/>
      <c r="N278" s="1406"/>
      <c r="O278" s="1406"/>
      <c r="P278" s="1406"/>
      <c r="Q278" s="1406"/>
      <c r="R278" s="4" t="s">
        <v>207</v>
      </c>
      <c r="S278" s="4"/>
      <c r="T278" s="1473"/>
      <c r="U278" s="1473"/>
      <c r="V278" s="1473"/>
      <c r="W278" s="4" t="s">
        <v>89</v>
      </c>
      <c r="Y278" s="1406"/>
      <c r="Z278" s="1406"/>
      <c r="AA278" s="1406"/>
      <c r="AB278" s="1406"/>
      <c r="AC278" s="1406"/>
      <c r="AD278" s="1406"/>
      <c r="BN278" s="34"/>
    </row>
    <row r="279" spans="1:66" ht="12.95" customHeight="1">
      <c r="D279" s="4" t="s">
        <v>90</v>
      </c>
      <c r="E279" s="4"/>
      <c r="F279" s="4"/>
      <c r="L279" s="1774" t="s">
        <v>2727</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631</v>
      </c>
      <c r="E280" s="3"/>
      <c r="F280" s="3"/>
      <c r="G280" s="3"/>
      <c r="H280" s="3"/>
      <c r="I280" s="3"/>
      <c r="L280" s="1506" t="s">
        <v>2724</v>
      </c>
      <c r="M280" s="1506"/>
      <c r="N280" s="1506"/>
      <c r="O280" s="1506"/>
      <c r="P280" s="1506"/>
      <c r="Q280" s="1506"/>
      <c r="R280" s="1506"/>
      <c r="S280" s="1506"/>
      <c r="T280" s="1506"/>
      <c r="U280" s="1506"/>
      <c r="V280" s="1506"/>
      <c r="W280" s="1506"/>
      <c r="X280" s="1506"/>
      <c r="Y280" s="1506"/>
      <c r="Z280" s="1506"/>
      <c r="AA280" s="1506"/>
      <c r="AB280" s="1506"/>
      <c r="AC280" s="1506"/>
      <c r="AD280" s="150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12" t="s">
        <v>549</v>
      </c>
      <c r="B282" s="1412"/>
      <c r="C282" s="1412"/>
      <c r="D282" s="1412"/>
      <c r="E282" s="1412"/>
      <c r="F282" s="1412"/>
      <c r="G282" s="1412"/>
      <c r="H282" s="1412"/>
      <c r="I282" s="1412"/>
      <c r="J282" s="1412"/>
      <c r="K282" s="1412"/>
      <c r="L282" s="1412"/>
      <c r="M282" s="1412"/>
      <c r="N282" s="1412"/>
      <c r="O282" s="1412"/>
      <c r="P282" s="1412"/>
      <c r="Q282" s="1412"/>
      <c r="R282" s="1412"/>
      <c r="S282" s="1412"/>
      <c r="T282" s="1412"/>
      <c r="U282" s="1412"/>
      <c r="V282" s="1412"/>
      <c r="W282" s="1412"/>
      <c r="X282" s="1412"/>
      <c r="Y282" s="1412"/>
      <c r="Z282" s="1412"/>
      <c r="AA282" s="1412"/>
      <c r="AB282" s="1412"/>
      <c r="AC282" s="1412"/>
      <c r="AD282" s="1412"/>
      <c r="AE282" s="1412"/>
      <c r="AF282" s="1412"/>
      <c r="AG282" s="1412"/>
      <c r="AH282" s="1412"/>
      <c r="AI282" s="1412"/>
      <c r="AJ282" s="1412"/>
      <c r="AK282" s="1412"/>
      <c r="AL282" s="1412"/>
      <c r="AM282" s="1412"/>
      <c r="AN282" s="1412"/>
      <c r="AO282" s="1412"/>
      <c r="AP282" s="1412"/>
      <c r="AQ282" s="1412"/>
      <c r="AR282" s="1412"/>
      <c r="AS282" s="1412"/>
      <c r="AT282" s="1412"/>
      <c r="AU282" s="95"/>
      <c r="AV282" s="95"/>
      <c r="AW282" s="95"/>
      <c r="AX282" s="95"/>
      <c r="AY282" s="95"/>
      <c r="BN282" s="34"/>
    </row>
    <row r="283" spans="1:66" ht="12.95" customHeight="1">
      <c r="A283" s="1412"/>
      <c r="B283" s="1412"/>
      <c r="C283" s="1412"/>
      <c r="D283" s="1412"/>
      <c r="E283" s="1412"/>
      <c r="F283" s="1412"/>
      <c r="G283" s="1412"/>
      <c r="H283" s="1412"/>
      <c r="I283" s="1412"/>
      <c r="J283" s="1412"/>
      <c r="K283" s="1412"/>
      <c r="L283" s="1412"/>
      <c r="M283" s="1412"/>
      <c r="N283" s="1412"/>
      <c r="O283" s="1412"/>
      <c r="P283" s="1412"/>
      <c r="Q283" s="1412"/>
      <c r="R283" s="1412"/>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c r="AS283" s="1412"/>
      <c r="AT283" s="1412"/>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07" t="s">
        <v>2650</v>
      </c>
      <c r="I287" s="1408"/>
      <c r="J287" s="1408"/>
      <c r="K287" s="1408"/>
      <c r="L287" s="1408"/>
      <c r="M287" s="1408"/>
      <c r="N287" s="1408"/>
      <c r="O287" s="1408"/>
      <c r="P287" s="1408"/>
      <c r="Q287" s="1408"/>
      <c r="R287" s="1408"/>
      <c r="T287" s="3" t="s">
        <v>575</v>
      </c>
      <c r="V287" s="3"/>
      <c r="W287" s="3"/>
      <c r="X287" s="3"/>
      <c r="Y287" s="3"/>
      <c r="AA287" s="1407" t="s">
        <v>2699</v>
      </c>
      <c r="AB287" s="1408"/>
      <c r="AC287" s="1408"/>
      <c r="AD287" s="1408"/>
      <c r="AE287" s="1408"/>
      <c r="AF287" s="1408"/>
      <c r="AG287" s="1408"/>
      <c r="AH287" s="1408"/>
      <c r="AI287" s="1408"/>
      <c r="AJ287" s="1408"/>
      <c r="AK287" s="1408"/>
      <c r="BN287" s="34"/>
    </row>
    <row r="288" spans="1:66" ht="12.95" customHeight="1">
      <c r="B288" s="3" t="s">
        <v>479</v>
      </c>
      <c r="C288" s="3"/>
      <c r="D288" s="3"/>
      <c r="E288" s="3"/>
      <c r="F288" s="3"/>
      <c r="H288" s="1417" t="s">
        <v>2654</v>
      </c>
      <c r="I288" s="1417"/>
      <c r="J288" s="1417"/>
      <c r="K288" s="1417"/>
      <c r="L288" s="1417"/>
      <c r="M288" s="1417"/>
      <c r="N288" s="1417"/>
      <c r="O288" s="1417"/>
      <c r="P288" s="1417"/>
      <c r="Q288" s="1417"/>
      <c r="R288" s="1417"/>
      <c r="T288" s="3" t="s">
        <v>479</v>
      </c>
      <c r="V288" s="3"/>
      <c r="W288" s="3"/>
      <c r="X288" s="3"/>
      <c r="Y288" s="3"/>
      <c r="AA288" s="1506" t="s">
        <v>2742</v>
      </c>
      <c r="AB288" s="1417"/>
      <c r="AC288" s="1417"/>
      <c r="AD288" s="1417"/>
      <c r="AE288" s="1417"/>
      <c r="AF288" s="1417"/>
      <c r="AG288" s="1417"/>
      <c r="AH288" s="1417"/>
      <c r="AI288" s="1417"/>
      <c r="AJ288" s="1417"/>
      <c r="AK288" s="1417"/>
      <c r="BN288" s="34"/>
    </row>
    <row r="289" spans="2:66" ht="12.95" customHeight="1">
      <c r="B289" s="3" t="s">
        <v>480</v>
      </c>
      <c r="C289" s="3"/>
      <c r="D289" s="3"/>
      <c r="E289" s="3"/>
      <c r="F289" s="3"/>
      <c r="H289" s="1506" t="s">
        <v>2766</v>
      </c>
      <c r="I289" s="1417"/>
      <c r="J289" s="1417"/>
      <c r="K289" s="1417"/>
      <c r="L289" s="1417"/>
      <c r="M289" s="1417"/>
      <c r="N289" s="1417"/>
      <c r="O289" s="1417"/>
      <c r="P289" s="1417"/>
      <c r="Q289" s="1417"/>
      <c r="R289" s="1417"/>
      <c r="T289" s="3" t="s">
        <v>75</v>
      </c>
      <c r="V289" s="3"/>
      <c r="W289" s="3"/>
      <c r="X289" s="3"/>
      <c r="Y289" s="3"/>
      <c r="AA289" s="1506" t="s">
        <v>2743</v>
      </c>
      <c r="AB289" s="1417"/>
      <c r="AC289" s="1417"/>
      <c r="AD289" s="1417"/>
      <c r="AE289" s="1417"/>
      <c r="AF289" s="1417"/>
      <c r="AG289" s="1417"/>
      <c r="AH289" s="1417"/>
      <c r="AI289" s="1417"/>
      <c r="AJ289" s="1417"/>
      <c r="AK289" s="1417"/>
      <c r="BN289" s="34"/>
    </row>
    <row r="290" spans="2:66" ht="12.95" customHeight="1">
      <c r="B290" s="3" t="s">
        <v>87</v>
      </c>
      <c r="C290" s="3"/>
      <c r="D290" s="3"/>
      <c r="E290" s="3"/>
      <c r="F290" s="3"/>
      <c r="H290" s="1506" t="s">
        <v>2696</v>
      </c>
      <c r="I290" s="1417"/>
      <c r="J290" s="1417"/>
      <c r="K290" s="1417"/>
      <c r="L290" s="1417"/>
      <c r="M290" s="1417"/>
      <c r="N290" s="1417"/>
      <c r="O290" s="1417"/>
      <c r="P290" s="1417"/>
      <c r="Q290" s="1417"/>
      <c r="R290" s="1417"/>
      <c r="T290" s="3" t="s">
        <v>87</v>
      </c>
      <c r="V290" s="3"/>
      <c r="W290" s="3"/>
      <c r="X290" s="3"/>
      <c r="Y290" s="3"/>
      <c r="AA290" s="1506" t="s">
        <v>2744</v>
      </c>
      <c r="AB290" s="1417"/>
      <c r="AC290" s="1417"/>
      <c r="AD290" s="1417"/>
      <c r="AE290" s="1417"/>
      <c r="AF290" s="1417"/>
      <c r="AG290" s="1417"/>
      <c r="AH290" s="1417"/>
      <c r="AI290" s="1417"/>
      <c r="AJ290" s="1417"/>
      <c r="AK290" s="1417"/>
      <c r="BN290" s="34"/>
    </row>
    <row r="291" spans="2:66" ht="12.95" customHeight="1">
      <c r="B291" s="3" t="s">
        <v>88</v>
      </c>
      <c r="C291" s="3"/>
      <c r="D291" s="3"/>
      <c r="E291" s="3"/>
      <c r="F291" s="3"/>
      <c r="G291" s="3"/>
      <c r="H291" s="1418" t="s">
        <v>2741</v>
      </c>
      <c r="I291" s="1418"/>
      <c r="J291" s="1418"/>
      <c r="K291" s="1418"/>
      <c r="L291" s="1418"/>
      <c r="M291" s="1418"/>
      <c r="N291" s="4" t="s">
        <v>207</v>
      </c>
      <c r="O291" s="4"/>
      <c r="P291" s="1464"/>
      <c r="Q291" s="1464"/>
      <c r="R291" s="1464"/>
      <c r="S291" s="3"/>
      <c r="T291" s="3" t="s">
        <v>88</v>
      </c>
      <c r="V291" s="3"/>
      <c r="W291" s="3"/>
      <c r="X291" s="3"/>
      <c r="Y291" s="3"/>
      <c r="AA291" s="1766" t="s">
        <v>2745</v>
      </c>
      <c r="AB291" s="1418"/>
      <c r="AC291" s="1418"/>
      <c r="AD291" s="1418"/>
      <c r="AE291" s="1418"/>
      <c r="AF291" s="1418"/>
      <c r="AG291" s="4" t="s">
        <v>207</v>
      </c>
      <c r="AH291" s="4"/>
      <c r="AI291" s="1464"/>
      <c r="AJ291" s="1464"/>
      <c r="AK291" s="1464"/>
      <c r="BN291" s="34"/>
    </row>
    <row r="292" spans="2:66" ht="12.95" customHeight="1">
      <c r="B292" s="3" t="s">
        <v>89</v>
      </c>
      <c r="C292" s="3"/>
      <c r="D292" s="3"/>
      <c r="E292" s="3"/>
      <c r="F292" s="3"/>
      <c r="G292" s="3"/>
      <c r="H292" s="1406"/>
      <c r="I292" s="1406"/>
      <c r="J292" s="1406"/>
      <c r="K292" s="1406"/>
      <c r="L292" s="1406"/>
      <c r="M292" s="1406"/>
      <c r="N292" s="4"/>
      <c r="O292" s="4"/>
      <c r="P292" s="35"/>
      <c r="Q292" s="35"/>
      <c r="R292" s="35"/>
      <c r="S292" s="3"/>
      <c r="T292" s="3" t="s">
        <v>89</v>
      </c>
      <c r="V292" s="3"/>
      <c r="W292" s="3"/>
      <c r="X292" s="3"/>
      <c r="Y292" s="3"/>
      <c r="AA292" s="1406"/>
      <c r="AB292" s="1406"/>
      <c r="AC292" s="1406"/>
      <c r="AD292" s="1406"/>
      <c r="AE292" s="1406"/>
      <c r="AF292" s="1406"/>
      <c r="AG292" s="4"/>
      <c r="AH292" s="4"/>
      <c r="AI292" s="35"/>
      <c r="AJ292" s="35"/>
      <c r="AK292" s="35"/>
      <c r="BN292" s="34"/>
    </row>
    <row r="293" spans="2:66" ht="12.95" customHeight="1">
      <c r="B293" s="3" t="s">
        <v>76</v>
      </c>
      <c r="C293" s="3"/>
      <c r="D293" s="3"/>
      <c r="E293" s="3"/>
      <c r="F293" s="3"/>
      <c r="G293" s="3"/>
      <c r="H293" s="1417" t="s">
        <v>2740</v>
      </c>
      <c r="I293" s="1417"/>
      <c r="J293" s="1417"/>
      <c r="K293" s="1417"/>
      <c r="L293" s="1417"/>
      <c r="M293" s="1417"/>
      <c r="N293" s="1408"/>
      <c r="O293" s="1408"/>
      <c r="P293" s="1408"/>
      <c r="Q293" s="1408"/>
      <c r="R293" s="1408"/>
      <c r="S293" s="3"/>
      <c r="T293" s="3" t="s">
        <v>76</v>
      </c>
      <c r="V293" s="3"/>
      <c r="W293" s="3"/>
      <c r="X293" s="3"/>
      <c r="Y293" s="3"/>
      <c r="AA293" s="1506" t="s">
        <v>2746</v>
      </c>
      <c r="AB293" s="1417"/>
      <c r="AC293" s="1417"/>
      <c r="AD293" s="1417"/>
      <c r="AE293" s="1417"/>
      <c r="AF293" s="1417"/>
      <c r="AG293" s="1408"/>
      <c r="AH293" s="1408"/>
      <c r="AI293" s="1408"/>
      <c r="AJ293" s="1408"/>
      <c r="AK293" s="1408"/>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08" t="s">
        <v>2657</v>
      </c>
      <c r="I295" s="1408"/>
      <c r="J295" s="1408"/>
      <c r="K295" s="1408"/>
      <c r="L295" s="1408"/>
      <c r="M295" s="1408"/>
      <c r="N295" s="1408"/>
      <c r="O295" s="1408"/>
      <c r="P295" s="1408"/>
      <c r="Q295" s="1408"/>
      <c r="R295" s="1408"/>
      <c r="T295" s="3" t="s">
        <v>365</v>
      </c>
      <c r="V295" s="3"/>
      <c r="W295" s="3"/>
      <c r="X295" s="3"/>
      <c r="Y295" s="3"/>
      <c r="AA295" s="1407" t="s">
        <v>2767</v>
      </c>
      <c r="AB295" s="1408"/>
      <c r="AC295" s="1408"/>
      <c r="AD295" s="1408"/>
      <c r="AE295" s="1408"/>
      <c r="AF295" s="1408"/>
      <c r="AG295" s="1408"/>
      <c r="AH295" s="1408"/>
      <c r="AI295" s="1408"/>
      <c r="AJ295" s="1408"/>
      <c r="AK295" s="1408"/>
      <c r="BN295" s="34"/>
    </row>
    <row r="296" spans="2:66" ht="12.95" customHeight="1">
      <c r="B296" s="3" t="s">
        <v>479</v>
      </c>
      <c r="C296" s="3"/>
      <c r="D296" s="3"/>
      <c r="E296" s="3"/>
      <c r="F296" s="3"/>
      <c r="H296" s="1417" t="s">
        <v>2658</v>
      </c>
      <c r="I296" s="1417"/>
      <c r="J296" s="1417"/>
      <c r="K296" s="1417"/>
      <c r="L296" s="1417"/>
      <c r="M296" s="1417"/>
      <c r="N296" s="1417"/>
      <c r="O296" s="1417"/>
      <c r="P296" s="1417"/>
      <c r="Q296" s="1417"/>
      <c r="R296" s="1417"/>
      <c r="T296" s="3" t="s">
        <v>479</v>
      </c>
      <c r="V296" s="3"/>
      <c r="W296" s="3"/>
      <c r="X296" s="3"/>
      <c r="Y296" s="3"/>
      <c r="AA296" s="1417"/>
      <c r="AB296" s="1417"/>
      <c r="AC296" s="1417"/>
      <c r="AD296" s="1417"/>
      <c r="AE296" s="1417"/>
      <c r="AF296" s="1417"/>
      <c r="AG296" s="1417"/>
      <c r="AH296" s="1417"/>
      <c r="AI296" s="1417"/>
      <c r="AJ296" s="1417"/>
      <c r="AK296" s="1417"/>
      <c r="BN296" s="34"/>
    </row>
    <row r="297" spans="2:66" ht="12.95" customHeight="1">
      <c r="B297" s="3" t="s">
        <v>480</v>
      </c>
      <c r="C297" s="3"/>
      <c r="D297" s="3"/>
      <c r="E297" s="3"/>
      <c r="F297" s="3"/>
      <c r="H297" s="1417" t="s">
        <v>2659</v>
      </c>
      <c r="I297" s="1417"/>
      <c r="J297" s="1417"/>
      <c r="K297" s="1417"/>
      <c r="L297" s="1417"/>
      <c r="M297" s="1417"/>
      <c r="N297" s="1417"/>
      <c r="O297" s="1417"/>
      <c r="P297" s="1417"/>
      <c r="Q297" s="1417"/>
      <c r="R297" s="1417"/>
      <c r="T297" s="3" t="s">
        <v>75</v>
      </c>
      <c r="V297" s="3"/>
      <c r="W297" s="3"/>
      <c r="X297" s="3"/>
      <c r="Y297" s="3"/>
      <c r="AA297" s="1417"/>
      <c r="AB297" s="1417"/>
      <c r="AC297" s="1417"/>
      <c r="AD297" s="1417"/>
      <c r="AE297" s="1417"/>
      <c r="AF297" s="1417"/>
      <c r="AG297" s="1417"/>
      <c r="AH297" s="1417"/>
      <c r="AI297" s="1417"/>
      <c r="AJ297" s="1417"/>
      <c r="AK297" s="1417"/>
      <c r="BN297" s="34"/>
    </row>
    <row r="298" spans="2:66" ht="12.95" customHeight="1">
      <c r="B298" s="3" t="s">
        <v>87</v>
      </c>
      <c r="C298" s="3"/>
      <c r="D298" s="3"/>
      <c r="E298" s="3"/>
      <c r="F298" s="3"/>
      <c r="H298" s="1417" t="s">
        <v>2660</v>
      </c>
      <c r="I298" s="1417"/>
      <c r="J298" s="1417"/>
      <c r="K298" s="1417"/>
      <c r="L298" s="1417"/>
      <c r="M298" s="1417"/>
      <c r="N298" s="1417"/>
      <c r="O298" s="1417"/>
      <c r="P298" s="1417"/>
      <c r="Q298" s="1417"/>
      <c r="R298" s="1417"/>
      <c r="T298" s="3" t="s">
        <v>87</v>
      </c>
      <c r="V298" s="3"/>
      <c r="W298" s="3"/>
      <c r="X298" s="3"/>
      <c r="Y298" s="3"/>
      <c r="AA298" s="1506"/>
      <c r="AB298" s="1417"/>
      <c r="AC298" s="1417"/>
      <c r="AD298" s="1417"/>
      <c r="AE298" s="1417"/>
      <c r="AF298" s="1417"/>
      <c r="AG298" s="1417"/>
      <c r="AH298" s="1417"/>
      <c r="AI298" s="1417"/>
      <c r="AJ298" s="1417"/>
      <c r="AK298" s="1417"/>
      <c r="BN298" s="34"/>
    </row>
    <row r="299" spans="2:66" ht="12.95" customHeight="1">
      <c r="B299" s="3" t="s">
        <v>88</v>
      </c>
      <c r="C299" s="3"/>
      <c r="D299" s="3"/>
      <c r="E299" s="3"/>
      <c r="F299" s="3"/>
      <c r="G299" s="3"/>
      <c r="H299" s="1766" t="s">
        <v>2661</v>
      </c>
      <c r="I299" s="1418"/>
      <c r="J299" s="1418"/>
      <c r="K299" s="1418"/>
      <c r="L299" s="1418"/>
      <c r="M299" s="1418"/>
      <c r="N299" s="4" t="s">
        <v>207</v>
      </c>
      <c r="O299" s="4"/>
      <c r="P299" s="1464"/>
      <c r="Q299" s="1464"/>
      <c r="R299" s="1464"/>
      <c r="S299" s="3"/>
      <c r="T299" s="3" t="s">
        <v>88</v>
      </c>
      <c r="V299" s="3"/>
      <c r="W299" s="3"/>
      <c r="X299" s="3"/>
      <c r="Y299" s="3"/>
      <c r="AA299" s="1418"/>
      <c r="AB299" s="1418"/>
      <c r="AC299" s="1418"/>
      <c r="AD299" s="1418"/>
      <c r="AE299" s="1418"/>
      <c r="AF299" s="1418"/>
      <c r="AG299" s="4" t="s">
        <v>207</v>
      </c>
      <c r="AH299" s="4"/>
      <c r="AI299" s="1464"/>
      <c r="AJ299" s="1464"/>
      <c r="AK299" s="1464"/>
      <c r="BN299" s="34"/>
    </row>
    <row r="300" spans="2:66" ht="12.95" customHeight="1">
      <c r="B300" s="3" t="s">
        <v>89</v>
      </c>
      <c r="C300" s="3"/>
      <c r="D300" s="3"/>
      <c r="E300" s="3"/>
      <c r="F300" s="3"/>
      <c r="G300" s="3"/>
      <c r="H300" s="1406"/>
      <c r="I300" s="1406"/>
      <c r="J300" s="1406"/>
      <c r="K300" s="1406"/>
      <c r="L300" s="1406"/>
      <c r="M300" s="1406"/>
      <c r="N300" s="4"/>
      <c r="O300" s="4"/>
      <c r="P300" s="35"/>
      <c r="Q300" s="35"/>
      <c r="R300" s="35"/>
      <c r="S300" s="3"/>
      <c r="T300" s="3" t="s">
        <v>89</v>
      </c>
      <c r="V300" s="3"/>
      <c r="W300" s="3"/>
      <c r="X300" s="3"/>
      <c r="Y300" s="3"/>
      <c r="AA300" s="1406"/>
      <c r="AB300" s="1406"/>
      <c r="AC300" s="1406"/>
      <c r="AD300" s="1406"/>
      <c r="AE300" s="1406"/>
      <c r="AF300" s="1406"/>
      <c r="AG300" s="4"/>
      <c r="AH300" s="4"/>
      <c r="AI300" s="35"/>
      <c r="AJ300" s="35"/>
      <c r="AK300" s="35"/>
      <c r="BN300" s="34"/>
    </row>
    <row r="301" spans="2:66" ht="12.95" customHeight="1">
      <c r="B301" s="3" t="s">
        <v>76</v>
      </c>
      <c r="C301" s="3"/>
      <c r="D301" s="3"/>
      <c r="E301" s="3"/>
      <c r="F301" s="3"/>
      <c r="G301" s="3"/>
      <c r="H301" s="1417" t="s">
        <v>2727</v>
      </c>
      <c r="I301" s="1417"/>
      <c r="J301" s="1417"/>
      <c r="K301" s="1417"/>
      <c r="L301" s="1417"/>
      <c r="M301" s="1417"/>
      <c r="N301" s="1408"/>
      <c r="O301" s="1408"/>
      <c r="P301" s="1408"/>
      <c r="Q301" s="1408"/>
      <c r="R301" s="1408"/>
      <c r="S301" s="3"/>
      <c r="T301" s="3" t="s">
        <v>76</v>
      </c>
      <c r="V301" s="3"/>
      <c r="W301" s="3"/>
      <c r="X301" s="3"/>
      <c r="Y301" s="3"/>
      <c r="AA301" s="1417"/>
      <c r="AB301" s="1417"/>
      <c r="AC301" s="1417"/>
      <c r="AD301" s="1417"/>
      <c r="AE301" s="1417"/>
      <c r="AF301" s="1417"/>
      <c r="AG301" s="1408"/>
      <c r="AH301" s="1408"/>
      <c r="AI301" s="1408"/>
      <c r="AJ301" s="1408"/>
      <c r="AK301" s="1408"/>
      <c r="BN301" s="34"/>
    </row>
    <row r="302" spans="2:66" ht="12.95" customHeight="1">
      <c r="BN302" s="34"/>
    </row>
    <row r="303" spans="2:66" ht="12.95" customHeight="1">
      <c r="B303" s="3" t="s">
        <v>77</v>
      </c>
      <c r="C303" s="3"/>
      <c r="D303" s="3"/>
      <c r="E303" s="3"/>
      <c r="F303" s="3"/>
      <c r="H303" s="1408" t="s">
        <v>2657</v>
      </c>
      <c r="I303" s="1408"/>
      <c r="J303" s="1408"/>
      <c r="K303" s="1408"/>
      <c r="L303" s="1408"/>
      <c r="M303" s="1408"/>
      <c r="N303" s="1408"/>
      <c r="O303" s="1408"/>
      <c r="P303" s="1408"/>
      <c r="Q303" s="1408"/>
      <c r="R303" s="1408"/>
      <c r="T303" s="4" t="s">
        <v>890</v>
      </c>
      <c r="V303" s="3"/>
      <c r="W303" s="3"/>
      <c r="X303" s="3"/>
      <c r="Y303" s="3"/>
      <c r="AA303" s="1408" t="s">
        <v>599</v>
      </c>
      <c r="AB303" s="1408"/>
      <c r="AC303" s="1408"/>
      <c r="AD303" s="1408"/>
      <c r="AE303" s="1408"/>
      <c r="AF303" s="1408"/>
      <c r="AG303" s="1408"/>
      <c r="AH303" s="1408"/>
      <c r="AI303" s="1408"/>
      <c r="AJ303" s="1408"/>
      <c r="AK303" s="1408"/>
      <c r="BN303" s="34"/>
    </row>
    <row r="304" spans="2:66" ht="12.95" customHeight="1">
      <c r="B304" s="3" t="s">
        <v>479</v>
      </c>
      <c r="C304" s="3"/>
      <c r="D304" s="3"/>
      <c r="E304" s="3"/>
      <c r="F304" s="3"/>
      <c r="H304" s="1417" t="s">
        <v>2658</v>
      </c>
      <c r="I304" s="1417"/>
      <c r="J304" s="1417"/>
      <c r="K304" s="1417"/>
      <c r="L304" s="1417"/>
      <c r="M304" s="1417"/>
      <c r="N304" s="1417"/>
      <c r="O304" s="1417"/>
      <c r="P304" s="1417"/>
      <c r="Q304" s="1417"/>
      <c r="R304" s="1417"/>
      <c r="T304" s="3" t="s">
        <v>479</v>
      </c>
      <c r="V304" s="3"/>
      <c r="W304" s="3"/>
      <c r="X304" s="3"/>
      <c r="Y304" s="3"/>
      <c r="AA304" s="1417"/>
      <c r="AB304" s="1417"/>
      <c r="AC304" s="1417"/>
      <c r="AD304" s="1417"/>
      <c r="AE304" s="1417"/>
      <c r="AF304" s="1417"/>
      <c r="AG304" s="1417"/>
      <c r="AH304" s="1417"/>
      <c r="AI304" s="1417"/>
      <c r="AJ304" s="1417"/>
      <c r="AK304" s="1417"/>
      <c r="BN304" s="34"/>
    </row>
    <row r="305" spans="2:66" ht="12.95" customHeight="1">
      <c r="B305" s="3" t="s">
        <v>480</v>
      </c>
      <c r="C305" s="3"/>
      <c r="D305" s="3"/>
      <c r="E305" s="3"/>
      <c r="F305" s="3"/>
      <c r="H305" s="1417" t="s">
        <v>2659</v>
      </c>
      <c r="I305" s="1417"/>
      <c r="J305" s="1417"/>
      <c r="K305" s="1417"/>
      <c r="L305" s="1417"/>
      <c r="M305" s="1417"/>
      <c r="N305" s="1417"/>
      <c r="O305" s="1417"/>
      <c r="P305" s="1417"/>
      <c r="Q305" s="1417"/>
      <c r="R305" s="1417"/>
      <c r="T305" s="3" t="s">
        <v>75</v>
      </c>
      <c r="V305" s="3"/>
      <c r="W305" s="3"/>
      <c r="X305" s="3"/>
      <c r="Y305" s="3"/>
      <c r="AA305" s="1417"/>
      <c r="AB305" s="1417"/>
      <c r="AC305" s="1417"/>
      <c r="AD305" s="1417"/>
      <c r="AE305" s="1417"/>
      <c r="AF305" s="1417"/>
      <c r="AG305" s="1417"/>
      <c r="AH305" s="1417"/>
      <c r="AI305" s="1417"/>
      <c r="AJ305" s="1417"/>
      <c r="AK305" s="1417"/>
      <c r="BN305" s="34"/>
    </row>
    <row r="306" spans="2:66" ht="12.95" customHeight="1">
      <c r="B306" s="3" t="s">
        <v>87</v>
      </c>
      <c r="C306" s="3"/>
      <c r="D306" s="3"/>
      <c r="E306" s="3"/>
      <c r="F306" s="3"/>
      <c r="H306" s="1417" t="s">
        <v>2660</v>
      </c>
      <c r="I306" s="1417"/>
      <c r="J306" s="1417"/>
      <c r="K306" s="1417"/>
      <c r="L306" s="1417"/>
      <c r="M306" s="1417"/>
      <c r="N306" s="1417"/>
      <c r="O306" s="1417"/>
      <c r="P306" s="1417"/>
      <c r="Q306" s="1417"/>
      <c r="R306" s="1417"/>
      <c r="T306" s="3" t="s">
        <v>87</v>
      </c>
      <c r="V306" s="3"/>
      <c r="W306" s="3"/>
      <c r="X306" s="3"/>
      <c r="Y306" s="3"/>
      <c r="AA306" s="1417"/>
      <c r="AB306" s="1417"/>
      <c r="AC306" s="1417"/>
      <c r="AD306" s="1417"/>
      <c r="AE306" s="1417"/>
      <c r="AF306" s="1417"/>
      <c r="AG306" s="1417"/>
      <c r="AH306" s="1417"/>
      <c r="AI306" s="1417"/>
      <c r="AJ306" s="1417"/>
      <c r="AK306" s="1417"/>
      <c r="BN306" s="34"/>
    </row>
    <row r="307" spans="2:66" ht="12.95" customHeight="1">
      <c r="B307" s="3" t="s">
        <v>88</v>
      </c>
      <c r="C307" s="3"/>
      <c r="D307" s="3"/>
      <c r="E307" s="3"/>
      <c r="F307" s="3"/>
      <c r="G307" s="3"/>
      <c r="H307" s="1418" t="s">
        <v>2661</v>
      </c>
      <c r="I307" s="1418"/>
      <c r="J307" s="1418"/>
      <c r="K307" s="1418"/>
      <c r="L307" s="1418"/>
      <c r="M307" s="1418"/>
      <c r="N307" s="4" t="s">
        <v>207</v>
      </c>
      <c r="O307" s="4"/>
      <c r="P307" s="1464"/>
      <c r="Q307" s="1464"/>
      <c r="R307" s="1464"/>
      <c r="S307" s="3"/>
      <c r="T307" s="3" t="s">
        <v>88</v>
      </c>
      <c r="V307" s="3"/>
      <c r="W307" s="3"/>
      <c r="X307" s="3"/>
      <c r="Y307" s="3"/>
      <c r="AA307" s="1418"/>
      <c r="AB307" s="1418"/>
      <c r="AC307" s="1418"/>
      <c r="AD307" s="1418"/>
      <c r="AE307" s="1418"/>
      <c r="AF307" s="1418"/>
      <c r="AG307" s="4" t="s">
        <v>207</v>
      </c>
      <c r="AH307" s="4"/>
      <c r="AI307" s="1464"/>
      <c r="AJ307" s="1464"/>
      <c r="AK307" s="1464"/>
      <c r="BN307" s="34"/>
    </row>
    <row r="308" spans="2:66" ht="12.95" customHeight="1">
      <c r="B308" s="3" t="s">
        <v>89</v>
      </c>
      <c r="C308" s="3"/>
      <c r="D308" s="3"/>
      <c r="E308" s="3"/>
      <c r="F308" s="3"/>
      <c r="G308" s="3"/>
      <c r="H308" s="1406"/>
      <c r="I308" s="1406"/>
      <c r="J308" s="1406"/>
      <c r="K308" s="1406"/>
      <c r="L308" s="1406"/>
      <c r="M308" s="1406"/>
      <c r="N308" s="4"/>
      <c r="O308" s="4"/>
      <c r="P308" s="35"/>
      <c r="Q308" s="35"/>
      <c r="R308" s="35"/>
      <c r="S308" s="3"/>
      <c r="T308" s="3" t="s">
        <v>89</v>
      </c>
      <c r="V308" s="3"/>
      <c r="W308" s="3"/>
      <c r="X308" s="3"/>
      <c r="Y308" s="3"/>
      <c r="AA308" s="1406"/>
      <c r="AB308" s="1406"/>
      <c r="AC308" s="1406"/>
      <c r="AD308" s="1406"/>
      <c r="AE308" s="1406"/>
      <c r="AF308" s="1406"/>
      <c r="AG308" s="4"/>
      <c r="AH308" s="4"/>
      <c r="AI308" s="35"/>
      <c r="AJ308" s="35"/>
      <c r="AK308" s="35"/>
      <c r="BN308" s="34"/>
    </row>
    <row r="309" spans="2:66" ht="12.95" customHeight="1">
      <c r="B309" s="3" t="s">
        <v>76</v>
      </c>
      <c r="C309" s="3"/>
      <c r="D309" s="3"/>
      <c r="E309" s="3"/>
      <c r="F309" s="3"/>
      <c r="G309" s="3"/>
      <c r="H309" s="1417" t="s">
        <v>2727</v>
      </c>
      <c r="I309" s="1417"/>
      <c r="J309" s="1417"/>
      <c r="K309" s="1417"/>
      <c r="L309" s="1417"/>
      <c r="M309" s="1417"/>
      <c r="N309" s="1408"/>
      <c r="O309" s="1408"/>
      <c r="P309" s="1408"/>
      <c r="Q309" s="1408"/>
      <c r="R309" s="1408"/>
      <c r="S309" s="3"/>
      <c r="T309" s="3" t="s">
        <v>76</v>
      </c>
      <c r="V309" s="3"/>
      <c r="W309" s="3"/>
      <c r="X309" s="3"/>
      <c r="Y309" s="3"/>
      <c r="AA309" s="1417"/>
      <c r="AB309" s="1417"/>
      <c r="AC309" s="1417"/>
      <c r="AD309" s="1417"/>
      <c r="AE309" s="1417"/>
      <c r="AF309" s="1417"/>
      <c r="AG309" s="1408"/>
      <c r="AH309" s="1408"/>
      <c r="AI309" s="1408"/>
      <c r="AJ309" s="1408"/>
      <c r="AK309" s="1408"/>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08" t="s">
        <v>2662</v>
      </c>
      <c r="I311" s="1408"/>
      <c r="J311" s="1408"/>
      <c r="K311" s="1408"/>
      <c r="L311" s="1408"/>
      <c r="M311" s="1408"/>
      <c r="N311" s="1408"/>
      <c r="O311" s="1408"/>
      <c r="P311" s="1408"/>
      <c r="Q311" s="1408"/>
      <c r="R311" s="1408"/>
      <c r="S311" s="3"/>
      <c r="T311" s="3" t="s">
        <v>366</v>
      </c>
      <c r="V311" s="3"/>
      <c r="W311" s="3"/>
      <c r="X311" s="3"/>
      <c r="Y311" s="3"/>
      <c r="AA311" s="1407" t="s">
        <v>2698</v>
      </c>
      <c r="AB311" s="1408"/>
      <c r="AC311" s="1408"/>
      <c r="AD311" s="1408"/>
      <c r="AE311" s="1408"/>
      <c r="AF311" s="1408"/>
      <c r="AG311" s="1408"/>
      <c r="AH311" s="1408"/>
      <c r="AI311" s="1408"/>
      <c r="AJ311" s="1408"/>
      <c r="AK311" s="1408"/>
      <c r="BN311" s="34"/>
    </row>
    <row r="312" spans="2:66" ht="12.95" customHeight="1">
      <c r="B312" s="3" t="s">
        <v>479</v>
      </c>
      <c r="C312" s="3"/>
      <c r="D312" s="3"/>
      <c r="E312" s="3"/>
      <c r="F312" s="3"/>
      <c r="H312" s="1417" t="s">
        <v>2663</v>
      </c>
      <c r="I312" s="1417"/>
      <c r="J312" s="1417"/>
      <c r="K312" s="1417"/>
      <c r="L312" s="1417"/>
      <c r="M312" s="1417"/>
      <c r="N312" s="1417"/>
      <c r="O312" s="1417"/>
      <c r="P312" s="1417"/>
      <c r="Q312" s="1417"/>
      <c r="R312" s="1417"/>
      <c r="S312" s="3"/>
      <c r="T312" s="3" t="s">
        <v>479</v>
      </c>
      <c r="V312" s="3"/>
      <c r="W312" s="3"/>
      <c r="X312" s="3"/>
      <c r="Y312" s="3"/>
      <c r="AA312" s="1506" t="s">
        <v>2749</v>
      </c>
      <c r="AB312" s="1417"/>
      <c r="AC312" s="1417"/>
      <c r="AD312" s="1417"/>
      <c r="AE312" s="1417"/>
      <c r="AF312" s="1417"/>
      <c r="AG312" s="1417"/>
      <c r="AH312" s="1417"/>
      <c r="AI312" s="1417"/>
      <c r="AJ312" s="1417"/>
      <c r="AK312" s="1417"/>
      <c r="BN312" s="34"/>
    </row>
    <row r="313" spans="2:66" ht="12.95" customHeight="1">
      <c r="B313" s="3" t="s">
        <v>480</v>
      </c>
      <c r="C313" s="3"/>
      <c r="D313" s="3"/>
      <c r="E313" s="3"/>
      <c r="F313" s="3"/>
      <c r="H313" s="1417" t="s">
        <v>2664</v>
      </c>
      <c r="I313" s="1417"/>
      <c r="J313" s="1417"/>
      <c r="K313" s="1417"/>
      <c r="L313" s="1417"/>
      <c r="M313" s="1417"/>
      <c r="N313" s="1417"/>
      <c r="O313" s="1417"/>
      <c r="P313" s="1417"/>
      <c r="Q313" s="1417"/>
      <c r="R313" s="1417"/>
      <c r="S313" s="3"/>
      <c r="T313" s="3" t="s">
        <v>75</v>
      </c>
      <c r="V313" s="3"/>
      <c r="W313" s="3"/>
      <c r="X313" s="3"/>
      <c r="Y313" s="3"/>
      <c r="AA313" s="1506" t="s">
        <v>2750</v>
      </c>
      <c r="AB313" s="1417"/>
      <c r="AC313" s="1417"/>
      <c r="AD313" s="1417"/>
      <c r="AE313" s="1417"/>
      <c r="AF313" s="1417"/>
      <c r="AG313" s="1417"/>
      <c r="AH313" s="1417"/>
      <c r="AI313" s="1417"/>
      <c r="AJ313" s="1417"/>
      <c r="AK313" s="1417"/>
      <c r="BN313" s="34"/>
    </row>
    <row r="314" spans="2:66" ht="12.95" customHeight="1">
      <c r="B314" s="3" t="s">
        <v>87</v>
      </c>
      <c r="C314" s="3"/>
      <c r="D314" s="3"/>
      <c r="E314" s="3"/>
      <c r="F314" s="3"/>
      <c r="H314" s="1417" t="s">
        <v>2665</v>
      </c>
      <c r="I314" s="1417"/>
      <c r="J314" s="1417"/>
      <c r="K314" s="1417"/>
      <c r="L314" s="1417"/>
      <c r="M314" s="1417"/>
      <c r="N314" s="1417"/>
      <c r="O314" s="1417"/>
      <c r="P314" s="1417"/>
      <c r="Q314" s="1417"/>
      <c r="R314" s="1417"/>
      <c r="S314" s="3"/>
      <c r="T314" s="3" t="s">
        <v>87</v>
      </c>
      <c r="V314" s="3"/>
      <c r="W314" s="3"/>
      <c r="X314" s="3"/>
      <c r="Y314" s="3"/>
      <c r="AA314" s="1506" t="s">
        <v>2704</v>
      </c>
      <c r="AB314" s="1417"/>
      <c r="AC314" s="1417"/>
      <c r="AD314" s="1417"/>
      <c r="AE314" s="1417"/>
      <c r="AF314" s="1417"/>
      <c r="AG314" s="1417"/>
      <c r="AH314" s="1417"/>
      <c r="AI314" s="1417"/>
      <c r="AJ314" s="1417"/>
      <c r="AK314" s="1417"/>
      <c r="BN314" s="34"/>
    </row>
    <row r="315" spans="2:66" ht="12.95" customHeight="1">
      <c r="B315" s="3" t="s">
        <v>88</v>
      </c>
      <c r="C315" s="3"/>
      <c r="D315" s="3"/>
      <c r="E315" s="3"/>
      <c r="F315" s="3"/>
      <c r="G315" s="3"/>
      <c r="H315" s="1418" t="s">
        <v>2666</v>
      </c>
      <c r="I315" s="1418"/>
      <c r="J315" s="1418"/>
      <c r="K315" s="1418"/>
      <c r="L315" s="1418"/>
      <c r="M315" s="1418"/>
      <c r="N315" s="4" t="s">
        <v>207</v>
      </c>
      <c r="O315" s="4"/>
      <c r="P315" s="1464"/>
      <c r="Q315" s="1464"/>
      <c r="R315" s="1464"/>
      <c r="S315" s="3"/>
      <c r="T315" s="3" t="s">
        <v>88</v>
      </c>
      <c r="V315" s="3"/>
      <c r="W315" s="3"/>
      <c r="X315" s="3"/>
      <c r="Y315" s="3"/>
      <c r="AA315" s="1766" t="s">
        <v>2748</v>
      </c>
      <c r="AB315" s="1418"/>
      <c r="AC315" s="1418"/>
      <c r="AD315" s="1418"/>
      <c r="AE315" s="1418"/>
      <c r="AF315" s="1418"/>
      <c r="AG315" s="4" t="s">
        <v>207</v>
      </c>
      <c r="AH315" s="4"/>
      <c r="AI315" s="1464"/>
      <c r="AJ315" s="1464"/>
      <c r="AK315" s="1464"/>
      <c r="BN315" s="34"/>
    </row>
    <row r="316" spans="2:66" ht="12.95" customHeight="1">
      <c r="B316" s="3" t="s">
        <v>89</v>
      </c>
      <c r="C316" s="3"/>
      <c r="D316" s="3"/>
      <c r="E316" s="3"/>
      <c r="F316" s="3"/>
      <c r="G316" s="3"/>
      <c r="H316" s="1406" t="s">
        <v>2667</v>
      </c>
      <c r="I316" s="1406"/>
      <c r="J316" s="1406"/>
      <c r="K316" s="1406"/>
      <c r="L316" s="1406"/>
      <c r="M316" s="1406"/>
      <c r="N316" s="4"/>
      <c r="O316" s="4"/>
      <c r="P316" s="35"/>
      <c r="Q316" s="35"/>
      <c r="R316" s="35"/>
      <c r="S316" s="3"/>
      <c r="T316" s="3" t="s">
        <v>89</v>
      </c>
      <c r="V316" s="3"/>
      <c r="W316" s="3"/>
      <c r="X316" s="3"/>
      <c r="Y316" s="3"/>
      <c r="AA316" s="1406"/>
      <c r="AB316" s="1406"/>
      <c r="AC316" s="1406"/>
      <c r="AD316" s="1406"/>
      <c r="AE316" s="1406"/>
      <c r="AF316" s="1406"/>
      <c r="AG316" s="4"/>
      <c r="AH316" s="4"/>
      <c r="AI316" s="35"/>
      <c r="AJ316" s="35"/>
      <c r="AK316" s="35"/>
      <c r="BN316" s="34"/>
    </row>
    <row r="317" spans="2:66" ht="12.95" customHeight="1">
      <c r="B317" s="3" t="s">
        <v>76</v>
      </c>
      <c r="C317" s="3"/>
      <c r="D317" s="3"/>
      <c r="E317" s="3"/>
      <c r="F317" s="3"/>
      <c r="G317" s="3"/>
      <c r="H317" s="1417" t="s">
        <v>2668</v>
      </c>
      <c r="I317" s="1417"/>
      <c r="J317" s="1417"/>
      <c r="K317" s="1417"/>
      <c r="L317" s="1417"/>
      <c r="M317" s="1417"/>
      <c r="N317" s="1408"/>
      <c r="O317" s="1408"/>
      <c r="P317" s="1408"/>
      <c r="Q317" s="1408"/>
      <c r="R317" s="1408"/>
      <c r="S317" s="3"/>
      <c r="T317" s="3" t="s">
        <v>76</v>
      </c>
      <c r="V317" s="3"/>
      <c r="W317" s="3"/>
      <c r="X317" s="3"/>
      <c r="Y317" s="3"/>
      <c r="AA317" s="1506" t="s">
        <v>2747</v>
      </c>
      <c r="AB317" s="1417"/>
      <c r="AC317" s="1417"/>
      <c r="AD317" s="1417"/>
      <c r="AE317" s="1417"/>
      <c r="AF317" s="1417"/>
      <c r="AG317" s="1408"/>
      <c r="AH317" s="1408"/>
      <c r="AI317" s="1408"/>
      <c r="AJ317" s="1408"/>
      <c r="AK317" s="1408"/>
      <c r="BN317" s="34"/>
    </row>
    <row r="318" spans="2:66" ht="12.95" customHeight="1">
      <c r="BN318" s="34"/>
    </row>
    <row r="319" spans="2:66" ht="12.95" customHeight="1">
      <c r="B319" s="4" t="s">
        <v>923</v>
      </c>
      <c r="C319" s="3"/>
      <c r="D319" s="3"/>
      <c r="E319" s="3"/>
      <c r="F319" s="3"/>
      <c r="H319" s="1408" t="s">
        <v>2657</v>
      </c>
      <c r="I319" s="1408"/>
      <c r="J319" s="1408"/>
      <c r="K319" s="1408"/>
      <c r="L319" s="1408"/>
      <c r="M319" s="1408"/>
      <c r="N319" s="1408"/>
      <c r="O319" s="1408"/>
      <c r="P319" s="1408"/>
      <c r="Q319" s="1408"/>
      <c r="R319" s="1408"/>
      <c r="T319" s="3" t="s">
        <v>367</v>
      </c>
      <c r="V319" s="3"/>
      <c r="W319" s="3"/>
      <c r="X319" s="3"/>
      <c r="Y319" s="3"/>
      <c r="AA319" s="1407" t="s">
        <v>2751</v>
      </c>
      <c r="AB319" s="1408"/>
      <c r="AC319" s="1408"/>
      <c r="AD319" s="1408"/>
      <c r="AE319" s="1408"/>
      <c r="AF319" s="1408"/>
      <c r="AG319" s="1408"/>
      <c r="AH319" s="1408"/>
      <c r="AI319" s="1408"/>
      <c r="AJ319" s="1408"/>
      <c r="AK319" s="1408"/>
      <c r="BN319" s="34"/>
    </row>
    <row r="320" spans="2:66" ht="12.95" customHeight="1">
      <c r="B320" s="3" t="s">
        <v>479</v>
      </c>
      <c r="C320" s="3"/>
      <c r="D320" s="3"/>
      <c r="E320" s="3"/>
      <c r="F320" s="3"/>
      <c r="H320" s="1417" t="s">
        <v>2658</v>
      </c>
      <c r="I320" s="1417"/>
      <c r="J320" s="1417"/>
      <c r="K320" s="1417"/>
      <c r="L320" s="1417"/>
      <c r="M320" s="1417"/>
      <c r="N320" s="1417"/>
      <c r="O320" s="1417"/>
      <c r="P320" s="1417"/>
      <c r="Q320" s="1417"/>
      <c r="R320" s="1417"/>
      <c r="T320" s="3" t="s">
        <v>479</v>
      </c>
      <c r="V320" s="3"/>
      <c r="W320" s="3"/>
      <c r="X320" s="3"/>
      <c r="Y320" s="3"/>
      <c r="AA320" s="1506" t="s">
        <v>2752</v>
      </c>
      <c r="AB320" s="1417"/>
      <c r="AC320" s="1417"/>
      <c r="AD320" s="1417"/>
      <c r="AE320" s="1417"/>
      <c r="AF320" s="1417"/>
      <c r="AG320" s="1417"/>
      <c r="AH320" s="1417"/>
      <c r="AI320" s="1417"/>
      <c r="AJ320" s="1417"/>
      <c r="AK320" s="1417"/>
      <c r="BN320" s="34"/>
    </row>
    <row r="321" spans="2:66" ht="12.95" customHeight="1">
      <c r="B321" s="3" t="s">
        <v>480</v>
      </c>
      <c r="C321" s="3"/>
      <c r="D321" s="3"/>
      <c r="E321" s="3"/>
      <c r="F321" s="3"/>
      <c r="H321" s="1417" t="s">
        <v>2659</v>
      </c>
      <c r="I321" s="1417"/>
      <c r="J321" s="1417"/>
      <c r="K321" s="1417"/>
      <c r="L321" s="1417"/>
      <c r="M321" s="1417"/>
      <c r="N321" s="1417"/>
      <c r="O321" s="1417"/>
      <c r="P321" s="1417"/>
      <c r="Q321" s="1417"/>
      <c r="R321" s="1417"/>
      <c r="T321" s="3" t="s">
        <v>75</v>
      </c>
      <c r="V321" s="3"/>
      <c r="W321" s="3"/>
      <c r="X321" s="3"/>
      <c r="Y321" s="3"/>
      <c r="AA321" s="1506" t="s">
        <v>2750</v>
      </c>
      <c r="AB321" s="1417"/>
      <c r="AC321" s="1417"/>
      <c r="AD321" s="1417"/>
      <c r="AE321" s="1417"/>
      <c r="AF321" s="1417"/>
      <c r="AG321" s="1417"/>
      <c r="AH321" s="1417"/>
      <c r="AI321" s="1417"/>
      <c r="AJ321" s="1417"/>
      <c r="AK321" s="1417"/>
      <c r="BN321" s="34"/>
    </row>
    <row r="322" spans="2:66" ht="12.95" customHeight="1">
      <c r="B322" s="3" t="s">
        <v>87</v>
      </c>
      <c r="C322" s="3"/>
      <c r="D322" s="3"/>
      <c r="E322" s="3"/>
      <c r="F322" s="3"/>
      <c r="H322" s="1417" t="s">
        <v>2660</v>
      </c>
      <c r="I322" s="1417"/>
      <c r="J322" s="1417"/>
      <c r="K322" s="1417"/>
      <c r="L322" s="1417"/>
      <c r="M322" s="1417"/>
      <c r="N322" s="1417"/>
      <c r="O322" s="1417"/>
      <c r="P322" s="1417"/>
      <c r="Q322" s="1417"/>
      <c r="R322" s="1417"/>
      <c r="T322" s="3" t="s">
        <v>87</v>
      </c>
      <c r="V322" s="3"/>
      <c r="W322" s="3"/>
      <c r="X322" s="3"/>
      <c r="Y322" s="3"/>
      <c r="AA322" s="1506" t="s">
        <v>2705</v>
      </c>
      <c r="AB322" s="1417"/>
      <c r="AC322" s="1417"/>
      <c r="AD322" s="1417"/>
      <c r="AE322" s="1417"/>
      <c r="AF322" s="1417"/>
      <c r="AG322" s="1417"/>
      <c r="AH322" s="1417"/>
      <c r="AI322" s="1417"/>
      <c r="AJ322" s="1417"/>
      <c r="AK322" s="1417"/>
      <c r="BN322" s="34"/>
    </row>
    <row r="323" spans="2:66" ht="12.95" customHeight="1">
      <c r="B323" s="3" t="s">
        <v>88</v>
      </c>
      <c r="C323" s="3"/>
      <c r="D323" s="3"/>
      <c r="E323" s="3"/>
      <c r="F323" s="3"/>
      <c r="G323" s="3"/>
      <c r="H323" s="1418" t="s">
        <v>2661</v>
      </c>
      <c r="I323" s="1418"/>
      <c r="J323" s="1418"/>
      <c r="K323" s="1418"/>
      <c r="L323" s="1418"/>
      <c r="M323" s="1418"/>
      <c r="N323" s="4" t="s">
        <v>207</v>
      </c>
      <c r="O323" s="4"/>
      <c r="P323" s="1464"/>
      <c r="Q323" s="1464"/>
      <c r="R323" s="1464"/>
      <c r="S323" s="3"/>
      <c r="T323" s="3" t="s">
        <v>88</v>
      </c>
      <c r="V323" s="3"/>
      <c r="W323" s="3"/>
      <c r="X323" s="3"/>
      <c r="Y323" s="3"/>
      <c r="AA323" s="1766" t="s">
        <v>2753</v>
      </c>
      <c r="AB323" s="1418"/>
      <c r="AC323" s="1418"/>
      <c r="AD323" s="1418"/>
      <c r="AE323" s="1418"/>
      <c r="AF323" s="1418"/>
      <c r="AG323" s="4" t="s">
        <v>207</v>
      </c>
      <c r="AH323" s="4"/>
      <c r="AI323" s="1464"/>
      <c r="AJ323" s="1464"/>
      <c r="AK323" s="1464"/>
    </row>
    <row r="324" spans="2:66" ht="12.95" customHeight="1">
      <c r="B324" s="3" t="s">
        <v>89</v>
      </c>
      <c r="C324" s="3"/>
      <c r="D324" s="3"/>
      <c r="E324" s="3"/>
      <c r="F324" s="3"/>
      <c r="G324" s="3"/>
      <c r="H324" s="1406"/>
      <c r="I324" s="1406"/>
      <c r="J324" s="1406"/>
      <c r="K324" s="1406"/>
      <c r="L324" s="1406"/>
      <c r="M324" s="1406"/>
      <c r="N324" s="4"/>
      <c r="O324" s="4"/>
      <c r="P324" s="35"/>
      <c r="Q324" s="35"/>
      <c r="R324" s="35"/>
      <c r="S324" s="3"/>
      <c r="T324" s="3" t="s">
        <v>89</v>
      </c>
      <c r="V324" s="3"/>
      <c r="W324" s="3"/>
      <c r="X324" s="3"/>
      <c r="Y324" s="3"/>
      <c r="AA324" s="1406"/>
      <c r="AB324" s="1406"/>
      <c r="AC324" s="1406"/>
      <c r="AD324" s="1406"/>
      <c r="AE324" s="1406"/>
      <c r="AF324" s="1406"/>
      <c r="AG324" s="4"/>
      <c r="AH324" s="4"/>
      <c r="AI324" s="35"/>
      <c r="AJ324" s="35"/>
      <c r="AK324" s="35"/>
    </row>
    <row r="325" spans="2:66" ht="12.95" customHeight="1">
      <c r="B325" s="3" t="s">
        <v>76</v>
      </c>
      <c r="C325" s="3"/>
      <c r="D325" s="3"/>
      <c r="E325" s="3"/>
      <c r="F325" s="3"/>
      <c r="G325" s="3"/>
      <c r="H325" s="1506" t="s">
        <v>2727</v>
      </c>
      <c r="I325" s="1417"/>
      <c r="J325" s="1417"/>
      <c r="K325" s="1417"/>
      <c r="L325" s="1417"/>
      <c r="M325" s="1417"/>
      <c r="N325" s="1408"/>
      <c r="O325" s="1408"/>
      <c r="P325" s="1408"/>
      <c r="Q325" s="1408"/>
      <c r="R325" s="1408"/>
      <c r="S325" s="3"/>
      <c r="T325" s="3" t="s">
        <v>76</v>
      </c>
      <c r="V325" s="3"/>
      <c r="W325" s="3"/>
      <c r="X325" s="3"/>
      <c r="Y325" s="3"/>
      <c r="AA325" s="1506" t="s">
        <v>2754</v>
      </c>
      <c r="AB325" s="1417"/>
      <c r="AC325" s="1417"/>
      <c r="AD325" s="1417"/>
      <c r="AE325" s="1417"/>
      <c r="AF325" s="1417"/>
      <c r="AG325" s="1408"/>
      <c r="AH325" s="1408"/>
      <c r="AI325" s="1408"/>
      <c r="AJ325" s="1408"/>
      <c r="AK325" s="1408"/>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08" t="s">
        <v>2685</v>
      </c>
      <c r="I327" s="1408"/>
      <c r="J327" s="1408"/>
      <c r="K327" s="1408"/>
      <c r="L327" s="1408"/>
      <c r="M327" s="1408"/>
      <c r="N327" s="1408"/>
      <c r="O327" s="1408"/>
      <c r="P327" s="1408"/>
      <c r="Q327" s="1408"/>
      <c r="R327" s="1408"/>
      <c r="T327" s="3" t="s">
        <v>369</v>
      </c>
      <c r="V327" s="3"/>
      <c r="W327" s="3"/>
      <c r="X327" s="3"/>
      <c r="Y327" s="3"/>
      <c r="AA327" s="1408" t="s">
        <v>599</v>
      </c>
      <c r="AB327" s="1408"/>
      <c r="AC327" s="1408"/>
      <c r="AD327" s="1408"/>
      <c r="AE327" s="1408"/>
      <c r="AF327" s="1408"/>
      <c r="AG327" s="1408"/>
      <c r="AH327" s="1408"/>
      <c r="AI327" s="1408"/>
      <c r="AJ327" s="1408"/>
      <c r="AK327" s="1408"/>
    </row>
    <row r="328" spans="2:66" ht="12.95" customHeight="1">
      <c r="B328" s="3" t="s">
        <v>479</v>
      </c>
      <c r="C328" s="3"/>
      <c r="D328" s="3"/>
      <c r="E328" s="3"/>
      <c r="F328" s="3"/>
      <c r="H328" s="1417" t="s">
        <v>2686</v>
      </c>
      <c r="I328" s="1417"/>
      <c r="J328" s="1417"/>
      <c r="K328" s="1417"/>
      <c r="L328" s="1417"/>
      <c r="M328" s="1417"/>
      <c r="N328" s="1417"/>
      <c r="O328" s="1417"/>
      <c r="P328" s="1417"/>
      <c r="Q328" s="1417"/>
      <c r="R328" s="1417"/>
      <c r="T328" s="3" t="s">
        <v>479</v>
      </c>
      <c r="V328" s="3"/>
      <c r="W328" s="3"/>
      <c r="X328" s="3"/>
      <c r="Y328" s="3"/>
      <c r="AA328" s="1417"/>
      <c r="AB328" s="1417"/>
      <c r="AC328" s="1417"/>
      <c r="AD328" s="1417"/>
      <c r="AE328" s="1417"/>
      <c r="AF328" s="1417"/>
      <c r="AG328" s="1417"/>
      <c r="AH328" s="1417"/>
      <c r="AI328" s="1417"/>
      <c r="AJ328" s="1417"/>
      <c r="AK328" s="1417"/>
    </row>
    <row r="329" spans="2:66" ht="12.95" customHeight="1">
      <c r="B329" s="3" t="s">
        <v>480</v>
      </c>
      <c r="C329" s="3"/>
      <c r="D329" s="3"/>
      <c r="E329" s="3"/>
      <c r="F329" s="3"/>
      <c r="H329" s="1417" t="s">
        <v>2687</v>
      </c>
      <c r="I329" s="1417"/>
      <c r="J329" s="1417"/>
      <c r="K329" s="1417"/>
      <c r="L329" s="1417"/>
      <c r="M329" s="1417"/>
      <c r="N329" s="1417"/>
      <c r="O329" s="1417"/>
      <c r="P329" s="1417"/>
      <c r="Q329" s="1417"/>
      <c r="R329" s="1417"/>
      <c r="T329" s="3" t="s">
        <v>75</v>
      </c>
      <c r="V329" s="3"/>
      <c r="W329" s="3"/>
      <c r="X329" s="3"/>
      <c r="Y329" s="3"/>
      <c r="AA329" s="1417"/>
      <c r="AB329" s="1417"/>
      <c r="AC329" s="1417"/>
      <c r="AD329" s="1417"/>
      <c r="AE329" s="1417"/>
      <c r="AF329" s="1417"/>
      <c r="AG329" s="1417"/>
      <c r="AH329" s="1417"/>
      <c r="AI329" s="1417"/>
      <c r="AJ329" s="1417"/>
      <c r="AK329" s="1417"/>
    </row>
    <row r="330" spans="2:66" ht="12.95" customHeight="1">
      <c r="B330" s="3" t="s">
        <v>87</v>
      </c>
      <c r="C330" s="3"/>
      <c r="D330" s="3"/>
      <c r="E330" s="3"/>
      <c r="F330" s="3"/>
      <c r="H330" s="1417" t="s">
        <v>2688</v>
      </c>
      <c r="I330" s="1417"/>
      <c r="J330" s="1417"/>
      <c r="K330" s="1417"/>
      <c r="L330" s="1417"/>
      <c r="M330" s="1417"/>
      <c r="N330" s="1417"/>
      <c r="O330" s="1417"/>
      <c r="P330" s="1417"/>
      <c r="Q330" s="1417"/>
      <c r="R330" s="1417"/>
      <c r="T330" s="3" t="s">
        <v>87</v>
      </c>
      <c r="V330" s="3"/>
      <c r="W330" s="3"/>
      <c r="X330" s="3"/>
      <c r="Y330" s="3"/>
      <c r="AA330" s="1417"/>
      <c r="AB330" s="1417"/>
      <c r="AC330" s="1417"/>
      <c r="AD330" s="1417"/>
      <c r="AE330" s="1417"/>
      <c r="AF330" s="1417"/>
      <c r="AG330" s="1417"/>
      <c r="AH330" s="1417"/>
      <c r="AI330" s="1417"/>
      <c r="AJ330" s="1417"/>
      <c r="AK330" s="1417"/>
    </row>
    <row r="331" spans="2:66" ht="12.95" customHeight="1">
      <c r="B331" s="3" t="s">
        <v>88</v>
      </c>
      <c r="C331" s="3"/>
      <c r="D331" s="3"/>
      <c r="E331" s="3"/>
      <c r="F331" s="3"/>
      <c r="G331" s="3"/>
      <c r="H331" s="1766" t="s">
        <v>2689</v>
      </c>
      <c r="I331" s="1418"/>
      <c r="J331" s="1418"/>
      <c r="K331" s="1418"/>
      <c r="L331" s="1418"/>
      <c r="M331" s="1418"/>
      <c r="N331" s="4" t="s">
        <v>207</v>
      </c>
      <c r="O331" s="4"/>
      <c r="P331" s="1464"/>
      <c r="Q331" s="1464"/>
      <c r="R331" s="1464"/>
      <c r="S331" s="3"/>
      <c r="T331" s="3" t="s">
        <v>88</v>
      </c>
      <c r="V331" s="3"/>
      <c r="W331" s="3"/>
      <c r="X331" s="3"/>
      <c r="Y331" s="3"/>
      <c r="AA331" s="1418"/>
      <c r="AB331" s="1418"/>
      <c r="AC331" s="1418"/>
      <c r="AD331" s="1418"/>
      <c r="AE331" s="1418"/>
      <c r="AF331" s="1418"/>
      <c r="AG331" s="4" t="s">
        <v>207</v>
      </c>
      <c r="AH331" s="4"/>
      <c r="AI331" s="1464"/>
      <c r="AJ331" s="1464"/>
      <c r="AK331" s="1464"/>
    </row>
    <row r="332" spans="2:66" ht="12.95" customHeight="1">
      <c r="B332" s="3" t="s">
        <v>89</v>
      </c>
      <c r="C332" s="3"/>
      <c r="D332" s="3"/>
      <c r="E332" s="3"/>
      <c r="F332" s="3"/>
      <c r="G332" s="3"/>
      <c r="H332" s="1406"/>
      <c r="I332" s="1406"/>
      <c r="J332" s="1406"/>
      <c r="K332" s="1406"/>
      <c r="L332" s="1406"/>
      <c r="M332" s="1406"/>
      <c r="N332" s="4"/>
      <c r="O332" s="4"/>
      <c r="P332" s="35"/>
      <c r="Q332" s="35"/>
      <c r="R332" s="35"/>
      <c r="S332" s="3"/>
      <c r="T332" s="3" t="s">
        <v>89</v>
      </c>
      <c r="V332" s="3"/>
      <c r="W332" s="3"/>
      <c r="X332" s="3"/>
      <c r="Y332" s="3"/>
      <c r="AA332" s="1406"/>
      <c r="AB332" s="1406"/>
      <c r="AC332" s="1406"/>
      <c r="AD332" s="1406"/>
      <c r="AE332" s="1406"/>
      <c r="AF332" s="1406"/>
      <c r="AG332" s="4"/>
      <c r="AH332" s="4"/>
      <c r="AI332" s="35"/>
      <c r="AJ332" s="35"/>
      <c r="AK332" s="35"/>
    </row>
    <row r="333" spans="2:66" ht="12.95" customHeight="1">
      <c r="B333" s="3" t="s">
        <v>76</v>
      </c>
      <c r="C333" s="3"/>
      <c r="D333" s="3"/>
      <c r="E333" s="3"/>
      <c r="F333" s="3"/>
      <c r="G333" s="3"/>
      <c r="H333" s="1417" t="s">
        <v>2690</v>
      </c>
      <c r="I333" s="1417"/>
      <c r="J333" s="1417"/>
      <c r="K333" s="1417"/>
      <c r="L333" s="1417"/>
      <c r="M333" s="1417"/>
      <c r="N333" s="1408"/>
      <c r="O333" s="1408"/>
      <c r="P333" s="1408"/>
      <c r="Q333" s="1408"/>
      <c r="R333" s="1408"/>
      <c r="S333" s="3"/>
      <c r="T333" s="3" t="s">
        <v>76</v>
      </c>
      <c r="V333" s="3"/>
      <c r="W333" s="3"/>
      <c r="X333" s="3"/>
      <c r="Y333" s="3"/>
      <c r="AA333" s="1417"/>
      <c r="AB333" s="1417"/>
      <c r="AC333" s="1417"/>
      <c r="AD333" s="1417"/>
      <c r="AE333" s="1417"/>
      <c r="AF333" s="1417"/>
      <c r="AG333" s="1408"/>
      <c r="AH333" s="1408"/>
      <c r="AI333" s="1408"/>
      <c r="AJ333" s="1408"/>
      <c r="AK333" s="1408"/>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08" t="s">
        <v>2669</v>
      </c>
      <c r="I335" s="1408"/>
      <c r="J335" s="1408"/>
      <c r="K335" s="1408"/>
      <c r="L335" s="1408"/>
      <c r="M335" s="1408"/>
      <c r="N335" s="1408"/>
      <c r="O335" s="1408"/>
      <c r="P335" s="1408"/>
      <c r="Q335" s="1408"/>
      <c r="R335" s="1408"/>
      <c r="T335" s="218" t="s">
        <v>899</v>
      </c>
      <c r="V335" s="3"/>
      <c r="W335" s="3"/>
      <c r="X335" s="3"/>
      <c r="Y335" s="3"/>
      <c r="AA335" s="1408" t="s">
        <v>2676</v>
      </c>
      <c r="AB335" s="1408"/>
      <c r="AC335" s="1408"/>
      <c r="AD335" s="1408"/>
      <c r="AE335" s="1408"/>
      <c r="AF335" s="1408"/>
      <c r="AG335" s="1408"/>
      <c r="AH335" s="1408"/>
      <c r="AI335" s="1408"/>
      <c r="AJ335" s="1408"/>
      <c r="AK335" s="1408"/>
    </row>
    <row r="336" spans="2:66" ht="12.95" customHeight="1">
      <c r="B336" s="3" t="s">
        <v>479</v>
      </c>
      <c r="C336" s="3"/>
      <c r="D336" s="3"/>
      <c r="E336" s="3"/>
      <c r="F336" s="3"/>
      <c r="H336" s="1417" t="s">
        <v>2670</v>
      </c>
      <c r="I336" s="1417"/>
      <c r="J336" s="1417"/>
      <c r="K336" s="1417"/>
      <c r="L336" s="1417"/>
      <c r="M336" s="1417"/>
      <c r="N336" s="1417"/>
      <c r="O336" s="1417"/>
      <c r="P336" s="1417"/>
      <c r="Q336" s="1417"/>
      <c r="R336" s="1417"/>
      <c r="T336" s="3" t="s">
        <v>479</v>
      </c>
      <c r="V336" s="3"/>
      <c r="W336" s="3"/>
      <c r="X336" s="3"/>
      <c r="Y336" s="3"/>
      <c r="AA336" s="1417" t="s">
        <v>2677</v>
      </c>
      <c r="AB336" s="1417"/>
      <c r="AC336" s="1417"/>
      <c r="AD336" s="1417"/>
      <c r="AE336" s="1417"/>
      <c r="AF336" s="1417"/>
      <c r="AG336" s="1417"/>
      <c r="AH336" s="1417"/>
      <c r="AI336" s="1417"/>
      <c r="AJ336" s="1417"/>
      <c r="AK336" s="1417"/>
    </row>
    <row r="337" spans="1:66" ht="12.95" customHeight="1">
      <c r="B337" s="3" t="s">
        <v>75</v>
      </c>
      <c r="C337" s="3"/>
      <c r="D337" s="3"/>
      <c r="E337" s="3"/>
      <c r="F337" s="3"/>
      <c r="H337" s="1417" t="s">
        <v>2671</v>
      </c>
      <c r="I337" s="1417"/>
      <c r="J337" s="1417"/>
      <c r="K337" s="1417"/>
      <c r="L337" s="1417"/>
      <c r="M337" s="1417"/>
      <c r="N337" s="1417"/>
      <c r="O337" s="1417"/>
      <c r="P337" s="1417"/>
      <c r="Q337" s="1417"/>
      <c r="R337" s="1417"/>
      <c r="T337" s="3" t="s">
        <v>75</v>
      </c>
      <c r="V337" s="3"/>
      <c r="W337" s="3"/>
      <c r="X337" s="3"/>
      <c r="Y337" s="3"/>
      <c r="AA337" s="1417" t="s">
        <v>2678</v>
      </c>
      <c r="AB337" s="1417"/>
      <c r="AC337" s="1417"/>
      <c r="AD337" s="1417"/>
      <c r="AE337" s="1417"/>
      <c r="AF337" s="1417"/>
      <c r="AG337" s="1417"/>
      <c r="AH337" s="1417"/>
      <c r="AI337" s="1417"/>
      <c r="AJ337" s="1417"/>
      <c r="AK337" s="1417"/>
    </row>
    <row r="338" spans="1:66" ht="12.95" customHeight="1">
      <c r="B338" s="3" t="s">
        <v>87</v>
      </c>
      <c r="C338" s="3"/>
      <c r="D338" s="3"/>
      <c r="E338" s="3"/>
      <c r="F338" s="3"/>
      <c r="G338" s="3"/>
      <c r="H338" s="1417" t="s">
        <v>2672</v>
      </c>
      <c r="I338" s="1417"/>
      <c r="J338" s="1417"/>
      <c r="K338" s="1417"/>
      <c r="L338" s="1417"/>
      <c r="M338" s="1417"/>
      <c r="N338" s="1417"/>
      <c r="O338" s="1417"/>
      <c r="P338" s="1417"/>
      <c r="Q338" s="1417"/>
      <c r="R338" s="1417"/>
      <c r="T338" s="3" t="s">
        <v>87</v>
      </c>
      <c r="V338" s="3"/>
      <c r="W338" s="3"/>
      <c r="X338" s="3"/>
      <c r="Y338" s="3"/>
      <c r="AA338" s="1417" t="s">
        <v>2679</v>
      </c>
      <c r="AB338" s="1417"/>
      <c r="AC338" s="1417"/>
      <c r="AD338" s="1417"/>
      <c r="AE338" s="1417"/>
      <c r="AF338" s="1417"/>
      <c r="AG338" s="1417"/>
      <c r="AH338" s="1417"/>
      <c r="AI338" s="1417"/>
      <c r="AJ338" s="1417"/>
      <c r="AK338" s="1417"/>
    </row>
    <row r="339" spans="1:66" ht="12.95" customHeight="1">
      <c r="B339" s="3" t="s">
        <v>88</v>
      </c>
      <c r="C339" s="3"/>
      <c r="D339" s="3"/>
      <c r="E339" s="3"/>
      <c r="F339" s="3"/>
      <c r="G339" s="3"/>
      <c r="H339" s="1418" t="s">
        <v>2673</v>
      </c>
      <c r="I339" s="1418"/>
      <c r="J339" s="1418"/>
      <c r="K339" s="1418"/>
      <c r="L339" s="1418"/>
      <c r="M339" s="1418"/>
      <c r="N339" s="4" t="s">
        <v>207</v>
      </c>
      <c r="O339" s="4"/>
      <c r="P339" s="1464"/>
      <c r="Q339" s="1464"/>
      <c r="R339" s="1464"/>
      <c r="S339" s="3"/>
      <c r="T339" s="3" t="s">
        <v>88</v>
      </c>
      <c r="V339" s="3"/>
      <c r="W339" s="3"/>
      <c r="X339" s="3"/>
      <c r="Y339" s="3"/>
      <c r="AA339" s="1766" t="s">
        <v>2680</v>
      </c>
      <c r="AB339" s="1418"/>
      <c r="AC339" s="1418"/>
      <c r="AD339" s="1418"/>
      <c r="AE339" s="1418"/>
      <c r="AF339" s="1418"/>
      <c r="AG339" s="4" t="s">
        <v>207</v>
      </c>
      <c r="AH339" s="4"/>
      <c r="AI339" s="1464"/>
      <c r="AJ339" s="1464"/>
      <c r="AK339" s="1464"/>
    </row>
    <row r="340" spans="1:66" ht="12.95" customHeight="1">
      <c r="B340" s="3" t="s">
        <v>89</v>
      </c>
      <c r="C340" s="3"/>
      <c r="D340" s="3"/>
      <c r="E340" s="3"/>
      <c r="F340" s="3"/>
      <c r="G340" s="3"/>
      <c r="H340" s="1406" t="s">
        <v>2674</v>
      </c>
      <c r="I340" s="1406"/>
      <c r="J340" s="1406"/>
      <c r="K340" s="1406"/>
      <c r="L340" s="1406"/>
      <c r="M340" s="1406"/>
      <c r="N340" s="4"/>
      <c r="O340" s="4"/>
      <c r="P340" s="35"/>
      <c r="Q340" s="35"/>
      <c r="R340" s="35"/>
      <c r="S340" s="3"/>
      <c r="T340" s="3" t="s">
        <v>89</v>
      </c>
      <c r="V340" s="3"/>
      <c r="W340" s="3"/>
      <c r="X340" s="3"/>
      <c r="Y340" s="3"/>
      <c r="AA340" s="1406"/>
      <c r="AB340" s="1406"/>
      <c r="AC340" s="1406"/>
      <c r="AD340" s="1406"/>
      <c r="AE340" s="1406"/>
      <c r="AF340" s="1406"/>
      <c r="AG340" s="4"/>
      <c r="AH340" s="4"/>
      <c r="AI340" s="35"/>
      <c r="AJ340" s="35"/>
      <c r="AK340" s="35"/>
    </row>
    <row r="341" spans="1:66" ht="12.95" customHeight="1">
      <c r="B341" s="3" t="s">
        <v>76</v>
      </c>
      <c r="C341" s="3"/>
      <c r="D341" s="3"/>
      <c r="E341" s="3"/>
      <c r="F341" s="3"/>
      <c r="G341" s="3"/>
      <c r="H341" s="1417" t="s">
        <v>2675</v>
      </c>
      <c r="I341" s="1417"/>
      <c r="J341" s="1417"/>
      <c r="K341" s="1417"/>
      <c r="L341" s="1417"/>
      <c r="M341" s="1417"/>
      <c r="N341" s="1408"/>
      <c r="O341" s="1408"/>
      <c r="P341" s="1408"/>
      <c r="Q341" s="1408"/>
      <c r="R341" s="1408"/>
      <c r="S341" s="3"/>
      <c r="T341" s="3" t="s">
        <v>76</v>
      </c>
      <c r="V341" s="3"/>
      <c r="W341" s="3"/>
      <c r="X341" s="3"/>
      <c r="Y341" s="3"/>
      <c r="AA341" s="1417" t="s">
        <v>2681</v>
      </c>
      <c r="AB341" s="1417"/>
      <c r="AC341" s="1417"/>
      <c r="AD341" s="1417"/>
      <c r="AE341" s="1417"/>
      <c r="AF341" s="1417"/>
      <c r="AG341" s="1408"/>
      <c r="AH341" s="1408"/>
      <c r="AI341" s="1408"/>
      <c r="AJ341" s="1408"/>
      <c r="AK341" s="140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08" t="s">
        <v>599</v>
      </c>
      <c r="Q343" s="1408"/>
      <c r="R343" s="1408"/>
      <c r="S343" s="1408"/>
      <c r="T343" s="1408"/>
      <c r="U343" s="1408"/>
      <c r="V343" s="1408"/>
      <c r="W343" s="1408"/>
      <c r="X343" s="1408"/>
      <c r="Y343" s="1408"/>
      <c r="Z343" s="1408"/>
      <c r="AA343" s="1408"/>
      <c r="AB343" s="1408"/>
      <c r="AC343" s="1408"/>
      <c r="AD343" s="1408"/>
      <c r="AE343" s="1408"/>
      <c r="BN343" t="s">
        <v>677</v>
      </c>
    </row>
    <row r="344" spans="1:66" ht="12.95" customHeight="1">
      <c r="B344" s="4"/>
      <c r="C344" s="4"/>
      <c r="D344" s="4"/>
      <c r="E344" s="4"/>
      <c r="F344" s="4"/>
      <c r="I344" s="4" t="s">
        <v>479</v>
      </c>
      <c r="P344" s="1417"/>
      <c r="Q344" s="1417"/>
      <c r="R344" s="1417"/>
      <c r="S344" s="1417"/>
      <c r="T344" s="1417"/>
      <c r="U344" s="1417"/>
      <c r="V344" s="1417"/>
      <c r="W344" s="1417"/>
      <c r="X344" s="1417"/>
      <c r="Y344" s="1417"/>
      <c r="Z344" s="1417"/>
      <c r="AA344" s="1417"/>
      <c r="AB344" s="1417"/>
      <c r="AC344" s="1417"/>
      <c r="AD344" s="1417"/>
      <c r="AE344" s="1417"/>
      <c r="BN344" t="s">
        <v>553</v>
      </c>
    </row>
    <row r="345" spans="1:66" ht="12.95" customHeight="1">
      <c r="B345" s="4"/>
      <c r="C345" s="4"/>
      <c r="D345" s="4"/>
      <c r="E345" s="4"/>
      <c r="F345" s="4"/>
      <c r="I345" s="4" t="s">
        <v>75</v>
      </c>
      <c r="P345" s="1417"/>
      <c r="Q345" s="1417"/>
      <c r="R345" s="1417"/>
      <c r="S345" s="1417"/>
      <c r="T345" s="1417"/>
      <c r="U345" s="1417"/>
      <c r="V345" s="1417"/>
      <c r="W345" s="1417"/>
      <c r="X345" s="1417"/>
      <c r="Y345" s="1417"/>
      <c r="Z345" s="1417"/>
      <c r="AA345" s="1417"/>
      <c r="AB345" s="1417"/>
      <c r="AC345" s="1417"/>
      <c r="AD345" s="1417"/>
      <c r="AE345" s="1417"/>
    </row>
    <row r="346" spans="1:66" ht="12.95" customHeight="1">
      <c r="B346" s="4"/>
      <c r="C346" s="4"/>
      <c r="D346" s="4"/>
      <c r="E346" s="4"/>
      <c r="F346" s="4"/>
      <c r="G346" s="4"/>
      <c r="I346" s="4" t="s">
        <v>87</v>
      </c>
      <c r="P346" s="1417"/>
      <c r="Q346" s="1417"/>
      <c r="R346" s="1417"/>
      <c r="S346" s="1417"/>
      <c r="T346" s="1417"/>
      <c r="U346" s="1417"/>
      <c r="V346" s="1417"/>
      <c r="W346" s="1417"/>
      <c r="X346" s="1417"/>
      <c r="Y346" s="1417"/>
      <c r="Z346" s="1417"/>
      <c r="AA346" s="1417"/>
      <c r="AB346" s="1417"/>
      <c r="AC346" s="1417"/>
      <c r="AD346" s="1417"/>
      <c r="AE346" s="1417"/>
    </row>
    <row r="347" spans="1:66" ht="12.95" customHeight="1">
      <c r="B347" s="4"/>
      <c r="C347" s="4"/>
      <c r="D347" s="4"/>
      <c r="E347" s="4"/>
      <c r="F347" s="4"/>
      <c r="G347" s="4"/>
      <c r="H347" s="324"/>
      <c r="I347" s="4" t="s">
        <v>88</v>
      </c>
      <c r="P347" s="1406"/>
      <c r="Q347" s="1406"/>
      <c r="R347" s="1406"/>
      <c r="S347" s="1406"/>
      <c r="T347" s="1406"/>
      <c r="U347" s="1406"/>
      <c r="V347" s="1406"/>
      <c r="W347" s="1406"/>
      <c r="X347" s="1406"/>
      <c r="Y347" s="1406"/>
      <c r="Z347" s="1406"/>
      <c r="AA347" s="4" t="s">
        <v>207</v>
      </c>
      <c r="AB347" s="4"/>
      <c r="AC347" s="1473"/>
      <c r="AD347" s="1473"/>
      <c r="AE347" s="1473"/>
      <c r="AF347" s="324"/>
      <c r="AG347" s="4"/>
      <c r="AH347" s="4"/>
      <c r="AI347" s="4"/>
      <c r="AJ347" s="4"/>
      <c r="AK347" s="4"/>
    </row>
    <row r="348" spans="1:66" ht="12.95" customHeight="1">
      <c r="B348" s="4"/>
      <c r="C348" s="4"/>
      <c r="D348" s="4"/>
      <c r="E348" s="4"/>
      <c r="F348" s="4"/>
      <c r="G348" s="4"/>
      <c r="H348" s="324"/>
      <c r="I348" s="4" t="s">
        <v>89</v>
      </c>
      <c r="P348" s="1406"/>
      <c r="Q348" s="1406"/>
      <c r="R348" s="1406"/>
      <c r="S348" s="1406"/>
      <c r="T348" s="1406"/>
      <c r="U348" s="1406"/>
      <c r="V348" s="1406"/>
      <c r="W348" s="1406"/>
      <c r="X348" s="1406"/>
      <c r="Y348" s="1406"/>
      <c r="Z348" s="1406"/>
      <c r="AF348" s="324"/>
      <c r="AG348" s="4"/>
      <c r="AH348" s="4"/>
      <c r="AI348" s="35"/>
      <c r="AJ348" s="35"/>
      <c r="AK348" s="35"/>
    </row>
    <row r="349" spans="1:66" ht="12.9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5" customHeight="1">
      <c r="T350" s="8"/>
      <c r="U350" s="8"/>
      <c r="V350" s="8"/>
      <c r="W350" s="8"/>
      <c r="X350" s="8"/>
      <c r="Y350" s="8"/>
      <c r="Z350" s="8"/>
      <c r="AU350" s="95"/>
      <c r="AV350" s="95"/>
      <c r="AW350" s="95"/>
      <c r="AX350" s="95"/>
      <c r="AY350" s="95"/>
    </row>
    <row r="351" spans="1:66" ht="12.95" customHeight="1">
      <c r="A351" s="1412" t="s">
        <v>550</v>
      </c>
      <c r="B351" s="1412"/>
      <c r="C351" s="1412"/>
      <c r="D351" s="1412"/>
      <c r="E351" s="1412"/>
      <c r="F351" s="1412"/>
      <c r="G351" s="1412"/>
      <c r="H351" s="1412"/>
      <c r="I351" s="1412"/>
      <c r="J351" s="1412"/>
      <c r="K351" s="1412"/>
      <c r="L351" s="1412"/>
      <c r="M351" s="1412"/>
      <c r="N351" s="1412"/>
      <c r="O351" s="1412"/>
      <c r="P351" s="1412"/>
      <c r="Q351" s="1412"/>
      <c r="R351" s="1412"/>
      <c r="S351" s="1412"/>
      <c r="T351" s="1412"/>
      <c r="U351" s="1412"/>
      <c r="V351" s="1412"/>
      <c r="W351" s="1412"/>
      <c r="X351" s="1412"/>
      <c r="Y351" s="1412"/>
      <c r="Z351" s="1412"/>
      <c r="AA351" s="1412"/>
      <c r="AB351" s="1412"/>
      <c r="AC351" s="1412"/>
      <c r="AD351" s="1412"/>
      <c r="AE351" s="1412"/>
      <c r="AF351" s="1412"/>
      <c r="AG351" s="1412"/>
      <c r="AH351" s="1412"/>
      <c r="AI351" s="1412"/>
      <c r="AJ351" s="1412"/>
      <c r="AK351" s="1412"/>
      <c r="AL351" s="1412"/>
      <c r="AM351" s="1412"/>
      <c r="AN351" s="1412"/>
      <c r="AO351" s="1412"/>
      <c r="AP351" s="1412"/>
      <c r="AQ351" s="1412"/>
      <c r="AR351" s="1412"/>
      <c r="AS351" s="1412"/>
      <c r="AT351" s="1412"/>
      <c r="AU351" s="95"/>
      <c r="AV351" s="95"/>
      <c r="AW351" s="95"/>
      <c r="AX351" s="95"/>
      <c r="AY351" s="95"/>
    </row>
    <row r="352" spans="1:66" ht="12.95" customHeight="1">
      <c r="A352" s="1412"/>
      <c r="B352" s="1412"/>
      <c r="C352" s="1412"/>
      <c r="D352" s="1412"/>
      <c r="E352" s="1412"/>
      <c r="F352" s="1412"/>
      <c r="G352" s="1412"/>
      <c r="H352" s="1412"/>
      <c r="I352" s="1412"/>
      <c r="J352" s="1412"/>
      <c r="K352" s="1412"/>
      <c r="L352" s="1412"/>
      <c r="M352" s="1412"/>
      <c r="N352" s="1412"/>
      <c r="O352" s="1412"/>
      <c r="P352" s="1412"/>
      <c r="Q352" s="1412"/>
      <c r="R352" s="1412"/>
      <c r="S352" s="1412"/>
      <c r="T352" s="1412"/>
      <c r="U352" s="1412"/>
      <c r="V352" s="1412"/>
      <c r="W352" s="1412"/>
      <c r="X352" s="1412"/>
      <c r="Y352" s="1412"/>
      <c r="Z352" s="1412"/>
      <c r="AA352" s="1412"/>
      <c r="AB352" s="1412"/>
      <c r="AC352" s="1412"/>
      <c r="AD352" s="1412"/>
      <c r="AE352" s="1412"/>
      <c r="AF352" s="1412"/>
      <c r="AG352" s="1412"/>
      <c r="AH352" s="1412"/>
      <c r="AI352" s="1412"/>
      <c r="AJ352" s="1412"/>
      <c r="AK352" s="1412"/>
      <c r="AL352" s="1412"/>
      <c r="AM352" s="1412"/>
      <c r="AN352" s="1412"/>
      <c r="AO352" s="1412"/>
      <c r="AP352" s="1412"/>
      <c r="AQ352" s="1412"/>
      <c r="AR352" s="1412"/>
      <c r="AS352" s="1412"/>
      <c r="AT352" s="141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416" t="s">
        <v>553</v>
      </c>
      <c r="N355" s="1416"/>
      <c r="P355" t="s">
        <v>1761</v>
      </c>
      <c r="AJ355" s="1416" t="s">
        <v>553</v>
      </c>
      <c r="AK355" s="1416"/>
    </row>
    <row r="356" spans="1:46" ht="12.95" customHeight="1">
      <c r="D356" s="3" t="s">
        <v>1750</v>
      </c>
      <c r="M356" s="1416" t="s">
        <v>553</v>
      </c>
      <c r="N356" s="1416"/>
      <c r="P356" s="3" t="s">
        <v>1907</v>
      </c>
      <c r="AJ356" s="1476"/>
      <c r="AK356" s="1476"/>
    </row>
    <row r="357" spans="1:46" ht="12.95" customHeight="1">
      <c r="D357" s="3" t="s">
        <v>713</v>
      </c>
      <c r="M357" s="1416" t="s">
        <v>599</v>
      </c>
      <c r="N357" s="1416"/>
      <c r="P357" t="s">
        <v>1760</v>
      </c>
      <c r="AJ357" s="1416" t="s">
        <v>553</v>
      </c>
      <c r="AK357" s="1416"/>
    </row>
    <row r="358" spans="1:46" ht="12.95" customHeight="1">
      <c r="D358" s="3" t="s">
        <v>714</v>
      </c>
      <c r="M358" s="1416" t="s">
        <v>599</v>
      </c>
      <c r="N358" s="1416"/>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6" t="s">
        <v>553</v>
      </c>
      <c r="O363" s="1416"/>
      <c r="P363" s="40"/>
      <c r="Q363" s="40"/>
      <c r="R363" s="40"/>
      <c r="S363" s="40"/>
      <c r="T363" s="40"/>
      <c r="U363" s="40"/>
      <c r="V363" s="40"/>
      <c r="W363" s="40"/>
      <c r="X363" s="40"/>
      <c r="Y363" s="40"/>
      <c r="Z363" s="40"/>
      <c r="AC363" s="40"/>
      <c r="AD363" s="40"/>
      <c r="AE363" s="40"/>
    </row>
    <row r="364" spans="1:46" ht="12.95" customHeight="1">
      <c r="E364" t="s">
        <v>371</v>
      </c>
      <c r="Y364" s="1416" t="s">
        <v>599</v>
      </c>
      <c r="Z364" s="1416"/>
    </row>
    <row r="365" spans="1:46" ht="12.95" customHeight="1">
      <c r="D365" s="4" t="s">
        <v>997</v>
      </c>
      <c r="Q365" s="1408" t="s">
        <v>2700</v>
      </c>
      <c r="R365" s="1408"/>
      <c r="S365" s="1408"/>
      <c r="T365" s="1408"/>
      <c r="U365" s="1408"/>
      <c r="V365" s="1408"/>
      <c r="W365" s="1408"/>
      <c r="X365" s="1408"/>
      <c r="Y365" s="1408"/>
      <c r="Z365" s="1408"/>
      <c r="AA365" s="1408"/>
      <c r="AB365" s="1408"/>
      <c r="AC365" s="1408"/>
      <c r="AD365" s="1408"/>
      <c r="AE365" s="1408"/>
      <c r="AF365" s="1408"/>
      <c r="AG365" s="1408"/>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6" t="s">
        <v>553</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463" t="s">
        <v>715</v>
      </c>
      <c r="F368" s="1463"/>
      <c r="G368" s="1463"/>
      <c r="H368" s="1463"/>
      <c r="I368" s="1463"/>
      <c r="J368" s="1463"/>
      <c r="K368" s="1463"/>
      <c r="L368" s="1463"/>
      <c r="M368" s="1463"/>
      <c r="N368" s="1463"/>
      <c r="O368" s="1463"/>
      <c r="P368" s="1463"/>
      <c r="Q368" s="1463"/>
      <c r="R368" s="1463"/>
      <c r="S368" s="1463"/>
      <c r="T368" s="1463"/>
      <c r="U368" s="1463"/>
      <c r="V368" s="1463"/>
      <c r="W368" s="1463"/>
      <c r="X368" s="1463"/>
      <c r="Y368" s="1463"/>
      <c r="Z368" s="1463"/>
      <c r="AA368" s="1463"/>
      <c r="AB368" s="1463"/>
      <c r="AC368" s="1463"/>
      <c r="AD368" s="1463"/>
      <c r="AE368" s="1463"/>
      <c r="AF368" s="1463"/>
      <c r="AG368" s="1463"/>
      <c r="AH368" s="1463"/>
    </row>
    <row r="369" spans="1:34" ht="12.95" customHeight="1">
      <c r="E369" s="1463"/>
      <c r="F369" s="1463"/>
      <c r="G369" s="1463"/>
      <c r="H369" s="1463"/>
      <c r="I369" s="1463"/>
      <c r="J369" s="1463"/>
      <c r="K369" s="1463"/>
      <c r="L369" s="1463"/>
      <c r="M369" s="1463"/>
      <c r="N369" s="1463"/>
      <c r="O369" s="1463"/>
      <c r="P369" s="1463"/>
      <c r="Q369" s="1463"/>
      <c r="R369" s="1463"/>
      <c r="S369" s="1463"/>
      <c r="T369" s="1463"/>
      <c r="U369" s="1463"/>
      <c r="V369" s="1463"/>
      <c r="W369" s="1463"/>
      <c r="X369" s="1463"/>
      <c r="Y369" s="1463"/>
      <c r="Z369" s="1463"/>
      <c r="AA369" s="1463"/>
      <c r="AB369" s="1463"/>
      <c r="AC369" s="1463"/>
      <c r="AD369" s="1463"/>
      <c r="AE369" s="1463"/>
      <c r="AF369" s="1463"/>
      <c r="AG369" s="1463"/>
      <c r="AH369" s="1463"/>
    </row>
    <row r="370" spans="1:34" ht="12.95" customHeight="1">
      <c r="E370" s="4" t="s">
        <v>456</v>
      </c>
      <c r="F370" s="4"/>
      <c r="G370" s="4"/>
      <c r="H370" s="4"/>
      <c r="I370" s="4"/>
      <c r="J370" s="4"/>
      <c r="K370" s="4"/>
      <c r="L370" s="4"/>
      <c r="N370" s="1692">
        <v>1980</v>
      </c>
      <c r="O370" s="1692"/>
      <c r="P370" s="1692"/>
      <c r="Q370" s="1692"/>
      <c r="R370" s="4"/>
      <c r="U370" s="4" t="s">
        <v>457</v>
      </c>
      <c r="V370" s="4"/>
      <c r="W370" s="4"/>
      <c r="X370" s="4"/>
      <c r="Y370" s="4"/>
      <c r="Z370" s="4"/>
      <c r="AA370" s="4"/>
      <c r="AB370" s="4"/>
      <c r="AC370" s="1692">
        <v>2</v>
      </c>
      <c r="AD370" s="1692"/>
      <c r="AE370" s="1692"/>
      <c r="AF370" s="1692"/>
    </row>
    <row r="371" spans="1:34" ht="12.95" customHeight="1">
      <c r="E371" s="4" t="s">
        <v>458</v>
      </c>
      <c r="F371" s="4"/>
      <c r="G371" s="4"/>
      <c r="H371" s="4"/>
      <c r="I371" s="4"/>
      <c r="J371" s="4"/>
      <c r="K371" s="4"/>
      <c r="L371" s="4"/>
      <c r="N371" s="1692">
        <v>1</v>
      </c>
      <c r="O371" s="1692"/>
      <c r="P371" s="1692"/>
      <c r="Q371" s="1692"/>
      <c r="R371" s="4"/>
      <c r="U371" s="4" t="s">
        <v>0</v>
      </c>
      <c r="V371" s="4"/>
      <c r="W371" s="4"/>
      <c r="X371" s="4"/>
      <c r="Y371" s="4"/>
      <c r="Z371" s="4"/>
      <c r="AA371" s="4"/>
      <c r="AB371" s="4"/>
      <c r="AC371" s="1692"/>
      <c r="AD371" s="1692"/>
      <c r="AE371" s="1692"/>
      <c r="AF371" s="1692"/>
    </row>
    <row r="372" spans="1:34" ht="12.95" customHeight="1">
      <c r="E372" s="4" t="s">
        <v>1</v>
      </c>
      <c r="F372" s="4"/>
      <c r="G372" s="4"/>
      <c r="H372" s="4"/>
      <c r="I372" s="4"/>
      <c r="J372" s="4"/>
      <c r="K372" s="4"/>
      <c r="L372" s="4"/>
      <c r="N372" s="1692">
        <v>2</v>
      </c>
      <c r="O372" s="1692"/>
      <c r="P372" s="1692"/>
      <c r="Q372" s="1692"/>
      <c r="R372" s="4"/>
      <c r="V372" s="4"/>
      <c r="W372" s="4"/>
      <c r="X372" s="4"/>
      <c r="Y372" s="4"/>
      <c r="Z372" s="4"/>
      <c r="AA372" s="4"/>
      <c r="AB372" s="4"/>
    </row>
    <row r="373" spans="1:34" ht="12.95" customHeight="1">
      <c r="E373" s="4" t="s">
        <v>2</v>
      </c>
      <c r="F373" s="4"/>
      <c r="G373" s="4"/>
      <c r="H373" s="4"/>
      <c r="I373" s="4"/>
      <c r="J373" s="4"/>
      <c r="K373" s="4"/>
      <c r="L373" s="4"/>
      <c r="N373" s="1844" t="s">
        <v>2701</v>
      </c>
      <c r="O373" s="1845"/>
      <c r="P373" s="1845"/>
      <c r="Q373" s="1845"/>
      <c r="R373" s="1845"/>
      <c r="S373" s="1845"/>
      <c r="T373" s="1845"/>
      <c r="U373" s="1845"/>
      <c r="V373" s="1845"/>
      <c r="W373" s="1845"/>
      <c r="X373" s="1845"/>
      <c r="Y373" s="1845"/>
      <c r="Z373" s="1845"/>
      <c r="AA373" s="1845"/>
      <c r="AB373" s="1845"/>
      <c r="AC373" s="1845"/>
      <c r="AD373" s="1845"/>
      <c r="AE373" s="1845"/>
      <c r="AF373" s="1845"/>
    </row>
    <row r="374" spans="1:34" ht="12.95" customHeight="1">
      <c r="E374" s="4"/>
      <c r="F374" s="4"/>
      <c r="G374" s="4"/>
      <c r="H374" s="4"/>
      <c r="I374" s="4"/>
      <c r="J374" s="4"/>
      <c r="K374" s="4"/>
      <c r="L374" s="4"/>
      <c r="N374" s="1846"/>
      <c r="O374" s="1846"/>
      <c r="P374" s="1846"/>
      <c r="Q374" s="1846"/>
      <c r="R374" s="1846"/>
      <c r="S374" s="1846"/>
      <c r="T374" s="1846"/>
      <c r="U374" s="1846"/>
      <c r="V374" s="1846"/>
      <c r="W374" s="1846"/>
      <c r="X374" s="1846"/>
      <c r="Y374" s="1846"/>
      <c r="Z374" s="1846"/>
      <c r="AA374" s="1846"/>
      <c r="AB374" s="1846"/>
      <c r="AC374" s="1846"/>
      <c r="AD374" s="1846"/>
      <c r="AE374" s="1846"/>
      <c r="AF374" s="1846"/>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809"/>
      <c r="T377" s="1809"/>
      <c r="U377" s="1" t="s">
        <v>307</v>
      </c>
      <c r="V377" s="1809"/>
      <c r="W377" s="1809"/>
      <c r="Y377" t="s">
        <v>2394</v>
      </c>
      <c r="AC377" s="27" t="s">
        <v>306</v>
      </c>
      <c r="AD377" s="1809"/>
      <c r="AE377" s="1809"/>
      <c r="AF377" s="1" t="s">
        <v>307</v>
      </c>
      <c r="AG377" s="1809"/>
      <c r="AH377" s="1809"/>
    </row>
    <row r="378" spans="1:34" ht="12.95" customHeight="1">
      <c r="E378" s="4" t="s">
        <v>1011</v>
      </c>
      <c r="F378" s="4"/>
      <c r="G378" s="4"/>
      <c r="H378" s="4"/>
      <c r="I378" s="4"/>
      <c r="J378" s="4"/>
      <c r="K378" s="4"/>
      <c r="L378" s="4"/>
      <c r="N378" s="1809"/>
      <c r="O378" s="1809"/>
      <c r="P378" s="1809"/>
    </row>
    <row r="379" spans="1:34" ht="12.95" customHeight="1">
      <c r="E379" s="218" t="s">
        <v>2400</v>
      </c>
      <c r="F379" s="4"/>
      <c r="G379" s="4"/>
      <c r="H379" s="4"/>
      <c r="I379" s="4"/>
      <c r="J379" s="4"/>
      <c r="K379" s="4"/>
      <c r="L379" s="4"/>
      <c r="AG379" s="1698" t="s">
        <v>599</v>
      </c>
      <c r="AH379" s="1698"/>
    </row>
    <row r="380" spans="1:34" ht="12.95" customHeight="1">
      <c r="E380" s="4"/>
      <c r="F380" s="4"/>
      <c r="G380" s="4" t="s">
        <v>2401</v>
      </c>
      <c r="H380" s="4"/>
      <c r="I380" s="4"/>
      <c r="J380" s="4"/>
      <c r="K380" s="4"/>
      <c r="L380" s="4"/>
      <c r="AG380" s="1698" t="s">
        <v>599</v>
      </c>
      <c r="AH380" s="1698"/>
    </row>
    <row r="381" spans="1:34" ht="12.95" customHeight="1">
      <c r="E381" s="4"/>
      <c r="F381" s="4"/>
      <c r="G381" s="348" t="s">
        <v>1012</v>
      </c>
      <c r="H381" s="4"/>
      <c r="I381" s="4"/>
      <c r="J381" s="4"/>
      <c r="K381" s="4"/>
      <c r="L381" s="4"/>
      <c r="V381" s="1416" t="s">
        <v>599</v>
      </c>
      <c r="W381" s="1416"/>
      <c r="Y381" s="22" t="s">
        <v>999</v>
      </c>
    </row>
    <row r="382" spans="1:34" ht="12.95" customHeight="1">
      <c r="E382" s="4" t="s">
        <v>1000</v>
      </c>
      <c r="F382" s="4"/>
      <c r="G382" s="4"/>
      <c r="H382" s="4"/>
      <c r="I382" s="4"/>
      <c r="J382" s="4"/>
      <c r="K382" s="4"/>
      <c r="L382" s="4"/>
      <c r="V382" s="1416" t="s">
        <v>599</v>
      </c>
      <c r="W382" s="1416"/>
      <c r="Y382" s="4" t="s">
        <v>1001</v>
      </c>
    </row>
    <row r="383" spans="1:34" ht="12.95" customHeight="1"/>
    <row r="384" spans="1:34" ht="12.95" customHeight="1">
      <c r="A384" s="2" t="s">
        <v>78</v>
      </c>
      <c r="B384" s="2"/>
    </row>
    <row r="385" spans="4:36" ht="12.95" customHeight="1">
      <c r="D385" t="s">
        <v>429</v>
      </c>
      <c r="J385" s="1407" t="s">
        <v>2706</v>
      </c>
      <c r="K385" s="1408"/>
      <c r="L385" s="1408"/>
      <c r="M385" s="1408"/>
      <c r="N385" s="1408"/>
      <c r="O385" s="1408"/>
      <c r="P385" s="1408"/>
      <c r="Q385" s="1408"/>
      <c r="R385" s="1408"/>
      <c r="S385" s="1408"/>
      <c r="T385" s="1408"/>
      <c r="U385" s="1408"/>
      <c r="V385" s="8" t="s">
        <v>83</v>
      </c>
      <c r="W385" s="8"/>
      <c r="X385" s="8"/>
      <c r="Y385" s="8"/>
      <c r="Z385" s="8"/>
      <c r="AA385" s="8"/>
      <c r="AB385" s="8"/>
      <c r="AC385" s="1408"/>
      <c r="AD385" s="1408"/>
      <c r="AE385" s="1408"/>
      <c r="AF385" s="1408"/>
      <c r="AG385" s="1408"/>
      <c r="AH385" s="1408"/>
      <c r="AI385" s="1408"/>
      <c r="AJ385" s="1408"/>
    </row>
    <row r="386" spans="4:36" ht="12.95" customHeight="1">
      <c r="D386" s="3" t="s">
        <v>1288</v>
      </c>
      <c r="J386" s="1506" t="s">
        <v>2702</v>
      </c>
      <c r="K386" s="1417"/>
      <c r="L386" s="1417"/>
      <c r="M386" s="1417"/>
      <c r="N386" s="1417"/>
      <c r="O386" s="1417"/>
      <c r="P386" s="1417"/>
      <c r="Q386" s="1417"/>
      <c r="R386" s="1417"/>
      <c r="S386" s="1417"/>
      <c r="T386" s="1417"/>
      <c r="U386" s="1417"/>
      <c r="V386" s="3" t="s">
        <v>1288</v>
      </c>
      <c r="W386" s="8"/>
      <c r="X386" s="8"/>
      <c r="Y386" s="8"/>
      <c r="Z386" s="8"/>
      <c r="AA386" s="8"/>
      <c r="AB386" s="8"/>
      <c r="AC386" s="1407" t="s">
        <v>2708</v>
      </c>
      <c r="AD386" s="1408"/>
      <c r="AE386" s="1408"/>
      <c r="AF386" s="1408"/>
      <c r="AG386" s="1408"/>
      <c r="AH386" s="1408"/>
      <c r="AI386" s="1408"/>
      <c r="AJ386" s="1408"/>
    </row>
    <row r="387" spans="4:36" ht="12.95" customHeight="1">
      <c r="D387" s="3" t="s">
        <v>443</v>
      </c>
      <c r="J387" s="1506" t="s">
        <v>2707</v>
      </c>
      <c r="K387" s="1417"/>
      <c r="L387" s="1417"/>
      <c r="M387" s="1417"/>
      <c r="N387" s="1417"/>
      <c r="O387" s="1417"/>
      <c r="P387" s="1417"/>
      <c r="Q387" s="1417"/>
      <c r="R387" s="1417"/>
      <c r="S387" s="1417"/>
      <c r="T387" s="1417"/>
      <c r="U387" s="1417"/>
      <c r="V387" s="3" t="s">
        <v>443</v>
      </c>
      <c r="W387" s="8"/>
      <c r="X387" s="8"/>
      <c r="Y387" s="8"/>
      <c r="Z387" s="8"/>
      <c r="AA387" s="8"/>
      <c r="AB387" s="8"/>
      <c r="AC387" s="1407" t="s">
        <v>2709</v>
      </c>
      <c r="AD387" s="1408"/>
      <c r="AE387" s="1408"/>
      <c r="AF387" s="1408"/>
      <c r="AG387" s="1408"/>
      <c r="AH387" s="1408"/>
      <c r="AI387" s="1408"/>
      <c r="AJ387" s="1408"/>
    </row>
    <row r="388" spans="4:36" ht="12.95" customHeight="1">
      <c r="D388" t="s">
        <v>1284</v>
      </c>
      <c r="J388" s="1833" t="s">
        <v>2755</v>
      </c>
      <c r="K388" s="1456"/>
      <c r="L388" s="1456"/>
      <c r="M388" s="1456"/>
      <c r="N388" s="1456"/>
      <c r="O388" s="1456"/>
      <c r="P388" s="1456"/>
      <c r="Q388" s="1456"/>
      <c r="R388" s="1456"/>
      <c r="S388" s="1456"/>
      <c r="T388" s="1456"/>
      <c r="U388" s="1456"/>
      <c r="V388" s="1407" t="s">
        <v>2756</v>
      </c>
      <c r="W388" s="1408"/>
      <c r="X388" s="1408"/>
      <c r="Y388" s="1408"/>
      <c r="Z388" s="1408"/>
      <c r="AA388" s="1408"/>
      <c r="AB388" s="1408"/>
      <c r="AC388" s="1408"/>
      <c r="AD388" s="1408"/>
      <c r="AE388" s="1408"/>
      <c r="AF388" s="1408"/>
      <c r="AG388" s="1408"/>
      <c r="AH388" s="1408"/>
      <c r="AI388" s="1408"/>
      <c r="AJ388" s="1408"/>
    </row>
    <row r="389" spans="4:36" ht="12.95" customHeight="1">
      <c r="D389" t="s">
        <v>4</v>
      </c>
      <c r="Q389" s="1843">
        <v>45499</v>
      </c>
      <c r="R389" s="1843"/>
      <c r="S389" s="1843"/>
      <c r="T389" s="1843"/>
      <c r="U389" s="1843"/>
      <c r="V389" t="s">
        <v>310</v>
      </c>
      <c r="AI389" s="1416" t="s">
        <v>677</v>
      </c>
      <c r="AJ389" s="1416"/>
    </row>
    <row r="390" spans="4:36" ht="12.95" customHeight="1">
      <c r="D390" t="s">
        <v>5</v>
      </c>
      <c r="Q390" s="1593">
        <v>45832</v>
      </c>
      <c r="R390" s="1840"/>
      <c r="S390" s="1840"/>
      <c r="T390" s="1840"/>
      <c r="U390" s="1840"/>
      <c r="W390" s="21" t="s">
        <v>74</v>
      </c>
      <c r="AG390" s="1810"/>
      <c r="AH390" s="1810"/>
      <c r="AI390" s="1810"/>
      <c r="AJ390" s="1810"/>
    </row>
    <row r="391" spans="4:36" ht="12.95" customHeight="1">
      <c r="D391" t="s">
        <v>428</v>
      </c>
      <c r="Q391" s="1819">
        <v>20640000</v>
      </c>
      <c r="R391" s="1819"/>
      <c r="S391" s="1819"/>
      <c r="T391" s="1819"/>
      <c r="U391" s="1819"/>
      <c r="V391" s="3" t="s">
        <v>1287</v>
      </c>
      <c r="AG391" s="1811">
        <v>45809</v>
      </c>
      <c r="AH391" s="1811"/>
      <c r="AI391" s="1811"/>
      <c r="AJ391" s="1811"/>
    </row>
    <row r="392" spans="4:36" ht="12.95" customHeight="1">
      <c r="D392" t="s">
        <v>88</v>
      </c>
      <c r="I392" s="1418"/>
      <c r="J392" s="1418"/>
      <c r="K392" s="1418"/>
      <c r="L392" s="1418"/>
      <c r="M392" s="1418"/>
      <c r="N392" s="1418"/>
      <c r="Q392" s="4" t="s">
        <v>207</v>
      </c>
      <c r="S392" s="1842"/>
      <c r="T392" s="1842"/>
      <c r="U392" s="1842"/>
      <c r="V392" t="s">
        <v>73</v>
      </c>
      <c r="AI392" s="1416" t="s">
        <v>677</v>
      </c>
      <c r="AJ392" s="1416"/>
    </row>
    <row r="393" spans="4:36" ht="12.95" customHeight="1">
      <c r="D393" t="s">
        <v>311</v>
      </c>
      <c r="Q393" s="1384">
        <v>50000</v>
      </c>
      <c r="R393" s="1384"/>
      <c r="S393" s="1384"/>
      <c r="T393" s="1384"/>
      <c r="U393" s="1384"/>
      <c r="V393" t="s">
        <v>312</v>
      </c>
      <c r="AG393" s="1810"/>
      <c r="AH393" s="1810"/>
      <c r="AI393" s="1810"/>
      <c r="AJ393" s="1810"/>
    </row>
    <row r="394" spans="4:36" ht="12.95" customHeight="1">
      <c r="D394" t="s">
        <v>313</v>
      </c>
      <c r="Q394" s="1820"/>
      <c r="R394" s="1820"/>
      <c r="S394" s="1820"/>
      <c r="T394" s="1820"/>
      <c r="U394" s="1820"/>
      <c r="V394" t="s">
        <v>1268</v>
      </c>
      <c r="AG394" s="1810"/>
      <c r="AH394" s="1810"/>
      <c r="AI394" s="1810"/>
      <c r="AJ394" s="1810"/>
    </row>
    <row r="395" spans="4:36" ht="12.95" customHeight="1">
      <c r="D395" t="s">
        <v>1267</v>
      </c>
      <c r="AG395" s="1810"/>
      <c r="AH395" s="1810"/>
      <c r="AI395" s="1810"/>
      <c r="AJ395" s="1810"/>
    </row>
    <row r="396" spans="4:36" ht="12.95" customHeight="1">
      <c r="AG396" s="490"/>
      <c r="AH396" s="490"/>
      <c r="AI396" s="490"/>
      <c r="AJ396" s="490"/>
    </row>
    <row r="397" spans="4:36" ht="12.95" customHeight="1">
      <c r="D397" s="3" t="s">
        <v>2500</v>
      </c>
      <c r="AG397" s="490"/>
      <c r="AH397" s="490"/>
      <c r="AI397" s="1416" t="s">
        <v>677</v>
      </c>
      <c r="AJ397" s="1416"/>
    </row>
    <row r="398" spans="4:36" ht="12.95" customHeight="1">
      <c r="D398" s="3" t="s">
        <v>1779</v>
      </c>
      <c r="T398" s="1712"/>
      <c r="U398" s="1712"/>
      <c r="V398" s="1712"/>
      <c r="W398" s="1712"/>
      <c r="X398" s="1712"/>
      <c r="Y398" s="1712"/>
      <c r="Z398" s="1712"/>
      <c r="AA398" s="1712"/>
      <c r="AB398" s="1712"/>
      <c r="AC398" s="1712"/>
      <c r="AD398" s="1712"/>
      <c r="AE398" s="1712"/>
      <c r="AF398" s="1712"/>
      <c r="AG398" s="1712"/>
      <c r="AH398" s="1712"/>
      <c r="AI398" s="1712"/>
      <c r="AJ398" s="1712"/>
    </row>
    <row r="399" spans="4:36" ht="12.95" customHeight="1">
      <c r="D399" s="3" t="s">
        <v>1778</v>
      </c>
      <c r="T399" s="1712"/>
      <c r="U399" s="1712"/>
      <c r="V399" s="1712"/>
      <c r="W399" s="1712"/>
      <c r="X399" s="1712"/>
      <c r="Y399" s="1712"/>
      <c r="Z399" s="1712"/>
      <c r="AA399" s="1712"/>
      <c r="AB399" s="1712"/>
      <c r="AC399" s="1712"/>
      <c r="AD399" s="1712"/>
      <c r="AE399" s="1712"/>
      <c r="AF399" s="1712"/>
      <c r="AG399" s="1712"/>
      <c r="AH399" s="1712"/>
      <c r="AI399" s="1712"/>
      <c r="AJ399" s="1712"/>
    </row>
    <row r="400" spans="4:36" ht="12.95" customHeight="1">
      <c r="AG400" s="490"/>
      <c r="AH400" s="490"/>
      <c r="AI400" s="490"/>
      <c r="AJ400" s="490"/>
    </row>
    <row r="401" spans="1:36" ht="12.95" customHeight="1">
      <c r="D401" s="3" t="s">
        <v>1772</v>
      </c>
      <c r="S401" s="1712" t="s">
        <v>677</v>
      </c>
      <c r="T401" s="1712"/>
      <c r="U401" s="1712"/>
      <c r="V401" t="s">
        <v>1773</v>
      </c>
      <c r="AG401" s="1831"/>
      <c r="AH401" s="1831"/>
      <c r="AI401" s="1831"/>
      <c r="AJ401" s="1831"/>
    </row>
    <row r="402" spans="1:36" ht="12.95" customHeight="1">
      <c r="D402" s="3" t="s">
        <v>1770</v>
      </c>
      <c r="S402" s="1712" t="s">
        <v>599</v>
      </c>
      <c r="T402" s="1712"/>
      <c r="U402" s="1712"/>
      <c r="V402" t="s">
        <v>1775</v>
      </c>
      <c r="AE402" s="1838"/>
      <c r="AF402" s="1838"/>
      <c r="AG402" s="1838"/>
      <c r="AH402" s="1838"/>
      <c r="AI402" s="1838"/>
      <c r="AJ402" s="1838"/>
    </row>
    <row r="403" spans="1:36" ht="12.95" customHeight="1">
      <c r="D403" s="3" t="s">
        <v>1771</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2.95" customHeight="1">
      <c r="D404" s="3" t="s">
        <v>1774</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2.95" customHeight="1">
      <c r="D405" s="3" t="s">
        <v>1777</v>
      </c>
      <c r="E405" s="511"/>
      <c r="F405" s="511"/>
      <c r="G405" s="511"/>
      <c r="H405" s="511"/>
      <c r="I405" s="511"/>
      <c r="J405" s="511"/>
      <c r="K405" s="511"/>
      <c r="L405" s="511"/>
      <c r="M405" s="511"/>
      <c r="N405" s="511"/>
      <c r="O405" s="511"/>
      <c r="P405" s="511"/>
      <c r="Q405" s="511"/>
      <c r="R405" s="511"/>
      <c r="S405" s="1836" t="s">
        <v>1290</v>
      </c>
      <c r="T405" s="1836"/>
      <c r="U405" s="1836"/>
      <c r="V405" s="1836"/>
      <c r="W405" s="1836"/>
      <c r="X405" s="1836"/>
      <c r="Y405" s="1836"/>
      <c r="Z405" s="1836"/>
      <c r="AA405" s="1836"/>
      <c r="AB405" s="1836"/>
      <c r="AC405" s="1836"/>
      <c r="AD405" s="1836"/>
      <c r="AE405" s="1836"/>
      <c r="AF405" s="1836"/>
      <c r="AG405" s="1836"/>
      <c r="AH405" s="1836"/>
      <c r="AI405" s="1836"/>
      <c r="AJ405" s="1836"/>
    </row>
    <row r="406" spans="1:36" ht="12.9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07" t="s">
        <v>2703</v>
      </c>
      <c r="J410" s="1407"/>
      <c r="K410" s="1407"/>
      <c r="L410" s="1407"/>
      <c r="M410" s="1407"/>
      <c r="N410" s="1407"/>
      <c r="O410" s="1407"/>
      <c r="P410" s="1407"/>
      <c r="Q410" s="1407"/>
      <c r="R410" s="1407"/>
      <c r="S410" s="1407"/>
      <c r="T410" s="1407"/>
      <c r="U410" s="1407"/>
      <c r="V410" s="1407"/>
      <c r="W410" s="1407"/>
      <c r="X410" s="1407"/>
      <c r="Y410" s="1407"/>
      <c r="Z410" s="1407"/>
      <c r="AA410" s="1407"/>
      <c r="AB410" s="1407"/>
      <c r="AC410" s="1407"/>
      <c r="AD410" s="1407"/>
      <c r="AE410" s="1407"/>
    </row>
    <row r="411" spans="1:36" ht="12.95" customHeight="1">
      <c r="E411" t="s">
        <v>106</v>
      </c>
      <c r="R411" s="1416" t="s">
        <v>553</v>
      </c>
      <c r="S411" s="1416"/>
      <c r="AC411" s="27" t="s">
        <v>578</v>
      </c>
      <c r="AD411" s="1692">
        <v>2</v>
      </c>
      <c r="AE411" s="1692"/>
    </row>
    <row r="412" spans="1:36" ht="12.95" customHeight="1">
      <c r="E412" t="s">
        <v>107</v>
      </c>
      <c r="R412" s="1416" t="s">
        <v>599</v>
      </c>
      <c r="S412" s="1416"/>
      <c r="AC412" s="27" t="s">
        <v>578</v>
      </c>
      <c r="AD412" s="1692"/>
      <c r="AE412" s="1692"/>
    </row>
    <row r="413" spans="1:36" ht="12.95" customHeight="1">
      <c r="E413" t="s">
        <v>108</v>
      </c>
      <c r="S413" s="1416" t="s">
        <v>599</v>
      </c>
      <c r="T413" s="1416"/>
    </row>
    <row r="414" spans="1:36" ht="12.95" customHeight="1">
      <c r="E414" t="s">
        <v>170</v>
      </c>
      <c r="H414" s="1817" t="s">
        <v>335</v>
      </c>
      <c r="I414" s="1817"/>
      <c r="J414" s="1817"/>
      <c r="K414" s="1817"/>
      <c r="L414" s="1817"/>
      <c r="M414" s="1817"/>
      <c r="N414" s="1817"/>
      <c r="O414" s="1817"/>
      <c r="P414" s="1817"/>
      <c r="Q414" s="1817"/>
      <c r="R414" s="1817"/>
      <c r="S414" s="1817"/>
      <c r="T414" s="1817"/>
      <c r="U414" s="1817"/>
      <c r="V414" s="1817"/>
      <c r="W414" s="1817"/>
      <c r="X414" s="1817"/>
      <c r="Y414" s="1817"/>
      <c r="Z414" s="1817"/>
      <c r="AA414" s="1817"/>
      <c r="AB414" s="1817"/>
      <c r="AC414" s="1817"/>
      <c r="AD414" s="1817"/>
      <c r="AE414" s="1817"/>
    </row>
    <row r="415" spans="1:36" ht="12.95" customHeight="1">
      <c r="H415" s="1818"/>
      <c r="I415" s="1818"/>
      <c r="J415" s="1818"/>
      <c r="K415" s="1818"/>
      <c r="L415" s="1818"/>
      <c r="M415" s="1818"/>
      <c r="N415" s="1818"/>
      <c r="O415" s="1818"/>
      <c r="P415" s="1818"/>
      <c r="Q415" s="1818"/>
      <c r="R415" s="1818"/>
      <c r="S415" s="1818"/>
      <c r="T415" s="1818"/>
      <c r="U415" s="1818"/>
      <c r="V415" s="1818"/>
      <c r="W415" s="1818"/>
      <c r="X415" s="1818"/>
      <c r="Y415" s="1818"/>
      <c r="Z415" s="1818"/>
      <c r="AA415" s="1818"/>
      <c r="AB415" s="1818"/>
      <c r="AC415" s="1818"/>
      <c r="AD415" s="1818"/>
      <c r="AE415" s="1818"/>
    </row>
    <row r="416" spans="1:36" ht="12.95" customHeight="1"/>
    <row r="417" spans="1:39" ht="12.95" customHeight="1">
      <c r="A417" s="2" t="s">
        <v>598</v>
      </c>
      <c r="B417" s="2"/>
      <c r="C417" s="2"/>
      <c r="D417" s="2" t="s">
        <v>114</v>
      </c>
      <c r="AF417" s="2" t="s">
        <v>976</v>
      </c>
    </row>
    <row r="418" spans="1:39" ht="12.95" customHeight="1">
      <c r="E418" s="1809"/>
      <c r="F418" s="1809"/>
      <c r="G418" s="1809"/>
      <c r="H418" s="13" t="s">
        <v>115</v>
      </c>
      <c r="I418" s="1809"/>
      <c r="J418" s="1809"/>
      <c r="K418" s="1809"/>
      <c r="L418" t="s">
        <v>116</v>
      </c>
      <c r="N418" s="27" t="s">
        <v>583</v>
      </c>
      <c r="P418" s="1841">
        <f>104576/43560</f>
        <v>2.4007346189164371</v>
      </c>
      <c r="Q418" s="1841"/>
      <c r="R418" s="1841"/>
      <c r="S418" t="s">
        <v>117</v>
      </c>
      <c r="W418" s="1851">
        <f>IF(E418&gt;0,(E418*I418),(P418*43560))</f>
        <v>104576</v>
      </c>
      <c r="X418" s="1851"/>
      <c r="Y418" s="1851"/>
      <c r="Z418" t="s">
        <v>118</v>
      </c>
      <c r="AF418" s="1816">
        <f>IFERROR(IF(P418&gt;0,(AG437/P418),(AG437/(W418/43560))),0)</f>
        <v>48.735082619339046</v>
      </c>
      <c r="AG418" s="1816"/>
      <c r="AH418" s="1816"/>
      <c r="AM418" s="3"/>
    </row>
    <row r="419" spans="1:39" ht="12.95" customHeight="1">
      <c r="E419" t="s">
        <v>51</v>
      </c>
    </row>
    <row r="420" spans="1:39" ht="12.95" customHeight="1">
      <c r="E420" s="1837"/>
      <c r="F420" s="1837"/>
      <c r="G420" s="1837"/>
      <c r="H420" s="1837"/>
      <c r="I420" s="1837"/>
      <c r="J420" s="1837"/>
      <c r="K420" s="1837"/>
      <c r="L420" s="1837"/>
      <c r="M420" s="1837"/>
      <c r="N420" s="1837"/>
      <c r="O420" s="1837"/>
      <c r="P420" s="1837"/>
      <c r="Q420" s="1837"/>
      <c r="R420" s="1837"/>
      <c r="S420" s="1837"/>
      <c r="T420" s="1837"/>
      <c r="U420" s="1837"/>
      <c r="V420" s="1837"/>
      <c r="W420" s="1837"/>
      <c r="X420" s="1837"/>
      <c r="Y420" s="1837"/>
      <c r="Z420" s="1837"/>
      <c r="AA420" s="1837"/>
      <c r="AB420" s="1837"/>
      <c r="AC420" s="1837"/>
      <c r="AD420" s="1837"/>
      <c r="AE420" s="1837"/>
      <c r="AF420" s="1837"/>
      <c r="AG420" s="1837"/>
      <c r="AH420" s="1837"/>
      <c r="AI420" s="1837"/>
      <c r="AJ420" s="1837"/>
    </row>
    <row r="421" spans="1:39" ht="12.95" customHeight="1">
      <c r="E421" s="118" t="s">
        <v>1924</v>
      </c>
      <c r="F421" s="1048"/>
      <c r="G421" s="1048"/>
      <c r="H421" s="1048"/>
      <c r="I421" s="1770">
        <v>2.4</v>
      </c>
      <c r="J421" s="1770"/>
      <c r="K421" s="1770"/>
      <c r="L421" s="1048"/>
      <c r="M421" s="118"/>
      <c r="N421" s="1048"/>
      <c r="O421" s="1048"/>
      <c r="P421" s="1681">
        <f>(CS634+CS642+CS658)/I421</f>
        <v>49.166666666666671</v>
      </c>
      <c r="Q421" s="1681"/>
      <c r="R421" s="1681"/>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6">
        <v>2</v>
      </c>
      <c r="Q424" s="1416"/>
      <c r="S424" t="s">
        <v>190</v>
      </c>
      <c r="AE424" s="1416">
        <v>2</v>
      </c>
      <c r="AF424" s="1416"/>
    </row>
    <row r="425" spans="1:39" ht="12.95" customHeight="1">
      <c r="E425" t="s">
        <v>191</v>
      </c>
      <c r="P425" s="1416">
        <v>0</v>
      </c>
      <c r="Q425" s="1416"/>
      <c r="S425" t="s">
        <v>131</v>
      </c>
      <c r="AE425" s="1416" t="s">
        <v>599</v>
      </c>
      <c r="AF425" s="1416"/>
    </row>
    <row r="426" spans="1:39" ht="12.95" customHeight="1">
      <c r="F426" s="28" t="s">
        <v>132</v>
      </c>
    </row>
    <row r="427" spans="1:39" ht="12.95" customHeight="1">
      <c r="F427" s="1795"/>
      <c r="G427" s="1795"/>
      <c r="H427" s="1795"/>
      <c r="I427" s="1795"/>
      <c r="J427" s="1795"/>
      <c r="K427" s="1795"/>
      <c r="L427" s="1795"/>
      <c r="M427" s="1795"/>
      <c r="N427" s="1795"/>
      <c r="O427" s="1795"/>
      <c r="P427" s="1795"/>
      <c r="Q427" s="1795"/>
      <c r="R427" s="1795"/>
      <c r="S427" s="1795"/>
      <c r="T427" s="1795"/>
      <c r="U427" s="1795"/>
      <c r="V427" s="1795"/>
      <c r="W427" s="1795"/>
      <c r="X427" s="1795"/>
      <c r="Y427" s="1795"/>
      <c r="Z427" s="1795"/>
      <c r="AA427" s="1795"/>
      <c r="AB427" s="1795"/>
      <c r="AC427" s="1795"/>
      <c r="AD427" s="1795"/>
      <c r="AE427" s="1795"/>
      <c r="AF427" s="1795"/>
      <c r="AG427" s="1795"/>
      <c r="AH427" s="1795"/>
    </row>
    <row r="428" spans="1:39" ht="12.95" customHeight="1">
      <c r="F428" s="1796"/>
      <c r="G428" s="1796"/>
      <c r="H428" s="1796"/>
      <c r="I428" s="1796"/>
      <c r="J428" s="1796"/>
      <c r="K428" s="1796"/>
      <c r="L428" s="1796"/>
      <c r="M428" s="1796"/>
      <c r="N428" s="1796"/>
      <c r="O428" s="1796"/>
      <c r="P428" s="1796"/>
      <c r="Q428" s="1796"/>
      <c r="R428" s="1796"/>
      <c r="S428" s="1796"/>
      <c r="T428" s="1796"/>
      <c r="U428" s="1796"/>
      <c r="V428" s="1796"/>
      <c r="W428" s="1796"/>
      <c r="X428" s="1796"/>
      <c r="Y428" s="1796"/>
      <c r="Z428" s="1796"/>
      <c r="AA428" s="1796"/>
      <c r="AB428" s="1796"/>
      <c r="AC428" s="1796"/>
      <c r="AD428" s="1796"/>
      <c r="AE428" s="1796"/>
      <c r="AF428" s="1796"/>
      <c r="AG428" s="1796"/>
      <c r="AH428" s="1796"/>
    </row>
    <row r="429" spans="1:39" ht="12.95" customHeight="1">
      <c r="E429" t="s">
        <v>616</v>
      </c>
      <c r="P429" s="1"/>
      <c r="Q429" s="1416" t="s">
        <v>553</v>
      </c>
      <c r="R429" s="1416"/>
    </row>
    <row r="430" spans="1:39" ht="12.95" customHeight="1">
      <c r="F430" t="s">
        <v>617</v>
      </c>
      <c r="P430" s="1"/>
      <c r="Q430" s="1"/>
      <c r="AF430" s="1416" t="s">
        <v>599</v>
      </c>
      <c r="AG430" s="1857"/>
    </row>
    <row r="431" spans="1:39" ht="12.95" customHeight="1"/>
    <row r="432" spans="1:39" ht="12.95" customHeight="1">
      <c r="A432" s="2"/>
      <c r="B432" s="2"/>
      <c r="C432" s="2"/>
      <c r="E432" s="4" t="s">
        <v>309</v>
      </c>
      <c r="Z432" s="1416" t="s">
        <v>677</v>
      </c>
      <c r="AA432" s="141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6" t="s">
        <v>599</v>
      </c>
      <c r="AA434" s="1416"/>
    </row>
    <row r="435" spans="1:110" ht="12.95" customHeight="1"/>
    <row r="436" spans="1:110" ht="12.95" customHeight="1">
      <c r="A436" s="2" t="s">
        <v>475</v>
      </c>
      <c r="B436" s="2"/>
      <c r="C436" s="2"/>
      <c r="D436" s="2" t="s">
        <v>773</v>
      </c>
      <c r="AF436" s="48"/>
    </row>
    <row r="437" spans="1:110" ht="12.95" customHeight="1">
      <c r="D437" s="1387" t="s">
        <v>43</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832"/>
      <c r="AG437" s="1858">
        <v>117</v>
      </c>
      <c r="AH437" s="1858"/>
      <c r="AI437" s="1858"/>
      <c r="AJ437" s="1858"/>
    </row>
    <row r="438" spans="1:110" ht="12.95" customHeight="1">
      <c r="D438" s="1682" t="s">
        <v>1329</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35">
        <v>0</v>
      </c>
      <c r="AH438" s="1368"/>
      <c r="AI438" s="1368"/>
      <c r="AJ438" s="1368"/>
    </row>
    <row r="439" spans="1:110" ht="12.95" customHeight="1">
      <c r="D439" s="1682" t="s">
        <v>1055</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58">
        <v>116</v>
      </c>
      <c r="AH439" s="1858"/>
      <c r="AI439" s="1858"/>
      <c r="AJ439" s="1858"/>
    </row>
    <row r="440" spans="1:110" ht="12.95" customHeight="1">
      <c r="D440" s="1682" t="s">
        <v>1056</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58">
        <v>116</v>
      </c>
      <c r="AH440" s="1858"/>
      <c r="AI440" s="1858"/>
      <c r="AJ440" s="1858"/>
    </row>
    <row r="441" spans="1:110" ht="12.95" customHeight="1">
      <c r="D441" s="1682" t="s">
        <v>1058</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34">
        <f>IF(ISERROR(AG440/AG439),"",AG440/AG439)</f>
        <v>1</v>
      </c>
      <c r="AH441" s="1834"/>
      <c r="AI441" s="1834"/>
      <c r="AJ441" s="1834"/>
    </row>
    <row r="442" spans="1:110" ht="12.95" customHeight="1">
      <c r="D442" s="1682" t="s">
        <v>1057</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824">
        <f>55875-861</f>
        <v>55014</v>
      </c>
      <c r="AH442" s="1824"/>
      <c r="AI442" s="1824"/>
      <c r="AJ442" s="1824"/>
    </row>
    <row r="443" spans="1:110" ht="12.95" customHeight="1">
      <c r="D443" s="1682" t="s">
        <v>1059</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824">
        <f>55875-861</f>
        <v>55014</v>
      </c>
      <c r="AH443" s="1824"/>
      <c r="AI443" s="1824"/>
      <c r="AJ443" s="1824"/>
    </row>
    <row r="444" spans="1:110" ht="12.95" customHeight="1">
      <c r="D444" s="1682" t="s">
        <v>1060</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34">
        <f>IF(ISERROR(AG443/AG442),"",AG443/AG442)</f>
        <v>1</v>
      </c>
      <c r="AH444" s="1834"/>
      <c r="AI444" s="1834"/>
      <c r="AJ444" s="1834"/>
    </row>
    <row r="445" spans="1:110" ht="12.95" customHeight="1">
      <c r="D445" s="1682" t="s">
        <v>1061</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34">
        <f>MIN(IF(AG441&gt;AG444,AG444,AG441),1)</f>
        <v>1</v>
      </c>
      <c r="AH445" s="1834"/>
      <c r="AI445" s="1834"/>
      <c r="AJ445" s="1834"/>
    </row>
    <row r="446" spans="1:110" ht="12.95" customHeight="1">
      <c r="D446" s="1682" t="s">
        <v>2402</v>
      </c>
      <c r="E446" s="1388"/>
      <c r="F446" s="1388"/>
      <c r="G446" s="1388"/>
      <c r="H446" s="1388"/>
      <c r="I446" s="1388"/>
      <c r="J446" s="1388"/>
      <c r="K446" s="1388"/>
      <c r="L446" s="1388"/>
      <c r="M446" s="1388"/>
      <c r="N446" s="1388"/>
      <c r="O446" s="1388"/>
      <c r="P446" s="1388"/>
      <c r="Q446" s="1388"/>
      <c r="R446" s="1388"/>
      <c r="S446" s="1388"/>
      <c r="T446" s="1388"/>
      <c r="U446" s="1388"/>
      <c r="V446" s="1388"/>
      <c r="W446" s="1388"/>
      <c r="X446" s="1388"/>
      <c r="Y446" s="1388"/>
      <c r="Z446" s="1388"/>
      <c r="AA446" s="1388"/>
      <c r="AB446" s="1388"/>
      <c r="AC446" s="1388"/>
      <c r="AD446" s="1388"/>
      <c r="AE446" s="1388"/>
      <c r="AF446" s="1832"/>
      <c r="AG446" s="1824">
        <v>5112</v>
      </c>
      <c r="AH446" s="1824"/>
      <c r="AI446" s="1824"/>
      <c r="AJ446" s="18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387" t="s">
        <v>577</v>
      </c>
      <c r="E447" s="1388"/>
      <c r="F447" s="1388"/>
      <c r="G447" s="1388"/>
      <c r="H447" s="1388"/>
      <c r="I447" s="1388"/>
      <c r="J447" s="1388"/>
      <c r="K447" s="1388"/>
      <c r="L447" s="1388"/>
      <c r="M447" s="1388"/>
      <c r="N447" s="1388"/>
      <c r="O447" s="1388"/>
      <c r="P447" s="1388"/>
      <c r="Q447" s="1388"/>
      <c r="R447" s="1388"/>
      <c r="S447" s="1388"/>
      <c r="T447" s="1388"/>
      <c r="U447" s="1388"/>
      <c r="V447" s="1388"/>
      <c r="W447" s="1388"/>
      <c r="X447" s="1388"/>
      <c r="Y447" s="1388"/>
      <c r="Z447" s="1388"/>
      <c r="AA447" s="1388"/>
      <c r="AB447" s="1388"/>
      <c r="AC447" s="1388"/>
      <c r="AD447" s="1388"/>
      <c r="AE447" s="1388"/>
      <c r="AF447" s="1832"/>
      <c r="AG447" s="1824">
        <v>0</v>
      </c>
      <c r="AH447" s="1824"/>
      <c r="AI447" s="1824"/>
      <c r="AJ447" s="18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2" t="s">
        <v>1311</v>
      </c>
      <c r="E448" s="1388"/>
      <c r="F448" s="1388"/>
      <c r="G448" s="1388"/>
      <c r="H448" s="1388"/>
      <c r="I448" s="1388"/>
      <c r="J448" s="1388"/>
      <c r="K448" s="1388"/>
      <c r="L448" s="1388"/>
      <c r="M448" s="1388"/>
      <c r="N448" s="1388"/>
      <c r="O448" s="1388"/>
      <c r="P448" s="1388"/>
      <c r="Q448" s="1388"/>
      <c r="R448" s="1388"/>
      <c r="S448" s="1388"/>
      <c r="T448" s="1388"/>
      <c r="U448" s="1388"/>
      <c r="V448" s="1388"/>
      <c r="W448" s="1388"/>
      <c r="X448" s="1388"/>
      <c r="Y448" s="1388"/>
      <c r="Z448" s="1388"/>
      <c r="AA448" s="1388"/>
      <c r="AB448" s="1388"/>
      <c r="AC448" s="1388"/>
      <c r="AD448" s="1388"/>
      <c r="AE448" s="1388"/>
      <c r="AF448" s="1832"/>
      <c r="AG448" s="1824">
        <f>20608+861-5112</f>
        <v>16357</v>
      </c>
      <c r="AH448" s="1824"/>
      <c r="AI448" s="1824"/>
      <c r="AJ448" s="18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2" t="s">
        <v>1062</v>
      </c>
      <c r="E449" s="1388"/>
      <c r="F449" s="1388"/>
      <c r="G449" s="1388"/>
      <c r="H449" s="1388"/>
      <c r="I449" s="1388"/>
      <c r="J449" s="1388"/>
      <c r="K449" s="1388"/>
      <c r="L449" s="1388"/>
      <c r="M449" s="1388"/>
      <c r="N449" s="1388"/>
      <c r="O449" s="1388"/>
      <c r="P449" s="1388"/>
      <c r="Q449" s="1388"/>
      <c r="R449" s="1388"/>
      <c r="S449" s="1388"/>
      <c r="T449" s="1388"/>
      <c r="U449" s="1388"/>
      <c r="V449" s="1388"/>
      <c r="W449" s="1388"/>
      <c r="X449" s="1388"/>
      <c r="Y449" s="1388"/>
      <c r="Z449" s="1388"/>
      <c r="AA449" s="1388"/>
      <c r="AB449" s="1388"/>
      <c r="AC449" s="1388"/>
      <c r="AD449" s="1388"/>
      <c r="AE449" s="1388"/>
      <c r="AF449" s="1832"/>
      <c r="AG449" s="1824">
        <v>0</v>
      </c>
      <c r="AH449" s="1824"/>
      <c r="AI449" s="1824"/>
      <c r="AJ449" s="18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27" t="s">
        <v>1063</v>
      </c>
      <c r="E450" s="1828"/>
      <c r="F450" s="1828"/>
      <c r="G450" s="1828"/>
      <c r="H450" s="1828"/>
      <c r="I450" s="1828"/>
      <c r="J450" s="1828"/>
      <c r="K450" s="1828"/>
      <c r="L450" s="1828"/>
      <c r="M450" s="1828"/>
      <c r="N450" s="1828"/>
      <c r="O450" s="1828"/>
      <c r="P450" s="1828"/>
      <c r="Q450" s="1828"/>
      <c r="R450" s="1828"/>
      <c r="S450" s="1828"/>
      <c r="T450" s="1828"/>
      <c r="U450" s="1828"/>
      <c r="V450" s="1828"/>
      <c r="W450" s="1828"/>
      <c r="X450" s="1828"/>
      <c r="Y450" s="1828"/>
      <c r="Z450" s="1828"/>
      <c r="AA450" s="1828"/>
      <c r="AB450" s="1828"/>
      <c r="AC450" s="1828"/>
      <c r="AD450" s="1828"/>
      <c r="AE450" s="1828"/>
      <c r="AF450" s="1829"/>
      <c r="AG450" s="1839">
        <f>AG442+AG446+AG448+AG449</f>
        <v>76483</v>
      </c>
      <c r="AH450" s="1839"/>
      <c r="AI450" s="1839"/>
      <c r="AJ450" s="183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07" t="s">
        <v>1312</v>
      </c>
      <c r="E451" s="1807"/>
      <c r="F451" s="1807"/>
      <c r="G451" s="1807"/>
      <c r="H451" s="1807"/>
      <c r="I451" s="1807"/>
      <c r="J451" s="1807"/>
      <c r="K451" s="1807"/>
      <c r="L451" s="1807"/>
      <c r="M451" s="1807"/>
      <c r="N451" s="1807"/>
      <c r="O451" s="1807"/>
      <c r="P451" s="1807"/>
      <c r="Q451" s="1807"/>
      <c r="R451" s="1807"/>
      <c r="S451" s="1807"/>
      <c r="T451" s="1807"/>
      <c r="U451" s="1807"/>
      <c r="V451" s="1807"/>
      <c r="W451" s="1807"/>
      <c r="X451" s="1807"/>
      <c r="Y451" s="1807"/>
      <c r="Z451" s="1807"/>
      <c r="AA451" s="1807"/>
      <c r="AB451" s="1807"/>
      <c r="AC451" s="1807"/>
      <c r="AD451" s="1807"/>
      <c r="AE451" s="1807"/>
      <c r="AF451" s="1807"/>
      <c r="AG451" s="1807"/>
      <c r="AH451" s="1807"/>
      <c r="AI451" s="1807"/>
      <c r="AJ451" s="180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08"/>
      <c r="E452" s="1808"/>
      <c r="F452" s="1808"/>
      <c r="G452" s="1808"/>
      <c r="H452" s="1808"/>
      <c r="I452" s="1808"/>
      <c r="J452" s="1808"/>
      <c r="K452" s="1808"/>
      <c r="L452" s="1808"/>
      <c r="M452" s="1808"/>
      <c r="N452" s="1808"/>
      <c r="O452" s="1808"/>
      <c r="P452" s="1808"/>
      <c r="Q452" s="1808"/>
      <c r="R452" s="1808"/>
      <c r="S452" s="1808"/>
      <c r="T452" s="1808"/>
      <c r="U452" s="1808"/>
      <c r="V452" s="1808"/>
      <c r="W452" s="1808"/>
      <c r="X452" s="1808"/>
      <c r="Y452" s="1808"/>
      <c r="Z452" s="1808"/>
      <c r="AA452" s="1808"/>
      <c r="AB452" s="1808"/>
      <c r="AC452" s="1808"/>
      <c r="AD452" s="1808"/>
      <c r="AE452" s="1808"/>
      <c r="AF452" s="1808"/>
      <c r="AG452" s="1808"/>
      <c r="AH452" s="1808"/>
      <c r="AI452" s="1808"/>
      <c r="AJ452" s="180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25">
        <f>IF(AG437=0,"",'Sources and Uses Budget'!B105/Application!AG437)</f>
        <v>643110.68376068375</v>
      </c>
      <c r="AD454" s="1825"/>
      <c r="AE454" s="1825"/>
      <c r="AF454" s="1825"/>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25">
        <f>IF(AG437=0,"",'Sources and Uses Budget'!C105/Application!AG437)</f>
        <v>643110.68376068375</v>
      </c>
      <c r="AD455" s="1825"/>
      <c r="AE455" s="1825"/>
      <c r="AF455" s="1825"/>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25">
        <f>IF(AG437=0,"",('Sources and Uses Budget'!$S$107+'Sources and Uses Budget'!$T$107)/Application!AG437)</f>
        <v>626435.47008547012</v>
      </c>
      <c r="AD456" s="1825"/>
      <c r="AE456" s="1825"/>
      <c r="AF456" s="1825"/>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5" t="str">
        <f>IFERROR(IF(AC454&gt;650000,"Please provide a justification of cost per unit in Tab 12 for all projects with per unit costs of greater than $650,000.",""),"")</f>
        <v/>
      </c>
      <c r="G457" s="1445"/>
      <c r="H457" s="1445"/>
      <c r="I457" s="1445"/>
      <c r="J457" s="1445"/>
      <c r="K457" s="1445"/>
      <c r="L457" s="1445"/>
      <c r="M457" s="1445"/>
      <c r="N457" s="1445"/>
      <c r="O457" s="1445"/>
      <c r="P457" s="1445"/>
      <c r="Q457" s="1445"/>
      <c r="R457" s="1445"/>
      <c r="S457" s="1445"/>
      <c r="T457" s="1445"/>
      <c r="U457" s="1445"/>
      <c r="V457" s="1445"/>
      <c r="W457" s="1445"/>
      <c r="X457" s="1445"/>
      <c r="Y457" s="1445"/>
      <c r="Z457" s="1445"/>
      <c r="AA457" s="1445"/>
      <c r="AB457" s="144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5"/>
      <c r="G458" s="1445"/>
      <c r="H458" s="1445"/>
      <c r="I458" s="1445"/>
      <c r="J458" s="1445"/>
      <c r="K458" s="1445"/>
      <c r="L458" s="1445"/>
      <c r="M458" s="1445"/>
      <c r="N458" s="1445"/>
      <c r="O458" s="1445"/>
      <c r="P458" s="1445"/>
      <c r="Q458" s="1445"/>
      <c r="R458" s="1445"/>
      <c r="S458" s="1445"/>
      <c r="T458" s="1445"/>
      <c r="U458" s="1445"/>
      <c r="V458" s="1445"/>
      <c r="W458" s="1445"/>
      <c r="X458" s="1445"/>
      <c r="Y458" s="1445"/>
      <c r="Z458" s="1445"/>
      <c r="AA458" s="1445"/>
      <c r="AB458" s="144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12" t="s">
        <v>2416</v>
      </c>
      <c r="E465" s="1768"/>
      <c r="F465" s="1768"/>
      <c r="G465" s="1768"/>
      <c r="H465" s="1768"/>
      <c r="I465" s="1768"/>
      <c r="J465" s="1768"/>
      <c r="K465" s="1768"/>
      <c r="L465" s="1768"/>
      <c r="M465" s="1768"/>
      <c r="N465" s="1768"/>
      <c r="O465" s="1768"/>
      <c r="P465" s="1768"/>
      <c r="Q465" s="1768"/>
      <c r="R465" s="1768"/>
      <c r="S465" s="1768"/>
      <c r="T465" s="1768"/>
      <c r="U465" s="1768"/>
      <c r="V465" s="1769"/>
      <c r="W465" s="1771">
        <v>58</v>
      </c>
      <c r="X465" s="1772"/>
      <c r="Y465" s="1773"/>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67" t="s">
        <v>702</v>
      </c>
      <c r="E466" s="1768"/>
      <c r="F466" s="1768"/>
      <c r="G466" s="1768"/>
      <c r="H466" s="1768"/>
      <c r="I466" s="1768"/>
      <c r="J466" s="1768"/>
      <c r="K466" s="1768"/>
      <c r="L466" s="1768"/>
      <c r="M466" s="1768"/>
      <c r="N466" s="1768"/>
      <c r="O466" s="1768"/>
      <c r="P466" s="1768"/>
      <c r="Q466" s="1768"/>
      <c r="R466" s="1768"/>
      <c r="S466" s="1768"/>
      <c r="T466" s="1768"/>
      <c r="U466" s="1768"/>
      <c r="V466" s="1769"/>
      <c r="W466" s="1771">
        <v>0</v>
      </c>
      <c r="X466" s="1772"/>
      <c r="Y466" s="1773"/>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67" t="s">
        <v>703</v>
      </c>
      <c r="E467" s="1768"/>
      <c r="F467" s="1768"/>
      <c r="G467" s="1768"/>
      <c r="H467" s="1768"/>
      <c r="I467" s="1768"/>
      <c r="J467" s="1768"/>
      <c r="K467" s="1768"/>
      <c r="L467" s="1768"/>
      <c r="M467" s="1768"/>
      <c r="N467" s="1768"/>
      <c r="O467" s="1768"/>
      <c r="P467" s="1768"/>
      <c r="Q467" s="1768"/>
      <c r="R467" s="1768"/>
      <c r="S467" s="1768"/>
      <c r="T467" s="1768"/>
      <c r="U467" s="1768"/>
      <c r="V467" s="1769"/>
      <c r="W467" s="1771">
        <v>0</v>
      </c>
      <c r="X467" s="1772"/>
      <c r="Y467" s="1773"/>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67" t="s">
        <v>704</v>
      </c>
      <c r="E468" s="1768"/>
      <c r="F468" s="1768"/>
      <c r="G468" s="1768"/>
      <c r="H468" s="1768"/>
      <c r="I468" s="1768"/>
      <c r="J468" s="1768"/>
      <c r="K468" s="1768"/>
      <c r="L468" s="1768"/>
      <c r="M468" s="1768"/>
      <c r="N468" s="1768"/>
      <c r="O468" s="1768"/>
      <c r="P468" s="1768"/>
      <c r="Q468" s="1768"/>
      <c r="R468" s="1768"/>
      <c r="S468" s="1768"/>
      <c r="T468" s="1768"/>
      <c r="U468" s="1768"/>
      <c r="V468" s="1769"/>
      <c r="W468" s="1771">
        <v>0</v>
      </c>
      <c r="X468" s="1772"/>
      <c r="Y468" s="1773"/>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67" t="s">
        <v>893</v>
      </c>
      <c r="E469" s="1768"/>
      <c r="F469" s="1768"/>
      <c r="G469" s="1768"/>
      <c r="H469" s="1768"/>
      <c r="I469" s="1768"/>
      <c r="J469" s="1768"/>
      <c r="K469" s="1768"/>
      <c r="L469" s="1768"/>
      <c r="M469" s="1768"/>
      <c r="N469" s="1768"/>
      <c r="O469" s="1768"/>
      <c r="P469" s="1768"/>
      <c r="Q469" s="1768"/>
      <c r="R469" s="1768"/>
      <c r="S469" s="1768"/>
      <c r="T469" s="1768"/>
      <c r="U469" s="1768"/>
      <c r="V469" s="1769"/>
      <c r="W469" s="1771">
        <v>0</v>
      </c>
      <c r="X469" s="1772"/>
      <c r="Y469" s="1773"/>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67" t="s">
        <v>705</v>
      </c>
      <c r="E470" s="1768"/>
      <c r="F470" s="1768"/>
      <c r="G470" s="1768"/>
      <c r="H470" s="1768"/>
      <c r="I470" s="1768"/>
      <c r="J470" s="1768"/>
      <c r="K470" s="1768"/>
      <c r="L470" s="1768"/>
      <c r="M470" s="1768"/>
      <c r="N470" s="1768"/>
      <c r="O470" s="1768"/>
      <c r="P470" s="1768"/>
      <c r="Q470" s="1768"/>
      <c r="R470" s="1768"/>
      <c r="S470" s="1768"/>
      <c r="T470" s="1768"/>
      <c r="U470" s="1768"/>
      <c r="V470" s="1769"/>
      <c r="W470" s="1771">
        <v>0</v>
      </c>
      <c r="X470" s="1772"/>
      <c r="Y470" s="1773"/>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67" t="s">
        <v>1036</v>
      </c>
      <c r="E471" s="1768"/>
      <c r="F471" s="1768"/>
      <c r="G471" s="1768"/>
      <c r="H471" s="1768"/>
      <c r="I471" s="1768"/>
      <c r="J471" s="1768"/>
      <c r="K471" s="1768"/>
      <c r="L471" s="1768"/>
      <c r="M471" s="1768"/>
      <c r="N471" s="1768"/>
      <c r="O471" s="1768"/>
      <c r="P471" s="1768"/>
      <c r="Q471" s="1768"/>
      <c r="R471" s="1768"/>
      <c r="S471" s="1768"/>
      <c r="T471" s="1768"/>
      <c r="U471" s="1768"/>
      <c r="V471" s="1769"/>
      <c r="W471" s="1771">
        <v>0</v>
      </c>
      <c r="X471" s="1772"/>
      <c r="Y471" s="1773"/>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12" t="s">
        <v>2551</v>
      </c>
      <c r="E472" s="1869"/>
      <c r="F472" s="1869"/>
      <c r="G472" s="1869"/>
      <c r="H472" s="1869"/>
      <c r="I472" s="1869"/>
      <c r="J472" s="1869"/>
      <c r="K472" s="1869"/>
      <c r="L472" s="1869"/>
      <c r="M472" s="1869"/>
      <c r="N472" s="1869"/>
      <c r="O472" s="1869"/>
      <c r="P472" s="1869"/>
      <c r="Q472" s="1869"/>
      <c r="R472" s="1869"/>
      <c r="S472" s="1869"/>
      <c r="T472" s="1869"/>
      <c r="U472" s="1869"/>
      <c r="V472" s="1870"/>
      <c r="W472" s="1771">
        <v>0</v>
      </c>
      <c r="X472" s="1772"/>
      <c r="Y472" s="1773"/>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12" t="s">
        <v>1765</v>
      </c>
      <c r="E473" s="1768"/>
      <c r="F473" s="1768"/>
      <c r="G473" s="1768"/>
      <c r="H473" s="1768"/>
      <c r="I473" s="1768"/>
      <c r="J473" s="1768"/>
      <c r="K473" s="1768"/>
      <c r="L473" s="1768"/>
      <c r="M473" s="1768"/>
      <c r="N473" s="1768"/>
      <c r="O473" s="1768"/>
      <c r="P473" s="1768"/>
      <c r="Q473" s="1768"/>
      <c r="R473" s="1768"/>
      <c r="S473" s="1768"/>
      <c r="T473" s="1768"/>
      <c r="U473" s="1768"/>
      <c r="V473" s="1769"/>
      <c r="W473" s="1771">
        <v>29</v>
      </c>
      <c r="X473" s="1772"/>
      <c r="Y473" s="1773"/>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3" t="s">
        <v>2769</v>
      </c>
      <c r="H474" s="1814"/>
      <c r="I474" s="1814"/>
      <c r="J474" s="1814"/>
      <c r="K474" s="1814"/>
      <c r="L474" s="1814"/>
      <c r="M474" s="1814"/>
      <c r="N474" s="1814"/>
      <c r="O474" s="1814"/>
      <c r="P474" s="1814"/>
      <c r="Q474" s="1814"/>
      <c r="R474" s="1814"/>
      <c r="S474" s="1814"/>
      <c r="T474" s="1814"/>
      <c r="U474" s="1814"/>
      <c r="V474" s="1815"/>
      <c r="W474" s="1771">
        <v>58</v>
      </c>
      <c r="X474" s="1772"/>
      <c r="Y474" s="1773"/>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2771</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12" t="s">
        <v>819</v>
      </c>
      <c r="B480" s="1412"/>
      <c r="C480" s="1412"/>
      <c r="D480" s="1412"/>
      <c r="E480" s="1412"/>
      <c r="F480" s="1412"/>
      <c r="G480" s="1412"/>
      <c r="H480" s="1412"/>
      <c r="I480" s="1412"/>
      <c r="J480" s="1412"/>
      <c r="K480" s="1412"/>
      <c r="L480" s="1412"/>
      <c r="M480" s="1412"/>
      <c r="N480" s="1412"/>
      <c r="O480" s="1412"/>
      <c r="P480" s="1412"/>
      <c r="Q480" s="1412"/>
      <c r="R480" s="1412"/>
      <c r="S480" s="1412"/>
      <c r="T480" s="1412"/>
      <c r="U480" s="1412"/>
      <c r="V480" s="1412"/>
      <c r="W480" s="1412"/>
      <c r="X480" s="1412"/>
      <c r="Y480" s="1412"/>
      <c r="Z480" s="1412"/>
      <c r="AA480" s="1412"/>
      <c r="AB480" s="1412"/>
      <c r="AC480" s="1412"/>
      <c r="AD480" s="1412"/>
      <c r="AE480" s="1412"/>
      <c r="AF480" s="1412"/>
      <c r="AG480" s="1412"/>
      <c r="AH480" s="1412"/>
      <c r="AI480" s="1412"/>
      <c r="AJ480" s="1412"/>
      <c r="AK480" s="1412"/>
      <c r="AL480" s="1412"/>
      <c r="AM480" s="1412"/>
      <c r="AN480" s="1412"/>
      <c r="AO480" s="1412"/>
      <c r="AP480" s="1412"/>
      <c r="AQ480" s="1412"/>
      <c r="AR480" s="1412"/>
      <c r="AS480" s="1412"/>
      <c r="AT480" s="141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12"/>
      <c r="B481" s="1412"/>
      <c r="C481" s="1412"/>
      <c r="D481" s="1412"/>
      <c r="E481" s="1412"/>
      <c r="F481" s="1412"/>
      <c r="G481" s="1412"/>
      <c r="H481" s="1412"/>
      <c r="I481" s="1412"/>
      <c r="J481" s="1412"/>
      <c r="K481" s="1412"/>
      <c r="L481" s="1412"/>
      <c r="M481" s="1412"/>
      <c r="N481" s="1412"/>
      <c r="O481" s="1412"/>
      <c r="P481" s="1412"/>
      <c r="Q481" s="1412"/>
      <c r="R481" s="1412"/>
      <c r="S481" s="1412"/>
      <c r="T481" s="1412"/>
      <c r="U481" s="1412"/>
      <c r="V481" s="1412"/>
      <c r="W481" s="1412"/>
      <c r="X481" s="1412"/>
      <c r="Y481" s="1412"/>
      <c r="Z481" s="1412"/>
      <c r="AA481" s="1412"/>
      <c r="AB481" s="1412"/>
      <c r="AC481" s="1412"/>
      <c r="AD481" s="1412"/>
      <c r="AE481" s="1412"/>
      <c r="AF481" s="1412"/>
      <c r="AG481" s="1412"/>
      <c r="AH481" s="1412"/>
      <c r="AI481" s="1412"/>
      <c r="AJ481" s="1412"/>
      <c r="AK481" s="1412"/>
      <c r="AL481" s="1412"/>
      <c r="AM481" s="1412"/>
      <c r="AN481" s="1412"/>
      <c r="AO481" s="1412"/>
      <c r="AP481" s="1412"/>
      <c r="AQ481" s="1412"/>
      <c r="AR481" s="1412"/>
      <c r="AS481" s="1412"/>
      <c r="AT481" s="141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01" t="s">
        <v>394</v>
      </c>
      <c r="R485" s="1702"/>
      <c r="S485" s="1702"/>
      <c r="T485" s="1702"/>
      <c r="U485" s="1702"/>
      <c r="V485" s="1702"/>
      <c r="W485" s="1702"/>
      <c r="X485" s="1702"/>
      <c r="Y485" s="1702"/>
      <c r="Z485" s="1702"/>
      <c r="AA485" s="1702"/>
      <c r="AB485" s="1702"/>
      <c r="AC485" s="1702"/>
      <c r="AD485" s="1702"/>
      <c r="AE485" s="1702"/>
      <c r="AF485" s="1702"/>
      <c r="AG485" s="1702"/>
      <c r="AH485" s="1702"/>
      <c r="AI485" s="1702"/>
      <c r="AJ485" s="1702"/>
      <c r="AK485" s="170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9" t="s">
        <v>2683</v>
      </c>
      <c r="R486" s="1417"/>
      <c r="S486" s="1417"/>
      <c r="T486" s="1417"/>
      <c r="U486" s="1417"/>
      <c r="V486" s="1417"/>
      <c r="W486" s="1417"/>
      <c r="X486" s="1417"/>
      <c r="Y486" s="1417"/>
      <c r="Z486" s="1417"/>
      <c r="AA486" s="1417"/>
      <c r="AB486" s="1417"/>
      <c r="AC486" s="1417"/>
      <c r="AD486" s="1417"/>
      <c r="AE486" s="1417"/>
      <c r="AF486" s="1417"/>
      <c r="AG486" s="1417"/>
      <c r="AH486" s="1417"/>
      <c r="AI486" s="1417"/>
      <c r="AJ486" s="1417"/>
      <c r="AK486" s="170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9" t="s">
        <v>2682</v>
      </c>
      <c r="R487" s="1417"/>
      <c r="S487" s="1417"/>
      <c r="T487" s="1417"/>
      <c r="U487" s="1417"/>
      <c r="V487" s="1417"/>
      <c r="W487" s="1417"/>
      <c r="X487" s="1417"/>
      <c r="Y487" s="1417"/>
      <c r="Z487" s="1417"/>
      <c r="AA487" s="1417"/>
      <c r="AB487" s="1417"/>
      <c r="AC487" s="1417"/>
      <c r="AD487" s="1417"/>
      <c r="AE487" s="1417"/>
      <c r="AF487" s="1417"/>
      <c r="AG487" s="1417"/>
      <c r="AH487" s="1417"/>
      <c r="AI487" s="1417"/>
      <c r="AJ487" s="1417"/>
      <c r="AK487" s="1700"/>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9" t="s">
        <v>599</v>
      </c>
      <c r="R488" s="1417"/>
      <c r="S488" s="1417"/>
      <c r="T488" s="1417"/>
      <c r="U488" s="1417"/>
      <c r="V488" s="1417"/>
      <c r="W488" s="1417"/>
      <c r="X488" s="1417"/>
      <c r="Y488" s="1417"/>
      <c r="Z488" s="1417"/>
      <c r="AA488" s="1417"/>
      <c r="AB488" s="1417"/>
      <c r="AC488" s="1417"/>
      <c r="AD488" s="1417"/>
      <c r="AE488" s="1417"/>
      <c r="AF488" s="1417"/>
      <c r="AG488" s="1417"/>
      <c r="AH488" s="1417"/>
      <c r="AI488" s="1417"/>
      <c r="AJ488" s="1417"/>
      <c r="AK488" s="170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63" t="s">
        <v>398</v>
      </c>
      <c r="C489" s="1864"/>
      <c r="D489" s="1864"/>
      <c r="E489" s="1864"/>
      <c r="F489" s="1864"/>
      <c r="G489" s="1864"/>
      <c r="H489" s="1864"/>
      <c r="I489" s="1864"/>
      <c r="J489" s="1864"/>
      <c r="K489" s="1864"/>
      <c r="L489" s="1864"/>
      <c r="M489" s="1864"/>
      <c r="N489" s="1864"/>
      <c r="O489" s="1864"/>
      <c r="P489" s="1865"/>
      <c r="Q489" s="1847" t="s">
        <v>677</v>
      </c>
      <c r="R489" s="1848"/>
      <c r="S489" s="1852" t="s">
        <v>166</v>
      </c>
      <c r="T489" s="1853"/>
      <c r="U489" s="1853"/>
      <c r="V489" s="1853"/>
      <c r="W489" s="1853"/>
      <c r="X489" s="1853"/>
      <c r="Y489" s="1853"/>
      <c r="Z489" s="1853"/>
      <c r="AA489" s="1853"/>
      <c r="AB489" s="1853"/>
      <c r="AC489" s="1853"/>
      <c r="AD489" s="1853"/>
      <c r="AE489" s="1853"/>
      <c r="AF489" s="1853"/>
      <c r="AG489" s="1853"/>
      <c r="AH489" s="1853"/>
      <c r="AI489" s="1853"/>
      <c r="AJ489" s="1853"/>
      <c r="AK489" s="1854"/>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66"/>
      <c r="C490" s="1867"/>
      <c r="D490" s="1867"/>
      <c r="E490" s="1867"/>
      <c r="F490" s="1867"/>
      <c r="G490" s="1867"/>
      <c r="H490" s="1867"/>
      <c r="I490" s="1867"/>
      <c r="J490" s="1867"/>
      <c r="K490" s="1867"/>
      <c r="L490" s="1867"/>
      <c r="M490" s="1867"/>
      <c r="N490" s="1867"/>
      <c r="O490" s="1867"/>
      <c r="P490" s="1868"/>
      <c r="Q490" s="1849"/>
      <c r="R490" s="1850"/>
      <c r="S490" s="1855"/>
      <c r="T490" s="1796"/>
      <c r="U490" s="1796"/>
      <c r="V490" s="1796"/>
      <c r="W490" s="1796"/>
      <c r="X490" s="1796"/>
      <c r="Y490" s="1796"/>
      <c r="Z490" s="1796"/>
      <c r="AA490" s="1796"/>
      <c r="AB490" s="1796"/>
      <c r="AC490" s="1796"/>
      <c r="AD490" s="1796"/>
      <c r="AE490" s="1796"/>
      <c r="AF490" s="1796"/>
      <c r="AG490" s="1796"/>
      <c r="AH490" s="1796"/>
      <c r="AI490" s="1796"/>
      <c r="AJ490" s="1796"/>
      <c r="AK490" s="1856"/>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9" t="s">
        <v>677</v>
      </c>
      <c r="R491" s="1860"/>
      <c r="S491" s="1860"/>
      <c r="T491" s="1860"/>
      <c r="U491" s="1860"/>
      <c r="V491" s="1860"/>
      <c r="W491" s="1860"/>
      <c r="X491" s="1860"/>
      <c r="Y491" s="1860"/>
      <c r="Z491" s="1860"/>
      <c r="AA491" s="1860"/>
      <c r="AB491" s="1860"/>
      <c r="AC491" s="1860"/>
      <c r="AD491" s="1860"/>
      <c r="AE491" s="1860"/>
      <c r="AF491" s="1860"/>
      <c r="AG491" s="1860"/>
      <c r="AH491" s="1860"/>
      <c r="AI491" s="1860"/>
      <c r="AJ491" s="1860"/>
      <c r="AK491" s="186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9" t="s">
        <v>2684</v>
      </c>
      <c r="R492" s="1417"/>
      <c r="S492" s="1417"/>
      <c r="T492" s="1417"/>
      <c r="U492" s="1417"/>
      <c r="V492" s="1417"/>
      <c r="W492" s="1417"/>
      <c r="X492" s="1417"/>
      <c r="Y492" s="1417"/>
      <c r="Z492" s="1417"/>
      <c r="AA492" s="1417"/>
      <c r="AB492" s="1417"/>
      <c r="AC492" s="1417"/>
      <c r="AD492" s="1417"/>
      <c r="AE492" s="1417"/>
      <c r="AF492" s="1417"/>
      <c r="AG492" s="1417"/>
      <c r="AH492" s="1417"/>
      <c r="AI492" s="1417"/>
      <c r="AJ492" s="1417"/>
      <c r="AK492" s="170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9">
        <v>0</v>
      </c>
      <c r="R493" s="1417"/>
      <c r="S493" s="1417"/>
      <c r="T493" s="1417"/>
      <c r="U493" s="1417"/>
      <c r="V493" s="1417"/>
      <c r="W493" s="1417"/>
      <c r="X493" s="1417"/>
      <c r="Y493" s="1417"/>
      <c r="Z493" s="1417"/>
      <c r="AA493" s="1417"/>
      <c r="AB493" s="1417"/>
      <c r="AC493" s="1417"/>
      <c r="AD493" s="1417"/>
      <c r="AE493" s="1417"/>
      <c r="AF493" s="1417"/>
      <c r="AG493" s="1417"/>
      <c r="AH493" s="1417"/>
      <c r="AI493" s="1417"/>
      <c r="AJ493" s="1417"/>
      <c r="AK493" s="170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99">
        <v>120</v>
      </c>
      <c r="R494" s="1417"/>
      <c r="S494" s="1417"/>
      <c r="T494" s="1417"/>
      <c r="U494" s="1417"/>
      <c r="V494" s="1417"/>
      <c r="W494" s="1417"/>
      <c r="X494" s="1417"/>
      <c r="Y494" s="1417"/>
      <c r="Z494" s="1417"/>
      <c r="AA494" s="1417"/>
      <c r="AB494" s="1417"/>
      <c r="AC494" s="1417"/>
      <c r="AD494" s="1417"/>
      <c r="AE494" s="1417"/>
      <c r="AF494" s="1417"/>
      <c r="AG494" s="1417"/>
      <c r="AH494" s="1417"/>
      <c r="AI494" s="1417"/>
      <c r="AJ494" s="1417"/>
      <c r="AK494" s="170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75"/>
      <c r="N495" s="1476"/>
      <c r="O495" s="1476"/>
      <c r="P495" s="1477"/>
      <c r="Q495" s="121" t="s">
        <v>1782</v>
      </c>
      <c r="R495" s="5"/>
      <c r="S495" s="5"/>
      <c r="T495" s="5"/>
      <c r="U495" s="5"/>
      <c r="V495" s="5"/>
      <c r="W495" s="5"/>
      <c r="X495" s="5"/>
      <c r="Y495" s="5"/>
      <c r="Z495" s="5"/>
      <c r="AA495" s="5"/>
      <c r="AB495" s="5"/>
      <c r="AC495" s="5"/>
      <c r="AD495" s="5"/>
      <c r="AE495" s="5"/>
      <c r="AF495" s="5"/>
      <c r="AG495" s="5"/>
      <c r="AH495" s="1475">
        <v>120</v>
      </c>
      <c r="AI495" s="1476"/>
      <c r="AJ495" s="1476"/>
      <c r="AK495" s="147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1" t="s">
        <v>402</v>
      </c>
      <c r="AD499" s="1702"/>
      <c r="AE499" s="1702"/>
      <c r="AF499" s="1702"/>
      <c r="AG499" s="1702"/>
      <c r="AH499" s="1702"/>
      <c r="AI499" s="1702"/>
      <c r="AJ499" s="1702"/>
      <c r="AK499" s="170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1" t="s">
        <v>403</v>
      </c>
      <c r="AD500" s="1702"/>
      <c r="AE500" s="1702"/>
      <c r="AF500" s="1702"/>
      <c r="AG500" s="50" t="s">
        <v>404</v>
      </c>
      <c r="AH500" s="1702" t="s">
        <v>405</v>
      </c>
      <c r="AI500" s="1702"/>
      <c r="AJ500" s="1702"/>
      <c r="AK500" s="170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3" t="s">
        <v>406</v>
      </c>
      <c r="C501" s="1525"/>
      <c r="D501" s="1525"/>
      <c r="E501" s="1525"/>
      <c r="F501" s="1525"/>
      <c r="G501" s="1525"/>
      <c r="H501" s="1526"/>
      <c r="I501" s="42" t="s">
        <v>407</v>
      </c>
      <c r="J501" s="42"/>
      <c r="K501" s="42"/>
      <c r="L501" s="42"/>
      <c r="M501" s="42"/>
      <c r="N501" s="42"/>
      <c r="O501" s="42"/>
      <c r="P501" s="42"/>
      <c r="Q501" s="42"/>
      <c r="R501" s="42"/>
      <c r="S501" s="42"/>
      <c r="T501" s="42"/>
      <c r="U501" s="42"/>
      <c r="V501" s="42"/>
      <c r="W501" s="42"/>
      <c r="AC501" s="1691" t="s">
        <v>599</v>
      </c>
      <c r="AD501" s="1692"/>
      <c r="AE501" s="1692"/>
      <c r="AF501" s="1692"/>
      <c r="AG501" s="13" t="s">
        <v>404</v>
      </c>
      <c r="AH501" s="1456"/>
      <c r="AI501" s="1456"/>
      <c r="AJ501" s="1456"/>
      <c r="AK501" s="145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4"/>
      <c r="C502" s="1527"/>
      <c r="D502" s="1527"/>
      <c r="E502" s="1527"/>
      <c r="F502" s="1527"/>
      <c r="G502" s="1527"/>
      <c r="H502" s="1528"/>
      <c r="I502" s="48" t="s">
        <v>408</v>
      </c>
      <c r="J502" s="48"/>
      <c r="K502" s="48"/>
      <c r="L502" s="48"/>
      <c r="M502" s="48"/>
      <c r="N502" s="48"/>
      <c r="O502" s="48"/>
      <c r="P502" s="48"/>
      <c r="Q502" s="48"/>
      <c r="R502" s="48"/>
      <c r="S502" s="48"/>
      <c r="T502" s="48"/>
      <c r="U502" s="48"/>
      <c r="V502" s="48"/>
      <c r="W502" s="48"/>
      <c r="X502" s="48"/>
      <c r="Y502" s="48"/>
      <c r="Z502" s="48"/>
      <c r="AA502" s="48"/>
      <c r="AB502" s="48"/>
      <c r="AC502" s="1691">
        <v>6</v>
      </c>
      <c r="AD502" s="1692"/>
      <c r="AE502" s="1692"/>
      <c r="AF502" s="1692"/>
      <c r="AG502" s="38" t="s">
        <v>404</v>
      </c>
      <c r="AH502" s="1456">
        <v>2025</v>
      </c>
      <c r="AI502" s="1456"/>
      <c r="AJ502" s="1456"/>
      <c r="AK502" s="145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3" t="s">
        <v>409</v>
      </c>
      <c r="C503" s="1525"/>
      <c r="D503" s="1525"/>
      <c r="E503" s="1525"/>
      <c r="F503" s="1525"/>
      <c r="G503" s="1525"/>
      <c r="H503" s="1526"/>
      <c r="I503" s="42" t="s">
        <v>410</v>
      </c>
      <c r="J503" s="42"/>
      <c r="K503" s="42"/>
      <c r="L503" s="42"/>
      <c r="M503" s="42"/>
      <c r="N503" s="42"/>
      <c r="O503" s="42"/>
      <c r="P503" s="42"/>
      <c r="Q503" s="42"/>
      <c r="R503" s="42"/>
      <c r="S503" s="42"/>
      <c r="T503" s="42"/>
      <c r="U503" s="42"/>
      <c r="V503" s="42"/>
      <c r="W503" s="42"/>
      <c r="AC503" s="1691" t="s">
        <v>599</v>
      </c>
      <c r="AD503" s="1692"/>
      <c r="AE503" s="1692"/>
      <c r="AF503" s="1692"/>
      <c r="AG503" s="13" t="s">
        <v>404</v>
      </c>
      <c r="AH503" s="1456"/>
      <c r="AI503" s="1456"/>
      <c r="AJ503" s="1456"/>
      <c r="AK503" s="145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4"/>
      <c r="C504" s="1527"/>
      <c r="D504" s="1527"/>
      <c r="E504" s="1527"/>
      <c r="F504" s="1527"/>
      <c r="G504" s="1527"/>
      <c r="H504" s="1528"/>
      <c r="I504" t="s">
        <v>411</v>
      </c>
      <c r="AC504" s="1691" t="s">
        <v>599</v>
      </c>
      <c r="AD504" s="1692"/>
      <c r="AE504" s="1692"/>
      <c r="AF504" s="1692"/>
      <c r="AG504" s="13" t="s">
        <v>404</v>
      </c>
      <c r="AH504" s="1456"/>
      <c r="AI504" s="1456"/>
      <c r="AJ504" s="1456"/>
      <c r="AK504" s="145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4"/>
      <c r="C505" s="1527"/>
      <c r="D505" s="1527"/>
      <c r="E505" s="1527"/>
      <c r="F505" s="1527"/>
      <c r="G505" s="1527"/>
      <c r="H505" s="1528"/>
      <c r="I505" t="s">
        <v>412</v>
      </c>
      <c r="AC505" s="1691" t="s">
        <v>599</v>
      </c>
      <c r="AD505" s="1692"/>
      <c r="AE505" s="1692"/>
      <c r="AF505" s="1692"/>
      <c r="AG505" s="13" t="s">
        <v>404</v>
      </c>
      <c r="AH505" s="1456"/>
      <c r="AI505" s="1456"/>
      <c r="AJ505" s="1456"/>
      <c r="AK505" s="145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4"/>
      <c r="C506" s="1527"/>
      <c r="D506" s="1527"/>
      <c r="E506" s="1527"/>
      <c r="F506" s="1527"/>
      <c r="G506" s="1527"/>
      <c r="H506" s="1528"/>
      <c r="I506" t="s">
        <v>413</v>
      </c>
      <c r="AC506" s="1691" t="s">
        <v>599</v>
      </c>
      <c r="AD506" s="1692"/>
      <c r="AE506" s="1692"/>
      <c r="AF506" s="1692"/>
      <c r="AG506" s="13" t="s">
        <v>404</v>
      </c>
      <c r="AH506" s="1456"/>
      <c r="AI506" s="1456"/>
      <c r="AJ506" s="1456"/>
      <c r="AK506" s="145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4"/>
      <c r="C507" s="1527"/>
      <c r="D507" s="1527"/>
      <c r="E507" s="1527"/>
      <c r="F507" s="1527"/>
      <c r="G507" s="1527"/>
      <c r="H507" s="1528"/>
      <c r="I507" s="3" t="s">
        <v>414</v>
      </c>
      <c r="AC507" s="1365">
        <v>5</v>
      </c>
      <c r="AD507" s="1366"/>
      <c r="AE507" s="1366"/>
      <c r="AF507" s="1366"/>
      <c r="AG507" s="13" t="s">
        <v>404</v>
      </c>
      <c r="AH507" s="1456">
        <v>2025</v>
      </c>
      <c r="AI507" s="1456"/>
      <c r="AJ507" s="1456"/>
      <c r="AK507" s="145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4"/>
      <c r="C508" s="1527"/>
      <c r="D508" s="1527"/>
      <c r="E508" s="1527"/>
      <c r="F508" s="1527"/>
      <c r="G508" s="1527"/>
      <c r="H508" s="1528"/>
      <c r="I508" s="931" t="s">
        <v>170</v>
      </c>
      <c r="J508" s="48"/>
      <c r="K508" s="48"/>
      <c r="L508" s="1711" t="s">
        <v>335</v>
      </c>
      <c r="M508" s="1712"/>
      <c r="N508" s="1712"/>
      <c r="O508" s="1712"/>
      <c r="P508" s="1712"/>
      <c r="Q508" s="1712"/>
      <c r="R508" s="1712"/>
      <c r="S508" s="1712"/>
      <c r="T508" s="1712"/>
      <c r="U508" s="1712"/>
      <c r="V508" s="1712"/>
      <c r="W508" s="1712"/>
      <c r="X508" s="1712"/>
      <c r="Y508" s="1712"/>
      <c r="Z508" s="1712"/>
      <c r="AA508" s="1712"/>
      <c r="AB508" s="1826"/>
      <c r="AC508" s="1691" t="s">
        <v>599</v>
      </c>
      <c r="AD508" s="1692"/>
      <c r="AE508" s="1692"/>
      <c r="AF508" s="1692"/>
      <c r="AG508" s="38" t="s">
        <v>404</v>
      </c>
      <c r="AH508" s="1456"/>
      <c r="AI508" s="1456"/>
      <c r="AJ508" s="1456"/>
      <c r="AK508" s="145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58" t="s">
        <v>553</v>
      </c>
      <c r="AD509" s="1858"/>
      <c r="AE509" s="1858"/>
      <c r="AF509" s="1858"/>
      <c r="AG509" s="13"/>
      <c r="AH509" s="1301"/>
      <c r="AI509" s="1301"/>
      <c r="AJ509" s="1301"/>
      <c r="AK509" s="17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5">
        <v>1</v>
      </c>
      <c r="AD510" s="1366"/>
      <c r="AE510" s="1366"/>
      <c r="AF510" s="1367"/>
      <c r="AG510" s="13"/>
      <c r="AH510" s="1301"/>
      <c r="AI510" s="1301"/>
      <c r="AJ510" s="1301"/>
      <c r="AK510" s="17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706">
        <v>0.25</v>
      </c>
      <c r="AD512" s="1707"/>
      <c r="AE512" s="1707"/>
      <c r="AF512" s="1708"/>
      <c r="AG512" s="38"/>
      <c r="AH512" s="1709"/>
      <c r="AI512" s="1709"/>
      <c r="AJ512" s="1709"/>
      <c r="AK512" s="171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30" t="s">
        <v>403</v>
      </c>
      <c r="AD513" s="1740"/>
      <c r="AE513" s="1740"/>
      <c r="AF513" s="1740"/>
      <c r="AG513" s="38" t="s">
        <v>404</v>
      </c>
      <c r="AH513" s="1740" t="s">
        <v>405</v>
      </c>
      <c r="AI513" s="1740"/>
      <c r="AJ513" s="1740"/>
      <c r="AK513" s="1862"/>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3" t="s">
        <v>415</v>
      </c>
      <c r="C514" s="1525"/>
      <c r="D514" s="1525"/>
      <c r="E514" s="1525"/>
      <c r="F514" s="1525"/>
      <c r="G514" s="1525"/>
      <c r="H514" s="1526"/>
      <c r="I514" s="42" t="s">
        <v>416</v>
      </c>
      <c r="J514" s="42"/>
      <c r="K514" s="42"/>
      <c r="L514" s="42"/>
      <c r="M514" s="42"/>
      <c r="N514" s="42"/>
      <c r="O514" s="42"/>
      <c r="P514" s="42"/>
      <c r="Q514" s="42"/>
      <c r="R514" s="42"/>
      <c r="S514" s="42"/>
      <c r="T514" s="42"/>
      <c r="U514" s="42"/>
      <c r="V514" s="42"/>
      <c r="W514" s="42"/>
      <c r="AC514" s="1691">
        <v>8</v>
      </c>
      <c r="AD514" s="1692"/>
      <c r="AE514" s="1692"/>
      <c r="AF514" s="1692"/>
      <c r="AG514" s="13" t="s">
        <v>404</v>
      </c>
      <c r="AH514" s="1456">
        <v>2024</v>
      </c>
      <c r="AI514" s="1456"/>
      <c r="AJ514" s="1456"/>
      <c r="AK514" s="1457"/>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4"/>
      <c r="C515" s="1527"/>
      <c r="D515" s="1527"/>
      <c r="E515" s="1527"/>
      <c r="F515" s="1527"/>
      <c r="G515" s="1527"/>
      <c r="H515" s="1528"/>
      <c r="I515" t="s">
        <v>417</v>
      </c>
      <c r="AC515" s="1691">
        <v>8</v>
      </c>
      <c r="AD515" s="1692"/>
      <c r="AE515" s="1692"/>
      <c r="AF515" s="1692"/>
      <c r="AG515" s="13" t="s">
        <v>404</v>
      </c>
      <c r="AH515" s="1456">
        <v>2024</v>
      </c>
      <c r="AI515" s="1456"/>
      <c r="AJ515" s="1456"/>
      <c r="AK515" s="1457"/>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4"/>
      <c r="C516" s="1527"/>
      <c r="D516" s="1527"/>
      <c r="E516" s="1527"/>
      <c r="F516" s="1527"/>
      <c r="G516" s="1527"/>
      <c r="H516" s="1528"/>
      <c r="I516" s="48" t="s">
        <v>418</v>
      </c>
      <c r="J516" s="48"/>
      <c r="K516" s="48"/>
      <c r="L516" s="48"/>
      <c r="M516" s="48"/>
      <c r="N516" s="48"/>
      <c r="O516" s="48"/>
      <c r="P516" s="48"/>
      <c r="Q516" s="48"/>
      <c r="R516" s="48"/>
      <c r="S516" s="48"/>
      <c r="T516" s="48"/>
      <c r="U516" s="48"/>
      <c r="V516" s="48"/>
      <c r="W516" s="48"/>
      <c r="X516" s="48"/>
      <c r="Y516" s="48"/>
      <c r="Z516" s="48"/>
      <c r="AA516" s="48"/>
      <c r="AB516" s="48"/>
      <c r="AC516" s="1691">
        <v>6</v>
      </c>
      <c r="AD516" s="1692"/>
      <c r="AE516" s="1692"/>
      <c r="AF516" s="1692"/>
      <c r="AG516" s="38" t="s">
        <v>404</v>
      </c>
      <c r="AH516" s="1456">
        <v>2025</v>
      </c>
      <c r="AI516" s="1456"/>
      <c r="AJ516" s="1456"/>
      <c r="AK516" s="1457"/>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3" t="s">
        <v>419</v>
      </c>
      <c r="C517" s="1525"/>
      <c r="D517" s="1525"/>
      <c r="E517" s="1525"/>
      <c r="F517" s="1525"/>
      <c r="G517" s="1525"/>
      <c r="H517" s="1526"/>
      <c r="I517" s="42" t="s">
        <v>416</v>
      </c>
      <c r="J517" s="42"/>
      <c r="K517" s="42"/>
      <c r="L517" s="42"/>
      <c r="M517" s="42"/>
      <c r="N517" s="42"/>
      <c r="O517" s="42"/>
      <c r="P517" s="42"/>
      <c r="Q517" s="42"/>
      <c r="R517" s="42"/>
      <c r="S517" s="42"/>
      <c r="T517" s="42"/>
      <c r="U517" s="42"/>
      <c r="V517" s="42"/>
      <c r="W517" s="42"/>
      <c r="X517" s="42"/>
      <c r="Y517" s="42"/>
      <c r="Z517" s="42"/>
      <c r="AA517" s="42"/>
      <c r="AB517" s="42"/>
      <c r="AC517" s="1365">
        <v>8</v>
      </c>
      <c r="AD517" s="1366"/>
      <c r="AE517" s="1366"/>
      <c r="AF517" s="1366"/>
      <c r="AG517" s="129" t="s">
        <v>404</v>
      </c>
      <c r="AH517" s="1456">
        <v>2024</v>
      </c>
      <c r="AI517" s="1456"/>
      <c r="AJ517" s="1456"/>
      <c r="AK517" s="1457"/>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4"/>
      <c r="C518" s="1527"/>
      <c r="D518" s="1527"/>
      <c r="E518" s="1527"/>
      <c r="F518" s="1527"/>
      <c r="G518" s="1527"/>
      <c r="H518" s="1528"/>
      <c r="I518" t="s">
        <v>417</v>
      </c>
      <c r="AC518" s="1691">
        <v>8</v>
      </c>
      <c r="AD518" s="1692"/>
      <c r="AE518" s="1692"/>
      <c r="AF518" s="1692"/>
      <c r="AG518" s="13" t="s">
        <v>404</v>
      </c>
      <c r="AH518" s="1456">
        <v>2024</v>
      </c>
      <c r="AI518" s="1456"/>
      <c r="AJ518" s="1456"/>
      <c r="AK518" s="1457"/>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5"/>
      <c r="C519" s="1529"/>
      <c r="D519" s="1529"/>
      <c r="E519" s="1529"/>
      <c r="F519" s="1529"/>
      <c r="G519" s="1529"/>
      <c r="H519" s="1530"/>
      <c r="I519" s="48" t="s">
        <v>418</v>
      </c>
      <c r="J519" s="48"/>
      <c r="K519" s="48"/>
      <c r="L519" s="48"/>
      <c r="M519" s="48"/>
      <c r="N519" s="48"/>
      <c r="O519" s="48"/>
      <c r="P519" s="48"/>
      <c r="Q519" s="48"/>
      <c r="R519" s="48"/>
      <c r="S519" s="48"/>
      <c r="T519" s="48"/>
      <c r="U519" s="48"/>
      <c r="V519" s="48"/>
      <c r="W519" s="48"/>
      <c r="X519" s="48"/>
      <c r="Y519" s="48"/>
      <c r="Z519" s="48"/>
      <c r="AA519" s="48"/>
      <c r="AB519" s="48"/>
      <c r="AC519" s="1691">
        <v>7</v>
      </c>
      <c r="AD519" s="1692"/>
      <c r="AE519" s="1692"/>
      <c r="AF519" s="1692"/>
      <c r="AG519" s="38" t="s">
        <v>404</v>
      </c>
      <c r="AH519" s="1456">
        <v>2027</v>
      </c>
      <c r="AI519" s="1456"/>
      <c r="AJ519" s="1456"/>
      <c r="AK519" s="1457"/>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3" t="s">
        <v>420</v>
      </c>
      <c r="C520" s="1525"/>
      <c r="D520" s="1525"/>
      <c r="E520" s="1525"/>
      <c r="F520" s="1525"/>
      <c r="G520" s="1525"/>
      <c r="H520" s="1526"/>
      <c r="I520" s="41" t="s">
        <v>421</v>
      </c>
      <c r="J520" s="42"/>
      <c r="K520" s="42"/>
      <c r="L520" s="42"/>
      <c r="M520" s="42"/>
      <c r="N520" s="42"/>
      <c r="O520" s="1711" t="s">
        <v>2710</v>
      </c>
      <c r="P520" s="1712"/>
      <c r="Q520" s="1712"/>
      <c r="R520" s="1712"/>
      <c r="S520" s="1712"/>
      <c r="T520" s="1712"/>
      <c r="U520" s="1712"/>
      <c r="V520" s="1712"/>
      <c r="W520" s="1712"/>
      <c r="X520" s="1712"/>
      <c r="Y520" s="1712"/>
      <c r="Z520" s="1712"/>
      <c r="AA520" s="1712"/>
      <c r="AB520" s="58"/>
      <c r="AC520" s="1365" t="s">
        <v>599</v>
      </c>
      <c r="AD520" s="1366"/>
      <c r="AE520" s="1366"/>
      <c r="AF520" s="1366"/>
      <c r="AG520" s="129" t="s">
        <v>404</v>
      </c>
      <c r="AH520" s="1456"/>
      <c r="AI520" s="1456"/>
      <c r="AJ520" s="1456"/>
      <c r="AK520" s="1457"/>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4"/>
      <c r="C521" s="1527"/>
      <c r="D521" s="1527"/>
      <c r="E521" s="1527"/>
      <c r="F521" s="1527"/>
      <c r="G521" s="1527"/>
      <c r="H521" s="1528"/>
      <c r="I521" s="114" t="s">
        <v>422</v>
      </c>
      <c r="AB521" s="65"/>
      <c r="AC521" s="1691">
        <v>7</v>
      </c>
      <c r="AD521" s="1692"/>
      <c r="AE521" s="1692"/>
      <c r="AF521" s="1692"/>
      <c r="AG521" s="13" t="s">
        <v>404</v>
      </c>
      <c r="AH521" s="1456">
        <v>2024</v>
      </c>
      <c r="AI521" s="1456"/>
      <c r="AJ521" s="1456"/>
      <c r="AK521" s="1457"/>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4"/>
      <c r="C522" s="1527"/>
      <c r="D522" s="1527"/>
      <c r="E522" s="1527"/>
      <c r="F522" s="1527"/>
      <c r="G522" s="1527"/>
      <c r="H522" s="1528"/>
      <c r="I522" s="47" t="s">
        <v>423</v>
      </c>
      <c r="J522" s="48"/>
      <c r="K522" s="48"/>
      <c r="L522" s="48"/>
      <c r="M522" s="48"/>
      <c r="N522" s="48"/>
      <c r="O522" s="48"/>
      <c r="P522" s="48"/>
      <c r="Q522" s="48"/>
      <c r="R522" s="48"/>
      <c r="S522" s="48"/>
      <c r="T522" s="48"/>
      <c r="U522" s="48"/>
      <c r="V522" s="48"/>
      <c r="W522" s="48"/>
      <c r="X522" s="48"/>
      <c r="Y522" s="48"/>
      <c r="Z522" s="48"/>
      <c r="AA522" s="48"/>
      <c r="AB522" s="49"/>
      <c r="AC522" s="1691">
        <v>6</v>
      </c>
      <c r="AD522" s="1692"/>
      <c r="AE522" s="1692"/>
      <c r="AF522" s="1692"/>
      <c r="AG522" s="38" t="s">
        <v>404</v>
      </c>
      <c r="AH522" s="1456">
        <v>2025</v>
      </c>
      <c r="AI522" s="1456"/>
      <c r="AJ522" s="1456"/>
      <c r="AK522" s="1457"/>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4"/>
      <c r="C523" s="1527"/>
      <c r="D523" s="1527"/>
      <c r="E523" s="1527"/>
      <c r="F523" s="1527"/>
      <c r="G523" s="1527"/>
      <c r="H523" s="1528"/>
      <c r="I523" s="42" t="s">
        <v>424</v>
      </c>
      <c r="J523" s="42"/>
      <c r="K523" s="42"/>
      <c r="L523" s="42"/>
      <c r="M523" s="42"/>
      <c r="N523" s="42"/>
      <c r="O523" s="1711" t="s">
        <v>2711</v>
      </c>
      <c r="P523" s="1712"/>
      <c r="Q523" s="1712"/>
      <c r="R523" s="1712"/>
      <c r="S523" s="1712"/>
      <c r="T523" s="1712"/>
      <c r="U523" s="1712"/>
      <c r="V523" s="1712"/>
      <c r="W523" s="1712"/>
      <c r="X523" s="1712"/>
      <c r="Y523" s="1712"/>
      <c r="Z523" s="1712"/>
      <c r="AA523" s="1712"/>
      <c r="AC523" s="1691" t="s">
        <v>599</v>
      </c>
      <c r="AD523" s="1692"/>
      <c r="AE523" s="1692"/>
      <c r="AF523" s="1692"/>
      <c r="AG523" s="13" t="s">
        <v>404</v>
      </c>
      <c r="AH523" s="1456"/>
      <c r="AI523" s="1456"/>
      <c r="AJ523" s="1456"/>
      <c r="AK523" s="1457"/>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4"/>
      <c r="C524" s="1527"/>
      <c r="D524" s="1527"/>
      <c r="E524" s="1527"/>
      <c r="F524" s="1527"/>
      <c r="G524" s="1527"/>
      <c r="H524" s="1528"/>
      <c r="I524" t="s">
        <v>422</v>
      </c>
      <c r="AC524" s="1691">
        <v>7</v>
      </c>
      <c r="AD524" s="1692"/>
      <c r="AE524" s="1692"/>
      <c r="AF524" s="1692"/>
      <c r="AG524" s="13" t="s">
        <v>404</v>
      </c>
      <c r="AH524" s="1456">
        <v>2024</v>
      </c>
      <c r="AI524" s="1456"/>
      <c r="AJ524" s="1456"/>
      <c r="AK524" s="1457"/>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4"/>
      <c r="C525" s="1527"/>
      <c r="D525" s="1527"/>
      <c r="E525" s="1527"/>
      <c r="F525" s="1527"/>
      <c r="G525" s="1527"/>
      <c r="H525" s="1528"/>
      <c r="I525" s="48" t="s">
        <v>423</v>
      </c>
      <c r="J525" s="48"/>
      <c r="K525" s="48"/>
      <c r="L525" s="48"/>
      <c r="M525" s="48"/>
      <c r="N525" s="48"/>
      <c r="O525" s="48"/>
      <c r="P525" s="48"/>
      <c r="Q525" s="48"/>
      <c r="R525" s="48"/>
      <c r="S525" s="48"/>
      <c r="T525" s="48"/>
      <c r="U525" s="48"/>
      <c r="V525" s="48"/>
      <c r="W525" s="48"/>
      <c r="X525" s="48"/>
      <c r="Y525" s="48"/>
      <c r="Z525" s="48"/>
      <c r="AA525" s="48"/>
      <c r="AB525" s="48"/>
      <c r="AC525" s="1691">
        <v>6</v>
      </c>
      <c r="AD525" s="1692"/>
      <c r="AE525" s="1692"/>
      <c r="AF525" s="1692"/>
      <c r="AG525" s="38" t="s">
        <v>404</v>
      </c>
      <c r="AH525" s="1456">
        <v>2025</v>
      </c>
      <c r="AI525" s="1456"/>
      <c r="AJ525" s="1456"/>
      <c r="AK525" s="1457"/>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4"/>
      <c r="C526" s="1527"/>
      <c r="D526" s="1527"/>
      <c r="E526" s="1527"/>
      <c r="F526" s="1527"/>
      <c r="G526" s="1527"/>
      <c r="H526" s="1528"/>
      <c r="I526" s="42" t="s">
        <v>424</v>
      </c>
      <c r="J526" s="42"/>
      <c r="K526" s="42"/>
      <c r="L526" s="42"/>
      <c r="M526" s="42"/>
      <c r="N526" s="42"/>
      <c r="O526" s="1711" t="s">
        <v>335</v>
      </c>
      <c r="P526" s="1712"/>
      <c r="Q526" s="1712"/>
      <c r="R526" s="1712"/>
      <c r="S526" s="1712"/>
      <c r="T526" s="1712"/>
      <c r="U526" s="1712"/>
      <c r="V526" s="1712"/>
      <c r="W526" s="1712"/>
      <c r="X526" s="1712"/>
      <c r="Y526" s="1712"/>
      <c r="Z526" s="1712"/>
      <c r="AA526" s="1712"/>
      <c r="AC526" s="1691" t="s">
        <v>599</v>
      </c>
      <c r="AD526" s="1692"/>
      <c r="AE526" s="1692"/>
      <c r="AF526" s="1692"/>
      <c r="AG526" s="13" t="s">
        <v>404</v>
      </c>
      <c r="AH526" s="1456"/>
      <c r="AI526" s="1456"/>
      <c r="AJ526" s="1456"/>
      <c r="AK526" s="1457"/>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4"/>
      <c r="C527" s="1527"/>
      <c r="D527" s="1527"/>
      <c r="E527" s="1527"/>
      <c r="F527" s="1527"/>
      <c r="G527" s="1527"/>
      <c r="H527" s="1528"/>
      <c r="I527" t="s">
        <v>422</v>
      </c>
      <c r="AC527" s="1691" t="s">
        <v>599</v>
      </c>
      <c r="AD527" s="1692"/>
      <c r="AE527" s="1692"/>
      <c r="AF527" s="1692"/>
      <c r="AG527" s="13" t="s">
        <v>404</v>
      </c>
      <c r="AH527" s="1456"/>
      <c r="AI527" s="1456"/>
      <c r="AJ527" s="1456"/>
      <c r="AK527" s="1457"/>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4"/>
      <c r="C528" s="1527"/>
      <c r="D528" s="1527"/>
      <c r="E528" s="1527"/>
      <c r="F528" s="1527"/>
      <c r="G528" s="1527"/>
      <c r="H528" s="1528"/>
      <c r="I528" s="48" t="s">
        <v>423</v>
      </c>
      <c r="J528" s="48"/>
      <c r="K528" s="48"/>
      <c r="L528" s="48"/>
      <c r="M528" s="48"/>
      <c r="N528" s="48"/>
      <c r="O528" s="48"/>
      <c r="P528" s="48"/>
      <c r="Q528" s="48"/>
      <c r="R528" s="48"/>
      <c r="S528" s="48"/>
      <c r="T528" s="48"/>
      <c r="U528" s="48"/>
      <c r="V528" s="48"/>
      <c r="W528" s="48"/>
      <c r="X528" s="48"/>
      <c r="Y528" s="48"/>
      <c r="Z528" s="48"/>
      <c r="AA528" s="48"/>
      <c r="AB528" s="48"/>
      <c r="AC528" s="1691" t="s">
        <v>599</v>
      </c>
      <c r="AD528" s="1692"/>
      <c r="AE528" s="1692"/>
      <c r="AF528" s="1692"/>
      <c r="AG528" s="38" t="s">
        <v>404</v>
      </c>
      <c r="AH528" s="1456"/>
      <c r="AI528" s="1456"/>
      <c r="AJ528" s="1456"/>
      <c r="AK528" s="1457"/>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4"/>
      <c r="C529" s="1527"/>
      <c r="D529" s="1527"/>
      <c r="E529" s="1527"/>
      <c r="F529" s="1527"/>
      <c r="G529" s="1527"/>
      <c r="H529" s="1528"/>
      <c r="I529" s="42" t="s">
        <v>424</v>
      </c>
      <c r="J529" s="42"/>
      <c r="K529" s="42"/>
      <c r="L529" s="42"/>
      <c r="M529" s="42"/>
      <c r="N529" s="42"/>
      <c r="O529" s="1711" t="s">
        <v>335</v>
      </c>
      <c r="P529" s="1712"/>
      <c r="Q529" s="1712"/>
      <c r="R529" s="1712"/>
      <c r="S529" s="1712"/>
      <c r="T529" s="1712"/>
      <c r="U529" s="1712"/>
      <c r="V529" s="1712"/>
      <c r="W529" s="1712"/>
      <c r="X529" s="1712"/>
      <c r="Y529" s="1712"/>
      <c r="Z529" s="1712"/>
      <c r="AA529" s="1712"/>
      <c r="AC529" s="1691" t="s">
        <v>599</v>
      </c>
      <c r="AD529" s="1692"/>
      <c r="AE529" s="1692"/>
      <c r="AF529" s="1692"/>
      <c r="AG529" s="13" t="s">
        <v>404</v>
      </c>
      <c r="AH529" s="1456"/>
      <c r="AI529" s="1456"/>
      <c r="AJ529" s="1456"/>
      <c r="AK529" s="1457"/>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4"/>
      <c r="C530" s="1527"/>
      <c r="D530" s="1527"/>
      <c r="E530" s="1527"/>
      <c r="F530" s="1527"/>
      <c r="G530" s="1527"/>
      <c r="H530" s="1528"/>
      <c r="I530" t="s">
        <v>422</v>
      </c>
      <c r="AC530" s="1691" t="s">
        <v>599</v>
      </c>
      <c r="AD530" s="1692"/>
      <c r="AE530" s="1692"/>
      <c r="AF530" s="1692"/>
      <c r="AG530" s="13" t="s">
        <v>404</v>
      </c>
      <c r="AH530" s="1456"/>
      <c r="AI530" s="1456"/>
      <c r="AJ530" s="1456"/>
      <c r="AK530" s="1457"/>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4"/>
      <c r="C531" s="1527"/>
      <c r="D531" s="1527"/>
      <c r="E531" s="1527"/>
      <c r="F531" s="1527"/>
      <c r="G531" s="1527"/>
      <c r="H531" s="1528"/>
      <c r="I531" s="48" t="s">
        <v>423</v>
      </c>
      <c r="J531" s="48"/>
      <c r="K531" s="48"/>
      <c r="L531" s="48"/>
      <c r="M531" s="48"/>
      <c r="N531" s="48"/>
      <c r="O531" s="48"/>
      <c r="P531" s="48"/>
      <c r="Q531" s="48"/>
      <c r="R531" s="48"/>
      <c r="S531" s="48"/>
      <c r="T531" s="48"/>
      <c r="U531" s="48"/>
      <c r="V531" s="48"/>
      <c r="W531" s="48"/>
      <c r="X531" s="48"/>
      <c r="Y531" s="48"/>
      <c r="Z531" s="48"/>
      <c r="AA531" s="48"/>
      <c r="AB531" s="48"/>
      <c r="AC531" s="1691" t="s">
        <v>599</v>
      </c>
      <c r="AD531" s="1692"/>
      <c r="AE531" s="1692"/>
      <c r="AF531" s="1692"/>
      <c r="AG531" s="38" t="s">
        <v>404</v>
      </c>
      <c r="AH531" s="1456"/>
      <c r="AI531" s="1456"/>
      <c r="AJ531" s="1456"/>
      <c r="AK531" s="1457"/>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4"/>
      <c r="C532" s="1527"/>
      <c r="D532" s="1527"/>
      <c r="E532" s="1527"/>
      <c r="F532" s="1527"/>
      <c r="G532" s="1527"/>
      <c r="H532" s="1528"/>
      <c r="I532" s="42" t="s">
        <v>424</v>
      </c>
      <c r="J532" s="42"/>
      <c r="K532" s="42"/>
      <c r="L532" s="42"/>
      <c r="M532" s="42"/>
      <c r="N532" s="42"/>
      <c r="O532" s="1711" t="s">
        <v>335</v>
      </c>
      <c r="P532" s="1712"/>
      <c r="Q532" s="1712"/>
      <c r="R532" s="1712"/>
      <c r="S532" s="1712"/>
      <c r="T532" s="1712"/>
      <c r="U532" s="1712"/>
      <c r="V532" s="1712"/>
      <c r="W532" s="1712"/>
      <c r="X532" s="1712"/>
      <c r="Y532" s="1712"/>
      <c r="Z532" s="1712"/>
      <c r="AA532" s="1712"/>
      <c r="AC532" s="1691" t="s">
        <v>599</v>
      </c>
      <c r="AD532" s="1692"/>
      <c r="AE532" s="1692"/>
      <c r="AF532" s="1692"/>
      <c r="AG532" s="13" t="s">
        <v>404</v>
      </c>
      <c r="AH532" s="1456"/>
      <c r="AI532" s="1456"/>
      <c r="AJ532" s="1456"/>
      <c r="AK532" s="1457"/>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4"/>
      <c r="C533" s="1527"/>
      <c r="D533" s="1527"/>
      <c r="E533" s="1527"/>
      <c r="F533" s="1527"/>
      <c r="G533" s="1527"/>
      <c r="H533" s="1528"/>
      <c r="I533" t="s">
        <v>422</v>
      </c>
      <c r="AC533" s="1691" t="s">
        <v>599</v>
      </c>
      <c r="AD533" s="1692"/>
      <c r="AE533" s="1692"/>
      <c r="AF533" s="1692"/>
      <c r="AG533" s="38" t="s">
        <v>404</v>
      </c>
      <c r="AH533" s="1456"/>
      <c r="AI533" s="1456"/>
      <c r="AJ533" s="1456"/>
      <c r="AK533" s="1457"/>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4"/>
      <c r="C534" s="1527"/>
      <c r="D534" s="1527"/>
      <c r="E534" s="1527"/>
      <c r="F534" s="1527"/>
      <c r="G534" s="1527"/>
      <c r="H534" s="1528"/>
      <c r="I534" s="48" t="s">
        <v>423</v>
      </c>
      <c r="J534" s="48"/>
      <c r="K534" s="48"/>
      <c r="L534" s="48"/>
      <c r="M534" s="48"/>
      <c r="N534" s="48"/>
      <c r="O534" s="48"/>
      <c r="P534" s="48"/>
      <c r="Q534" s="48"/>
      <c r="R534" s="48"/>
      <c r="S534" s="48"/>
      <c r="T534" s="48"/>
      <c r="U534" s="48"/>
      <c r="V534" s="48"/>
      <c r="W534" s="48"/>
      <c r="X534" s="48"/>
      <c r="Y534" s="48"/>
      <c r="Z534" s="48"/>
      <c r="AA534" s="48"/>
      <c r="AB534" s="48"/>
      <c r="AC534" s="1691" t="s">
        <v>599</v>
      </c>
      <c r="AD534" s="1692"/>
      <c r="AE534" s="1692"/>
      <c r="AF534" s="1692"/>
      <c r="AG534" s="13" t="s">
        <v>404</v>
      </c>
      <c r="AH534" s="1456"/>
      <c r="AI534" s="1456"/>
      <c r="AJ534" s="1456"/>
      <c r="AK534" s="1457"/>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4"/>
      <c r="C535" s="1527"/>
      <c r="D535" s="1527"/>
      <c r="E535" s="1527"/>
      <c r="F535" s="1527"/>
      <c r="G535" s="1527"/>
      <c r="H535" s="1528"/>
      <c r="I535" s="42" t="s">
        <v>424</v>
      </c>
      <c r="J535" s="42"/>
      <c r="K535" s="42"/>
      <c r="L535" s="42"/>
      <c r="M535" s="42"/>
      <c r="N535" s="42"/>
      <c r="O535" s="1711" t="s">
        <v>335</v>
      </c>
      <c r="P535" s="1712"/>
      <c r="Q535" s="1712"/>
      <c r="R535" s="1712"/>
      <c r="S535" s="1712"/>
      <c r="T535" s="1712"/>
      <c r="U535" s="1712"/>
      <c r="V535" s="1712"/>
      <c r="W535" s="1712"/>
      <c r="X535" s="1712"/>
      <c r="Y535" s="1712"/>
      <c r="Z535" s="1712"/>
      <c r="AA535" s="1712"/>
      <c r="AC535" s="1691" t="s">
        <v>599</v>
      </c>
      <c r="AD535" s="1692"/>
      <c r="AE535" s="1692"/>
      <c r="AF535" s="1692"/>
      <c r="AG535" s="38" t="s">
        <v>404</v>
      </c>
      <c r="AH535" s="1456"/>
      <c r="AI535" s="1456"/>
      <c r="AJ535" s="1456"/>
      <c r="AK535" s="1457"/>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4"/>
      <c r="C536" s="1527"/>
      <c r="D536" s="1527"/>
      <c r="E536" s="1527"/>
      <c r="F536" s="1527"/>
      <c r="G536" s="1527"/>
      <c r="H536" s="1528"/>
      <c r="I536" t="s">
        <v>422</v>
      </c>
      <c r="AC536" s="1691" t="s">
        <v>599</v>
      </c>
      <c r="AD536" s="1692"/>
      <c r="AE536" s="1692"/>
      <c r="AF536" s="1692"/>
      <c r="AG536" s="13" t="s">
        <v>404</v>
      </c>
      <c r="AH536" s="1456"/>
      <c r="AI536" s="1456"/>
      <c r="AJ536" s="1456"/>
      <c r="AK536" s="1457"/>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4"/>
      <c r="C537" s="1527"/>
      <c r="D537" s="1527"/>
      <c r="E537" s="1527"/>
      <c r="F537" s="1527"/>
      <c r="G537" s="1527"/>
      <c r="H537" s="1528"/>
      <c r="I537" s="48" t="s">
        <v>423</v>
      </c>
      <c r="J537" s="48"/>
      <c r="K537" s="48"/>
      <c r="L537" s="48"/>
      <c r="M537" s="48"/>
      <c r="N537" s="48"/>
      <c r="O537" s="48"/>
      <c r="P537" s="48"/>
      <c r="Q537" s="48"/>
      <c r="R537" s="48"/>
      <c r="S537" s="48"/>
      <c r="T537" s="48"/>
      <c r="U537" s="48"/>
      <c r="V537" s="48"/>
      <c r="W537" s="48"/>
      <c r="X537" s="48"/>
      <c r="Y537" s="48"/>
      <c r="Z537" s="48"/>
      <c r="AA537" s="48"/>
      <c r="AB537" s="48"/>
      <c r="AC537" s="1691" t="s">
        <v>599</v>
      </c>
      <c r="AD537" s="1692"/>
      <c r="AE537" s="1692"/>
      <c r="AF537" s="1692"/>
      <c r="AG537" s="38" t="s">
        <v>404</v>
      </c>
      <c r="AH537" s="1456"/>
      <c r="AI537" s="1456"/>
      <c r="AJ537" s="1456"/>
      <c r="AK537" s="1457"/>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4"/>
      <c r="C538" s="1527"/>
      <c r="D538" s="1527"/>
      <c r="E538" s="1527"/>
      <c r="F538" s="1527"/>
      <c r="G538" s="1527"/>
      <c r="H538" s="1528"/>
      <c r="I538" s="42" t="s">
        <v>570</v>
      </c>
      <c r="J538" s="42"/>
      <c r="K538" s="42"/>
      <c r="L538" s="42"/>
      <c r="M538" s="42"/>
      <c r="N538" s="42"/>
      <c r="O538" s="42"/>
      <c r="P538" s="42"/>
      <c r="Q538" s="42"/>
      <c r="R538" s="42"/>
      <c r="S538" s="42"/>
      <c r="T538" s="42"/>
      <c r="U538" s="42"/>
      <c r="V538" s="42"/>
      <c r="W538" s="42"/>
      <c r="AC538" s="1691">
        <v>6</v>
      </c>
      <c r="AD538" s="1692"/>
      <c r="AE538" s="1692"/>
      <c r="AF538" s="1692"/>
      <c r="AG538" s="38" t="s">
        <v>404</v>
      </c>
      <c r="AH538" s="1456">
        <v>2025</v>
      </c>
      <c r="AI538" s="1456"/>
      <c r="AJ538" s="1456"/>
      <c r="AK538" s="145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4"/>
      <c r="C539" s="1527"/>
      <c r="D539" s="1527"/>
      <c r="E539" s="1527"/>
      <c r="F539" s="1527"/>
      <c r="G539" s="1527"/>
      <c r="H539" s="1528"/>
      <c r="I539" t="s">
        <v>571</v>
      </c>
      <c r="AC539" s="1691">
        <v>7</v>
      </c>
      <c r="AD539" s="1692"/>
      <c r="AE539" s="1692"/>
      <c r="AF539" s="1692"/>
      <c r="AG539" s="13" t="s">
        <v>404</v>
      </c>
      <c r="AH539" s="1456">
        <v>2025</v>
      </c>
      <c r="AI539" s="1456"/>
      <c r="AJ539" s="1456"/>
      <c r="AK539" s="145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4"/>
      <c r="C540" s="1527"/>
      <c r="D540" s="1527"/>
      <c r="E540" s="1527"/>
      <c r="F540" s="1527"/>
      <c r="G540" s="1527"/>
      <c r="H540" s="1528"/>
      <c r="I540" t="s">
        <v>572</v>
      </c>
      <c r="AC540" s="1691">
        <v>12</v>
      </c>
      <c r="AD540" s="1692"/>
      <c r="AE540" s="1692"/>
      <c r="AF540" s="1692"/>
      <c r="AG540" s="38" t="s">
        <v>404</v>
      </c>
      <c r="AH540" s="1456">
        <v>2026</v>
      </c>
      <c r="AI540" s="1456"/>
      <c r="AJ540" s="1456"/>
      <c r="AK540" s="145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4"/>
      <c r="C541" s="1527"/>
      <c r="D541" s="1527"/>
      <c r="E541" s="1527"/>
      <c r="F541" s="1527"/>
      <c r="G541" s="1527"/>
      <c r="H541" s="1528"/>
      <c r="I541" t="s">
        <v>573</v>
      </c>
      <c r="AC541" s="1691">
        <v>12</v>
      </c>
      <c r="AD541" s="1692"/>
      <c r="AE541" s="1692"/>
      <c r="AF541" s="1692"/>
      <c r="AG541" s="38" t="s">
        <v>404</v>
      </c>
      <c r="AH541" s="1456">
        <v>2026</v>
      </c>
      <c r="AI541" s="1456"/>
      <c r="AJ541" s="1456"/>
      <c r="AK541" s="145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5"/>
      <c r="C542" s="1529"/>
      <c r="D542" s="1529"/>
      <c r="E542" s="1529"/>
      <c r="F542" s="1529"/>
      <c r="G542" s="1529"/>
      <c r="H542" s="1530"/>
      <c r="I542" s="48" t="s">
        <v>459</v>
      </c>
      <c r="J542" s="48"/>
      <c r="K542" s="48"/>
      <c r="L542" s="48"/>
      <c r="M542" s="48"/>
      <c r="N542" s="48"/>
      <c r="O542" s="48"/>
      <c r="P542" s="48"/>
      <c r="Q542" s="48"/>
      <c r="R542" s="48"/>
      <c r="S542" s="48"/>
      <c r="T542" s="48"/>
      <c r="U542" s="48"/>
      <c r="V542" s="48"/>
      <c r="W542" s="48"/>
      <c r="X542" s="48"/>
      <c r="Y542" s="48"/>
      <c r="Z542" s="48"/>
      <c r="AA542" s="48"/>
      <c r="AB542" s="48"/>
      <c r="AC542" s="1691">
        <v>4</v>
      </c>
      <c r="AD542" s="1692"/>
      <c r="AE542" s="1692"/>
      <c r="AF542" s="1692"/>
      <c r="AG542" s="38" t="s">
        <v>404</v>
      </c>
      <c r="AH542" s="1456">
        <v>2027</v>
      </c>
      <c r="AI542" s="1456"/>
      <c r="AJ542" s="1456"/>
      <c r="AK542" s="145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3" t="s">
        <v>2420</v>
      </c>
      <c r="C551" s="1525"/>
      <c r="D551" s="1525"/>
      <c r="E551" s="1525"/>
      <c r="F551" s="1525"/>
      <c r="G551" s="1525"/>
      <c r="H551" s="1525"/>
      <c r="I551" s="1525"/>
      <c r="J551" s="1525"/>
      <c r="K551" s="1525"/>
      <c r="L551" s="1526"/>
      <c r="M551" s="1693" t="s">
        <v>2421</v>
      </c>
      <c r="N551" s="1525"/>
      <c r="O551" s="1525"/>
      <c r="P551" s="1526"/>
      <c r="Q551" s="1693" t="s">
        <v>2447</v>
      </c>
      <c r="R551" s="1525"/>
      <c r="S551" s="1526"/>
      <c r="T551" s="1693" t="s">
        <v>2448</v>
      </c>
      <c r="U551" s="1525"/>
      <c r="V551" s="1526"/>
      <c r="W551" s="1693" t="s">
        <v>461</v>
      </c>
      <c r="X551" s="1525"/>
      <c r="Y551" s="1526"/>
      <c r="Z551" s="1693" t="s">
        <v>2041</v>
      </c>
      <c r="AA551" s="1525"/>
      <c r="AB551" s="1525"/>
      <c r="AC551" s="1525"/>
      <c r="AD551" s="1526"/>
      <c r="AE551" s="1693" t="s">
        <v>1863</v>
      </c>
      <c r="AF551" s="1525"/>
      <c r="AG551" s="1525"/>
      <c r="AH551" s="1526"/>
      <c r="AI551" s="1693" t="s">
        <v>1864</v>
      </c>
      <c r="AJ551" s="1525"/>
      <c r="AK551" s="1525"/>
      <c r="AL551" s="1526"/>
      <c r="AM551" s="1693" t="s">
        <v>462</v>
      </c>
      <c r="AN551" s="1525"/>
      <c r="AO551" s="1525"/>
      <c r="AP551" s="1525"/>
      <c r="AQ551" s="1525"/>
      <c r="AR551" s="1525"/>
      <c r="AS551" s="1526"/>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4"/>
      <c r="C552" s="1527"/>
      <c r="D552" s="1527"/>
      <c r="E552" s="1527"/>
      <c r="F552" s="1527"/>
      <c r="G552" s="1527"/>
      <c r="H552" s="1527"/>
      <c r="I552" s="1527"/>
      <c r="J552" s="1527"/>
      <c r="K552" s="1527"/>
      <c r="L552" s="1528"/>
      <c r="M552" s="1694"/>
      <c r="N552" s="1527"/>
      <c r="O552" s="1527"/>
      <c r="P552" s="1528"/>
      <c r="Q552" s="1694"/>
      <c r="R552" s="1527"/>
      <c r="S552" s="1528"/>
      <c r="T552" s="1694"/>
      <c r="U552" s="1527"/>
      <c r="V552" s="1528"/>
      <c r="W552" s="1694"/>
      <c r="X552" s="1527"/>
      <c r="Y552" s="1528"/>
      <c r="Z552" s="1694"/>
      <c r="AA552" s="1527"/>
      <c r="AB552" s="1527"/>
      <c r="AC552" s="1527"/>
      <c r="AD552" s="1528"/>
      <c r="AE552" s="1694"/>
      <c r="AF552" s="1527"/>
      <c r="AG552" s="1527"/>
      <c r="AH552" s="1528"/>
      <c r="AI552" s="1694"/>
      <c r="AJ552" s="1527"/>
      <c r="AK552" s="1527"/>
      <c r="AL552" s="1528"/>
      <c r="AM552" s="1694"/>
      <c r="AN552" s="1527"/>
      <c r="AO552" s="1527"/>
      <c r="AP552" s="1527"/>
      <c r="AQ552" s="1527"/>
      <c r="AR552" s="1527"/>
      <c r="AS552" s="1528"/>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5"/>
      <c r="C553" s="1529"/>
      <c r="D553" s="1529"/>
      <c r="E553" s="1529"/>
      <c r="F553" s="1529"/>
      <c r="G553" s="1529"/>
      <c r="H553" s="1529"/>
      <c r="I553" s="1529"/>
      <c r="J553" s="1529"/>
      <c r="K553" s="1529"/>
      <c r="L553" s="1530"/>
      <c r="M553" s="1695"/>
      <c r="N553" s="1529"/>
      <c r="O553" s="1529"/>
      <c r="P553" s="1530"/>
      <c r="Q553" s="1695"/>
      <c r="R553" s="1529"/>
      <c r="S553" s="1530"/>
      <c r="T553" s="1695"/>
      <c r="U553" s="1529"/>
      <c r="V553" s="1530"/>
      <c r="W553" s="1695"/>
      <c r="X553" s="1529"/>
      <c r="Y553" s="1530"/>
      <c r="Z553" s="1695"/>
      <c r="AA553" s="1529"/>
      <c r="AB553" s="1529"/>
      <c r="AC553" s="1529"/>
      <c r="AD553" s="1530"/>
      <c r="AE553" s="1695"/>
      <c r="AF553" s="1529"/>
      <c r="AG553" s="1529"/>
      <c r="AH553" s="1530"/>
      <c r="AI553" s="1695"/>
      <c r="AJ553" s="1529"/>
      <c r="AK553" s="1529"/>
      <c r="AL553" s="1530"/>
      <c r="AM553" s="1695"/>
      <c r="AN553" s="1529"/>
      <c r="AO553" s="1529"/>
      <c r="AP553" s="1529"/>
      <c r="AQ553" s="1529"/>
      <c r="AR553" s="1529"/>
      <c r="AS553" s="153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6" t="s">
        <v>2718</v>
      </c>
      <c r="D554" s="1696"/>
      <c r="E554" s="1696"/>
      <c r="F554" s="1696"/>
      <c r="G554" s="1696"/>
      <c r="H554" s="1696"/>
      <c r="I554" s="1696"/>
      <c r="J554" s="1696"/>
      <c r="K554" s="1696"/>
      <c r="L554" s="1696"/>
      <c r="M554" s="1696" t="s">
        <v>2437</v>
      </c>
      <c r="N554" s="1696"/>
      <c r="O554" s="1696"/>
      <c r="P554" s="1696"/>
      <c r="Q554" s="1495">
        <v>36</v>
      </c>
      <c r="R554" s="1495"/>
      <c r="S554" s="1496"/>
      <c r="T554" s="1494"/>
      <c r="U554" s="1495"/>
      <c r="V554" s="1496"/>
      <c r="W554" s="1497">
        <v>7.0000000000000007E-2</v>
      </c>
      <c r="X554" s="1498"/>
      <c r="Y554" s="1499"/>
      <c r="Z554" s="1697" t="s">
        <v>2712</v>
      </c>
      <c r="AA554" s="1697"/>
      <c r="AB554" s="1697"/>
      <c r="AC554" s="1697"/>
      <c r="AD554" s="1697"/>
      <c r="AE554" s="1688">
        <v>1</v>
      </c>
      <c r="AF554" s="1689"/>
      <c r="AG554" s="1689"/>
      <c r="AH554" s="1690"/>
      <c r="AI554" s="1685"/>
      <c r="AJ554" s="1686"/>
      <c r="AK554" s="1686"/>
      <c r="AL554" s="1687"/>
      <c r="AM554" s="1636">
        <v>40000000</v>
      </c>
      <c r="AN554" s="1637"/>
      <c r="AO554" s="1637"/>
      <c r="AP554" s="1637"/>
      <c r="AQ554" s="1637"/>
      <c r="AR554" s="1637"/>
      <c r="AS554" s="163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821" t="s">
        <v>2719</v>
      </c>
      <c r="D555" s="1822"/>
      <c r="E555" s="1822"/>
      <c r="F555" s="1822"/>
      <c r="G555" s="1822"/>
      <c r="H555" s="1822"/>
      <c r="I555" s="1822"/>
      <c r="J555" s="1822"/>
      <c r="K555" s="1822"/>
      <c r="L555" s="1823"/>
      <c r="M555" s="1696" t="s">
        <v>2438</v>
      </c>
      <c r="N555" s="1696"/>
      <c r="O555" s="1696"/>
      <c r="P555" s="1696"/>
      <c r="Q555" s="1494">
        <v>36</v>
      </c>
      <c r="R555" s="1495"/>
      <c r="S555" s="1496"/>
      <c r="T555" s="1494"/>
      <c r="U555" s="1495"/>
      <c r="V555" s="1496"/>
      <c r="W555" s="1497">
        <v>7.0000000000000007E-2</v>
      </c>
      <c r="X555" s="1498"/>
      <c r="Y555" s="1499"/>
      <c r="Z555" s="1697" t="s">
        <v>2712</v>
      </c>
      <c r="AA555" s="1697"/>
      <c r="AB555" s="1697"/>
      <c r="AC555" s="1697"/>
      <c r="AD555" s="1697"/>
      <c r="AE555" s="1688">
        <v>1</v>
      </c>
      <c r="AF555" s="1689"/>
      <c r="AG555" s="1689"/>
      <c r="AH555" s="1690"/>
      <c r="AI555" s="1685"/>
      <c r="AJ555" s="1686"/>
      <c r="AK555" s="1686"/>
      <c r="AL555" s="1687"/>
      <c r="AM555" s="1636">
        <v>7000000</v>
      </c>
      <c r="AN555" s="1637"/>
      <c r="AO555" s="1637"/>
      <c r="AP555" s="1637"/>
      <c r="AQ555" s="1637"/>
      <c r="AR555" s="1637"/>
      <c r="AS555" s="163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4" t="s">
        <v>2720</v>
      </c>
      <c r="D556" s="1704"/>
      <c r="E556" s="1704"/>
      <c r="F556" s="1704"/>
      <c r="G556" s="1704"/>
      <c r="H556" s="1704"/>
      <c r="I556" s="1704"/>
      <c r="J556" s="1704"/>
      <c r="K556" s="1704"/>
      <c r="L556" s="1704"/>
      <c r="M556" s="1696" t="s">
        <v>2436</v>
      </c>
      <c r="N556" s="1696"/>
      <c r="O556" s="1696"/>
      <c r="P556" s="1696"/>
      <c r="Q556" s="1494">
        <v>36</v>
      </c>
      <c r="R556" s="1495"/>
      <c r="S556" s="1496"/>
      <c r="T556" s="1494"/>
      <c r="U556" s="1495"/>
      <c r="V556" s="1496"/>
      <c r="W556" s="1497">
        <v>7.4999999999999997E-2</v>
      </c>
      <c r="X556" s="1498"/>
      <c r="Y556" s="1499"/>
      <c r="Z556" s="1697" t="s">
        <v>2712</v>
      </c>
      <c r="AA556" s="1697"/>
      <c r="AB556" s="1697"/>
      <c r="AC556" s="1697"/>
      <c r="AD556" s="1697"/>
      <c r="AE556" s="1688">
        <v>1</v>
      </c>
      <c r="AF556" s="1689"/>
      <c r="AG556" s="1689"/>
      <c r="AH556" s="1690"/>
      <c r="AI556" s="1685"/>
      <c r="AJ556" s="1686"/>
      <c r="AK556" s="1686"/>
      <c r="AL556" s="1687"/>
      <c r="AM556" s="1636">
        <v>6000000</v>
      </c>
      <c r="AN556" s="1637"/>
      <c r="AO556" s="1637"/>
      <c r="AP556" s="1637"/>
      <c r="AQ556" s="1637"/>
      <c r="AR556" s="1637"/>
      <c r="AS556" s="163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4" t="s">
        <v>2713</v>
      </c>
      <c r="D557" s="1704"/>
      <c r="E557" s="1704"/>
      <c r="F557" s="1704"/>
      <c r="G557" s="1704"/>
      <c r="H557" s="1704"/>
      <c r="I557" s="1704"/>
      <c r="J557" s="1704"/>
      <c r="K557" s="1704"/>
      <c r="L557" s="1704"/>
      <c r="M557" s="1696" t="s">
        <v>2434</v>
      </c>
      <c r="N557" s="1696"/>
      <c r="O557" s="1696"/>
      <c r="P557" s="1696"/>
      <c r="Q557" s="1494">
        <v>660</v>
      </c>
      <c r="R557" s="1495"/>
      <c r="S557" s="1496"/>
      <c r="T557" s="1494"/>
      <c r="U557" s="1495"/>
      <c r="V557" s="1496"/>
      <c r="W557" s="1497">
        <v>4.5199999999999997E-2</v>
      </c>
      <c r="X557" s="1498"/>
      <c r="Y557" s="1499"/>
      <c r="Z557" s="1697" t="s">
        <v>2712</v>
      </c>
      <c r="AA557" s="1697"/>
      <c r="AB557" s="1697"/>
      <c r="AC557" s="1697"/>
      <c r="AD557" s="1697"/>
      <c r="AE557" s="1688">
        <v>2</v>
      </c>
      <c r="AF557" s="1689"/>
      <c r="AG557" s="1689"/>
      <c r="AH557" s="1690"/>
      <c r="AI557" s="1685"/>
      <c r="AJ557" s="1686"/>
      <c r="AK557" s="1686"/>
      <c r="AL557" s="1687"/>
      <c r="AM557" s="1636">
        <v>4990000</v>
      </c>
      <c r="AN557" s="1637"/>
      <c r="AO557" s="1637"/>
      <c r="AP557" s="1637"/>
      <c r="AQ557" s="1637"/>
      <c r="AR557" s="1637"/>
      <c r="AS557" s="163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4" t="s">
        <v>1849</v>
      </c>
      <c r="D558" s="1704"/>
      <c r="E558" s="1704"/>
      <c r="F558" s="1704"/>
      <c r="G558" s="1704"/>
      <c r="H558" s="1704"/>
      <c r="I558" s="1704"/>
      <c r="J558" s="1704"/>
      <c r="K558" s="1704"/>
      <c r="L558" s="1704"/>
      <c r="M558" s="1696" t="s">
        <v>2424</v>
      </c>
      <c r="N558" s="1696"/>
      <c r="O558" s="1696"/>
      <c r="P558" s="1696"/>
      <c r="Q558" s="1494"/>
      <c r="R558" s="1495"/>
      <c r="S558" s="1496"/>
      <c r="T558" s="1494"/>
      <c r="U558" s="1495"/>
      <c r="V558" s="1496"/>
      <c r="W558" s="1497"/>
      <c r="X558" s="1498"/>
      <c r="Y558" s="1499"/>
      <c r="Z558" s="1697" t="s">
        <v>599</v>
      </c>
      <c r="AA558" s="1697"/>
      <c r="AB558" s="1697"/>
      <c r="AC558" s="1697"/>
      <c r="AD558" s="1697"/>
      <c r="AE558" s="1688"/>
      <c r="AF558" s="1689"/>
      <c r="AG558" s="1689"/>
      <c r="AH558" s="1690"/>
      <c r="AI558" s="1685"/>
      <c r="AJ558" s="1686"/>
      <c r="AK558" s="1686"/>
      <c r="AL558" s="1687"/>
      <c r="AM558" s="1636">
        <v>8754570</v>
      </c>
      <c r="AN558" s="1637"/>
      <c r="AO558" s="1637"/>
      <c r="AP558" s="1637"/>
      <c r="AQ558" s="1637"/>
      <c r="AR558" s="1637"/>
      <c r="AS558" s="1638"/>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4" t="s">
        <v>2715</v>
      </c>
      <c r="D559" s="1704"/>
      <c r="E559" s="1704"/>
      <c r="F559" s="1704"/>
      <c r="G559" s="1704"/>
      <c r="H559" s="1704"/>
      <c r="I559" s="1704"/>
      <c r="J559" s="1704"/>
      <c r="K559" s="1704"/>
      <c r="L559" s="1704"/>
      <c r="M559" s="1696" t="s">
        <v>2428</v>
      </c>
      <c r="N559" s="1696"/>
      <c r="O559" s="1696"/>
      <c r="P559" s="1696"/>
      <c r="Q559" s="1494"/>
      <c r="R559" s="1495"/>
      <c r="S559" s="1496"/>
      <c r="T559" s="1494"/>
      <c r="U559" s="1495"/>
      <c r="V559" s="1496"/>
      <c r="W559" s="1497"/>
      <c r="X559" s="1498"/>
      <c r="Y559" s="1499"/>
      <c r="Z559" s="1697" t="s">
        <v>599</v>
      </c>
      <c r="AA559" s="1697"/>
      <c r="AB559" s="1697"/>
      <c r="AC559" s="1697"/>
      <c r="AD559" s="1697"/>
      <c r="AE559" s="1688"/>
      <c r="AF559" s="1689"/>
      <c r="AG559" s="1689"/>
      <c r="AH559" s="1690"/>
      <c r="AI559" s="1685"/>
      <c r="AJ559" s="1686"/>
      <c r="AK559" s="1686"/>
      <c r="AL559" s="1687"/>
      <c r="AM559" s="1636">
        <v>8028174</v>
      </c>
      <c r="AN559" s="1637"/>
      <c r="AO559" s="1637"/>
      <c r="AP559" s="1637"/>
      <c r="AQ559" s="1637"/>
      <c r="AR559" s="1637"/>
      <c r="AS559" s="1638"/>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4" t="s">
        <v>2723</v>
      </c>
      <c r="D560" s="1704"/>
      <c r="E560" s="1704"/>
      <c r="F560" s="1704"/>
      <c r="G560" s="1704"/>
      <c r="H560" s="1704"/>
      <c r="I560" s="1704"/>
      <c r="J560" s="1704"/>
      <c r="K560" s="1704"/>
      <c r="L560" s="1704"/>
      <c r="M560" s="1696" t="s">
        <v>2423</v>
      </c>
      <c r="N560" s="1696"/>
      <c r="O560" s="1696"/>
      <c r="P560" s="1696"/>
      <c r="Q560" s="1494"/>
      <c r="R560" s="1495"/>
      <c r="S560" s="1496"/>
      <c r="T560" s="1494"/>
      <c r="U560" s="1495"/>
      <c r="V560" s="1496"/>
      <c r="W560" s="1497"/>
      <c r="X560" s="1498"/>
      <c r="Y560" s="1499"/>
      <c r="Z560" s="1697" t="s">
        <v>599</v>
      </c>
      <c r="AA560" s="1697"/>
      <c r="AB560" s="1697"/>
      <c r="AC560" s="1697"/>
      <c r="AD560" s="1697"/>
      <c r="AE560" s="1688"/>
      <c r="AF560" s="1689"/>
      <c r="AG560" s="1689"/>
      <c r="AH560" s="1690"/>
      <c r="AI560" s="1685"/>
      <c r="AJ560" s="1686"/>
      <c r="AK560" s="1686"/>
      <c r="AL560" s="1687"/>
      <c r="AM560" s="1636">
        <f>471206</f>
        <v>471206</v>
      </c>
      <c r="AN560" s="1637"/>
      <c r="AO560" s="1637"/>
      <c r="AP560" s="1637"/>
      <c r="AQ560" s="1637"/>
      <c r="AR560" s="1637"/>
      <c r="AS560" s="163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4"/>
      <c r="D561" s="1704"/>
      <c r="E561" s="1704"/>
      <c r="F561" s="1704"/>
      <c r="G561" s="1704"/>
      <c r="H561" s="1704"/>
      <c r="I561" s="1704"/>
      <c r="J561" s="1704"/>
      <c r="K561" s="1704"/>
      <c r="L561" s="1704"/>
      <c r="M561" s="1696" t="s">
        <v>1290</v>
      </c>
      <c r="N561" s="1696"/>
      <c r="O561" s="1696"/>
      <c r="P561" s="1696"/>
      <c r="Q561" s="1494"/>
      <c r="R561" s="1495"/>
      <c r="S561" s="1496"/>
      <c r="T561" s="1494"/>
      <c r="U561" s="1495"/>
      <c r="V561" s="1496"/>
      <c r="W561" s="1497"/>
      <c r="X561" s="1498"/>
      <c r="Y561" s="1499"/>
      <c r="Z561" s="1697" t="s">
        <v>1290</v>
      </c>
      <c r="AA561" s="1697"/>
      <c r="AB561" s="1697"/>
      <c r="AC561" s="1697"/>
      <c r="AD561" s="1697"/>
      <c r="AE561" s="1688"/>
      <c r="AF561" s="1689"/>
      <c r="AG561" s="1689"/>
      <c r="AH561" s="1690"/>
      <c r="AI561" s="1685"/>
      <c r="AJ561" s="1686"/>
      <c r="AK561" s="1686"/>
      <c r="AL561" s="1687"/>
      <c r="AM561" s="1636"/>
      <c r="AN561" s="1637"/>
      <c r="AO561" s="1637"/>
      <c r="AP561" s="1637"/>
      <c r="AQ561" s="1637"/>
      <c r="AR561" s="1637"/>
      <c r="AS561" s="163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4"/>
      <c r="D562" s="1704"/>
      <c r="E562" s="1704"/>
      <c r="F562" s="1704"/>
      <c r="G562" s="1704"/>
      <c r="H562" s="1704"/>
      <c r="I562" s="1704"/>
      <c r="J562" s="1704"/>
      <c r="K562" s="1704"/>
      <c r="L562" s="1704"/>
      <c r="M562" s="1696" t="s">
        <v>1290</v>
      </c>
      <c r="N562" s="1696"/>
      <c r="O562" s="1696"/>
      <c r="P562" s="1696"/>
      <c r="Q562" s="1494"/>
      <c r="R562" s="1495"/>
      <c r="S562" s="1496"/>
      <c r="T562" s="1494"/>
      <c r="U562" s="1495"/>
      <c r="V562" s="1496"/>
      <c r="W562" s="1497"/>
      <c r="X562" s="1498"/>
      <c r="Y562" s="1499"/>
      <c r="Z562" s="1697" t="s">
        <v>1290</v>
      </c>
      <c r="AA562" s="1697"/>
      <c r="AB562" s="1697"/>
      <c r="AC562" s="1697"/>
      <c r="AD562" s="1697"/>
      <c r="AE562" s="1688"/>
      <c r="AF562" s="1689"/>
      <c r="AG562" s="1689"/>
      <c r="AH562" s="1690"/>
      <c r="AI562" s="1685"/>
      <c r="AJ562" s="1686"/>
      <c r="AK562" s="1686"/>
      <c r="AL562" s="1687"/>
      <c r="AM562" s="1636"/>
      <c r="AN562" s="1637"/>
      <c r="AO562" s="1637"/>
      <c r="AP562" s="1637"/>
      <c r="AQ562" s="1637"/>
      <c r="AR562" s="1637"/>
      <c r="AS562" s="163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4"/>
      <c r="D563" s="1704"/>
      <c r="E563" s="1704"/>
      <c r="F563" s="1704"/>
      <c r="G563" s="1704"/>
      <c r="H563" s="1704"/>
      <c r="I563" s="1704"/>
      <c r="J563" s="1704"/>
      <c r="K563" s="1704"/>
      <c r="L563" s="1704"/>
      <c r="M563" s="1696" t="s">
        <v>1290</v>
      </c>
      <c r="N563" s="1696"/>
      <c r="O563" s="1696"/>
      <c r="P563" s="1696"/>
      <c r="Q563" s="1494"/>
      <c r="R563" s="1495"/>
      <c r="S563" s="1496"/>
      <c r="T563" s="1494"/>
      <c r="U563" s="1495"/>
      <c r="V563" s="1496"/>
      <c r="W563" s="1497"/>
      <c r="X563" s="1498"/>
      <c r="Y563" s="1499"/>
      <c r="Z563" s="1697" t="s">
        <v>1290</v>
      </c>
      <c r="AA563" s="1697"/>
      <c r="AB563" s="1697"/>
      <c r="AC563" s="1697"/>
      <c r="AD563" s="1697"/>
      <c r="AE563" s="1688"/>
      <c r="AF563" s="1689"/>
      <c r="AG563" s="1689"/>
      <c r="AH563" s="1690"/>
      <c r="AI563" s="1685"/>
      <c r="AJ563" s="1686"/>
      <c r="AK563" s="1686"/>
      <c r="AL563" s="1687"/>
      <c r="AM563" s="1636"/>
      <c r="AN563" s="1637"/>
      <c r="AO563" s="1637"/>
      <c r="AP563" s="1637"/>
      <c r="AQ563" s="1637"/>
      <c r="AR563" s="1637"/>
      <c r="AS563" s="163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4"/>
      <c r="D564" s="1704"/>
      <c r="E564" s="1704"/>
      <c r="F564" s="1704"/>
      <c r="G564" s="1704"/>
      <c r="H564" s="1704"/>
      <c r="I564" s="1704"/>
      <c r="J564" s="1704"/>
      <c r="K564" s="1704"/>
      <c r="L564" s="1704"/>
      <c r="M564" s="1696" t="s">
        <v>1290</v>
      </c>
      <c r="N564" s="1696"/>
      <c r="O564" s="1696"/>
      <c r="P564" s="1696"/>
      <c r="Q564" s="1494"/>
      <c r="R564" s="1495"/>
      <c r="S564" s="1496"/>
      <c r="T564" s="1494"/>
      <c r="U564" s="1495"/>
      <c r="V564" s="1496"/>
      <c r="W564" s="1497"/>
      <c r="X564" s="1498"/>
      <c r="Y564" s="1499"/>
      <c r="Z564" s="1697" t="s">
        <v>1290</v>
      </c>
      <c r="AA564" s="1697"/>
      <c r="AB564" s="1697"/>
      <c r="AC564" s="1697"/>
      <c r="AD564" s="1697"/>
      <c r="AE564" s="1688"/>
      <c r="AF564" s="1689"/>
      <c r="AG564" s="1689"/>
      <c r="AH564" s="1690"/>
      <c r="AI564" s="1685"/>
      <c r="AJ564" s="1686"/>
      <c r="AK564" s="1686"/>
      <c r="AL564" s="1687"/>
      <c r="AM564" s="1636"/>
      <c r="AN564" s="1637"/>
      <c r="AO564" s="1637"/>
      <c r="AP564" s="1637"/>
      <c r="AQ564" s="1637"/>
      <c r="AR564" s="1637"/>
      <c r="AS564" s="163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4"/>
      <c r="D565" s="1704"/>
      <c r="E565" s="1704"/>
      <c r="F565" s="1704"/>
      <c r="G565" s="1704"/>
      <c r="H565" s="1704"/>
      <c r="I565" s="1704"/>
      <c r="J565" s="1704"/>
      <c r="K565" s="1704"/>
      <c r="L565" s="1704"/>
      <c r="M565" s="1696" t="s">
        <v>1290</v>
      </c>
      <c r="N565" s="1696"/>
      <c r="O565" s="1696"/>
      <c r="P565" s="1696"/>
      <c r="Q565" s="1494"/>
      <c r="R565" s="1495"/>
      <c r="S565" s="1496"/>
      <c r="T565" s="1494"/>
      <c r="U565" s="1495"/>
      <c r="V565" s="1496"/>
      <c r="W565" s="1497"/>
      <c r="X565" s="1498"/>
      <c r="Y565" s="1499"/>
      <c r="Z565" s="1697" t="s">
        <v>1290</v>
      </c>
      <c r="AA565" s="1697"/>
      <c r="AB565" s="1697"/>
      <c r="AC565" s="1697"/>
      <c r="AD565" s="1697"/>
      <c r="AE565" s="1688"/>
      <c r="AF565" s="1689"/>
      <c r="AG565" s="1689"/>
      <c r="AH565" s="1690"/>
      <c r="AI565" s="1685"/>
      <c r="AJ565" s="1686"/>
      <c r="AK565" s="1686"/>
      <c r="AL565" s="1687"/>
      <c r="AM565" s="1636"/>
      <c r="AN565" s="1637"/>
      <c r="AO565" s="1637"/>
      <c r="AP565" s="1637"/>
      <c r="AQ565" s="1637"/>
      <c r="AR565" s="1637"/>
      <c r="AS565" s="163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00" t="s">
        <v>127</v>
      </c>
      <c r="C566" s="1501"/>
      <c r="D566" s="1501"/>
      <c r="E566" s="1501"/>
      <c r="F566" s="1501"/>
      <c r="G566" s="1501"/>
      <c r="H566" s="1501"/>
      <c r="I566" s="1501"/>
      <c r="J566" s="1501"/>
      <c r="K566" s="1501"/>
      <c r="L566" s="1501"/>
      <c r="M566" s="1501"/>
      <c r="N566" s="1501"/>
      <c r="O566" s="1501"/>
      <c r="P566" s="1501"/>
      <c r="Q566" s="1501"/>
      <c r="R566" s="1501"/>
      <c r="S566" s="1501"/>
      <c r="T566" s="1501"/>
      <c r="U566" s="1504"/>
      <c r="V566" s="1501"/>
      <c r="W566" s="1501"/>
      <c r="X566" s="1501"/>
      <c r="Y566" s="1501"/>
      <c r="Z566" s="1501"/>
      <c r="AA566" s="1501"/>
      <c r="AB566" s="1501"/>
      <c r="AC566" s="1501"/>
      <c r="AD566" s="1501"/>
      <c r="AE566" s="1501"/>
      <c r="AF566" s="1501"/>
      <c r="AG566" s="1501"/>
      <c r="AH566" s="1501"/>
      <c r="AI566" s="1501"/>
      <c r="AJ566" s="1501"/>
      <c r="AK566" s="1501"/>
      <c r="AL566" s="1502"/>
      <c r="AM566" s="1389">
        <f>SUM(AM554:AS565)</f>
        <v>75243950</v>
      </c>
      <c r="AN566" s="1390"/>
      <c r="AO566" s="1390"/>
      <c r="AP566" s="1390"/>
      <c r="AQ566" s="1390"/>
      <c r="AR566" s="1390"/>
      <c r="AS566" s="1391"/>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74" t="str">
        <f>C554</f>
        <v>Citibank, N.A - Tax Exempt</v>
      </c>
      <c r="H568" s="1474"/>
      <c r="I568" s="1474"/>
      <c r="J568" s="1474"/>
      <c r="K568" s="1474"/>
      <c r="L568" s="1474"/>
      <c r="M568" s="1474"/>
      <c r="N568" s="1474"/>
      <c r="O568" s="1474"/>
      <c r="P568" s="1474"/>
      <c r="Q568" s="1474"/>
      <c r="R568" s="1474"/>
      <c r="S568" s="8"/>
      <c r="T568" s="55" t="s">
        <v>113</v>
      </c>
      <c r="U568" t="s">
        <v>471</v>
      </c>
      <c r="Z568" s="1474" t="str">
        <f>C555</f>
        <v>Citibank, N.A - Recycled</v>
      </c>
      <c r="AA568" s="1474"/>
      <c r="AB568" s="1474"/>
      <c r="AC568" s="1474"/>
      <c r="AD568" s="1474"/>
      <c r="AE568" s="1474"/>
      <c r="AF568" s="1474"/>
      <c r="AG568" s="1474"/>
      <c r="AH568" s="1474"/>
      <c r="AI568" s="1474"/>
      <c r="AJ568" s="1474"/>
      <c r="AK568" s="147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07" t="s">
        <v>2757</v>
      </c>
      <c r="H569" s="1408"/>
      <c r="I569" s="1408"/>
      <c r="J569" s="1408"/>
      <c r="K569" s="1408"/>
      <c r="L569" s="1408"/>
      <c r="M569" s="1408"/>
      <c r="N569" s="1408"/>
      <c r="O569" s="1408"/>
      <c r="P569" s="1408"/>
      <c r="Q569" s="1408"/>
      <c r="R569" s="1408"/>
      <c r="S569" s="8"/>
      <c r="T569" s="22"/>
      <c r="U569" t="s">
        <v>85</v>
      </c>
      <c r="Z569" s="1408" t="s">
        <v>2757</v>
      </c>
      <c r="AA569" s="1408"/>
      <c r="AB569" s="1408"/>
      <c r="AC569" s="1408"/>
      <c r="AD569" s="1408"/>
      <c r="AE569" s="1408"/>
      <c r="AF569" s="1408"/>
      <c r="AG569" s="1408"/>
      <c r="AH569" s="1408"/>
      <c r="AI569" s="1408"/>
      <c r="AJ569" s="1408"/>
      <c r="AK569" s="140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07" t="s">
        <v>2758</v>
      </c>
      <c r="H570" s="1408"/>
      <c r="I570" s="1408"/>
      <c r="J570" s="1408"/>
      <c r="K570" s="1408"/>
      <c r="L570" s="1408"/>
      <c r="M570" s="1408"/>
      <c r="N570" s="1408"/>
      <c r="O570" s="1408"/>
      <c r="P570" s="1408"/>
      <c r="Q570" s="1408"/>
      <c r="R570" s="1408"/>
      <c r="T570" s="22"/>
      <c r="U570" t="s">
        <v>588</v>
      </c>
      <c r="Z570" s="1417" t="s">
        <v>2758</v>
      </c>
      <c r="AA570" s="1417"/>
      <c r="AB570" s="1417"/>
      <c r="AC570" s="1417"/>
      <c r="AD570" s="1417"/>
      <c r="AE570" s="1417"/>
      <c r="AF570" s="1417"/>
      <c r="AG570" s="1417"/>
      <c r="AH570" s="1417"/>
      <c r="AI570" s="1417"/>
      <c r="AJ570" s="1417"/>
      <c r="AK570" s="141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07" t="s">
        <v>2714</v>
      </c>
      <c r="H571" s="1408"/>
      <c r="I571" s="1408"/>
      <c r="J571" s="1408"/>
      <c r="K571" s="1408"/>
      <c r="L571" s="1408"/>
      <c r="M571" s="1408"/>
      <c r="N571" s="1408"/>
      <c r="O571" s="1408"/>
      <c r="P571" s="1408"/>
      <c r="Q571" s="1408"/>
      <c r="R571" s="1408"/>
      <c r="S571" s="8"/>
      <c r="T571" s="22"/>
      <c r="U571" t="s">
        <v>17</v>
      </c>
      <c r="Z571" s="1417" t="s">
        <v>2714</v>
      </c>
      <c r="AA571" s="1417"/>
      <c r="AB571" s="1417"/>
      <c r="AC571" s="1417"/>
      <c r="AD571" s="1417"/>
      <c r="AE571" s="1417"/>
      <c r="AF571" s="1417"/>
      <c r="AG571" s="1417"/>
      <c r="AH571" s="1417"/>
      <c r="AI571" s="1417"/>
      <c r="AJ571" s="1417"/>
      <c r="AK571" s="141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05" t="s">
        <v>2759</v>
      </c>
      <c r="H572" s="1406"/>
      <c r="I572" s="1406"/>
      <c r="J572" s="1406"/>
      <c r="K572" s="1406"/>
      <c r="L572" s="1406"/>
      <c r="O572" s="33" t="s">
        <v>207</v>
      </c>
      <c r="P572" s="1473"/>
      <c r="Q572" s="1473"/>
      <c r="R572" s="1473"/>
      <c r="S572" s="10"/>
      <c r="T572" s="22"/>
      <c r="U572" t="s">
        <v>317</v>
      </c>
      <c r="Z572" s="1406" t="s">
        <v>2759</v>
      </c>
      <c r="AA572" s="1406"/>
      <c r="AB572" s="1406"/>
      <c r="AC572" s="1406"/>
      <c r="AD572" s="1406"/>
      <c r="AE572" s="1406"/>
      <c r="AH572" s="33" t="s">
        <v>207</v>
      </c>
      <c r="AI572" s="1473"/>
      <c r="AJ572" s="1473"/>
      <c r="AK572" s="147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07" t="s">
        <v>2760</v>
      </c>
      <c r="I573" s="1408"/>
      <c r="J573" s="1408"/>
      <c r="K573" s="1408"/>
      <c r="L573" s="1408"/>
      <c r="M573" s="1408"/>
      <c r="N573" s="1408"/>
      <c r="O573" s="1408"/>
      <c r="P573" s="1408"/>
      <c r="Q573" s="1408"/>
      <c r="R573" s="1408"/>
      <c r="S573" s="8"/>
      <c r="T573" s="22"/>
      <c r="U573" t="s">
        <v>18</v>
      </c>
      <c r="AA573" s="1408" t="s">
        <v>2760</v>
      </c>
      <c r="AB573" s="1408"/>
      <c r="AC573" s="1408"/>
      <c r="AD573" s="1408"/>
      <c r="AE573" s="1408"/>
      <c r="AF573" s="1408"/>
      <c r="AG573" s="1408"/>
      <c r="AH573" s="1408"/>
      <c r="AI573" s="1408"/>
      <c r="AJ573" s="1408"/>
      <c r="AK573" s="140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13"/>
      <c r="N574" s="1713"/>
      <c r="O574" s="1713"/>
      <c r="P574" s="1713"/>
      <c r="Q574" s="1713"/>
      <c r="R574" s="1713"/>
      <c r="S574" s="8"/>
      <c r="T574" s="22"/>
      <c r="U574" s="348" t="s">
        <v>1291</v>
      </c>
      <c r="AA574" s="8"/>
      <c r="AB574" s="8"/>
      <c r="AC574" s="8"/>
      <c r="AD574" s="8"/>
      <c r="AE574" s="8"/>
      <c r="AF574" s="1713"/>
      <c r="AG574" s="1713"/>
      <c r="AH574" s="1713"/>
      <c r="AI574" s="1713"/>
      <c r="AJ574" s="1713"/>
      <c r="AK574" s="171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6" t="s">
        <v>553</v>
      </c>
      <c r="O575" s="1416"/>
      <c r="T575" s="22"/>
      <c r="U575" t="s">
        <v>20</v>
      </c>
      <c r="AG575" s="1416" t="s">
        <v>553</v>
      </c>
      <c r="AH575" s="141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74" t="str">
        <f>C556</f>
        <v>Citibank, N.A - Taxable</v>
      </c>
      <c r="H577" s="1474"/>
      <c r="I577" s="1474"/>
      <c r="J577" s="1474"/>
      <c r="K577" s="1474"/>
      <c r="L577" s="1474"/>
      <c r="M577" s="1474"/>
      <c r="N577" s="1474"/>
      <c r="O577" s="1474"/>
      <c r="P577" s="1474"/>
      <c r="Q577" s="1474"/>
      <c r="R577" s="1474"/>
      <c r="T577" s="55" t="s">
        <v>589</v>
      </c>
      <c r="U577" t="s">
        <v>471</v>
      </c>
      <c r="Z577" s="1474" t="str">
        <f>C557</f>
        <v>5435 Balboa LLC Seller Note</v>
      </c>
      <c r="AA577" s="1474"/>
      <c r="AB577" s="1474"/>
      <c r="AC577" s="1474"/>
      <c r="AD577" s="1474"/>
      <c r="AE577" s="1474"/>
      <c r="AF577" s="1474"/>
      <c r="AG577" s="1474"/>
      <c r="AH577" s="1474"/>
      <c r="AI577" s="1474"/>
      <c r="AJ577" s="1474"/>
      <c r="AK577" s="147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08" t="s">
        <v>2757</v>
      </c>
      <c r="H578" s="1408"/>
      <c r="I578" s="1408"/>
      <c r="J578" s="1408"/>
      <c r="K578" s="1408"/>
      <c r="L578" s="1408"/>
      <c r="M578" s="1408"/>
      <c r="N578" s="1408"/>
      <c r="O578" s="1408"/>
      <c r="P578" s="1408"/>
      <c r="Q578" s="1408"/>
      <c r="R578" s="1408"/>
      <c r="T578" s="22"/>
      <c r="U578" t="s">
        <v>85</v>
      </c>
      <c r="Z578" s="1407" t="s">
        <v>2755</v>
      </c>
      <c r="AA578" s="1408"/>
      <c r="AB578" s="1408"/>
      <c r="AC578" s="1408"/>
      <c r="AD578" s="1408"/>
      <c r="AE578" s="1408"/>
      <c r="AF578" s="1408"/>
      <c r="AG578" s="1408"/>
      <c r="AH578" s="1408"/>
      <c r="AI578" s="1408"/>
      <c r="AJ578" s="1408"/>
      <c r="AK578" s="1408"/>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17" t="s">
        <v>2758</v>
      </c>
      <c r="H579" s="1417"/>
      <c r="I579" s="1417"/>
      <c r="J579" s="1417"/>
      <c r="K579" s="1417"/>
      <c r="L579" s="1417"/>
      <c r="M579" s="1417"/>
      <c r="N579" s="1417"/>
      <c r="O579" s="1417"/>
      <c r="P579" s="1417"/>
      <c r="Q579" s="1417"/>
      <c r="R579" s="1417"/>
      <c r="T579" s="22"/>
      <c r="U579" t="s">
        <v>588</v>
      </c>
      <c r="Z579" s="1506" t="s">
        <v>2756</v>
      </c>
      <c r="AA579" s="1417"/>
      <c r="AB579" s="1417"/>
      <c r="AC579" s="1417"/>
      <c r="AD579" s="1417"/>
      <c r="AE579" s="1417"/>
      <c r="AF579" s="1417"/>
      <c r="AG579" s="1417"/>
      <c r="AH579" s="1417"/>
      <c r="AI579" s="1417"/>
      <c r="AJ579" s="1417"/>
      <c r="AK579" s="141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17" t="s">
        <v>2714</v>
      </c>
      <c r="H580" s="1417"/>
      <c r="I580" s="1417"/>
      <c r="J580" s="1417"/>
      <c r="K580" s="1417"/>
      <c r="L580" s="1417"/>
      <c r="M580" s="1417"/>
      <c r="N580" s="1417"/>
      <c r="O580" s="1417"/>
      <c r="P580" s="1417"/>
      <c r="Q580" s="1417"/>
      <c r="R580" s="1417"/>
      <c r="T580" s="22"/>
      <c r="U580" t="s">
        <v>17</v>
      </c>
      <c r="Z580" s="1506" t="s">
        <v>2702</v>
      </c>
      <c r="AA580" s="1417"/>
      <c r="AB580" s="1417"/>
      <c r="AC580" s="1417"/>
      <c r="AD580" s="1417"/>
      <c r="AE580" s="1417"/>
      <c r="AF580" s="1417"/>
      <c r="AG580" s="1417"/>
      <c r="AH580" s="1417"/>
      <c r="AI580" s="1417"/>
      <c r="AJ580" s="1417"/>
      <c r="AK580" s="141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06" t="s">
        <v>2759</v>
      </c>
      <c r="H581" s="1406"/>
      <c r="I581" s="1406"/>
      <c r="J581" s="1406"/>
      <c r="K581" s="1406"/>
      <c r="L581" s="1406"/>
      <c r="O581" s="33" t="s">
        <v>207</v>
      </c>
      <c r="P581" s="1473"/>
      <c r="Q581" s="1473"/>
      <c r="R581" s="1473"/>
      <c r="T581" s="22"/>
      <c r="U581" t="s">
        <v>317</v>
      </c>
      <c r="Z581" s="1405" t="s">
        <v>2763</v>
      </c>
      <c r="AA581" s="1406"/>
      <c r="AB581" s="1406"/>
      <c r="AC581" s="1406"/>
      <c r="AD581" s="1406"/>
      <c r="AE581" s="1406"/>
      <c r="AH581" s="33" t="s">
        <v>207</v>
      </c>
      <c r="AI581" s="1473"/>
      <c r="AJ581" s="1473"/>
      <c r="AK581" s="147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07" t="s">
        <v>2761</v>
      </c>
      <c r="I582" s="1408"/>
      <c r="J582" s="1408"/>
      <c r="K582" s="1408"/>
      <c r="L582" s="1408"/>
      <c r="M582" s="1408"/>
      <c r="N582" s="1408"/>
      <c r="O582" s="1408"/>
      <c r="P582" s="1408"/>
      <c r="Q582" s="1408"/>
      <c r="R582" s="1408"/>
      <c r="T582" s="22"/>
      <c r="U582" t="s">
        <v>18</v>
      </c>
      <c r="AA582" s="1407" t="s">
        <v>2721</v>
      </c>
      <c r="AB582" s="1408"/>
      <c r="AC582" s="1408"/>
      <c r="AD582" s="1408"/>
      <c r="AE582" s="1408"/>
      <c r="AF582" s="1408"/>
      <c r="AG582" s="1408"/>
      <c r="AH582" s="1408"/>
      <c r="AI582" s="1408"/>
      <c r="AJ582" s="1408"/>
      <c r="AK582" s="140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6" t="s">
        <v>553</v>
      </c>
      <c r="O583" s="1416"/>
      <c r="T583" s="22"/>
      <c r="U583" t="s">
        <v>20</v>
      </c>
      <c r="AG583" s="1416" t="s">
        <v>553</v>
      </c>
      <c r="AH583" s="141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74" t="str">
        <f>C558</f>
        <v>Deferred Developer Fee</v>
      </c>
      <c r="H585" s="1474"/>
      <c r="I585" s="1474"/>
      <c r="J585" s="1474"/>
      <c r="K585" s="1474"/>
      <c r="L585" s="1474"/>
      <c r="M585" s="1474"/>
      <c r="N585" s="1474"/>
      <c r="O585" s="1474"/>
      <c r="P585" s="1474"/>
      <c r="Q585" s="1474"/>
      <c r="R585" s="1474"/>
      <c r="T585" s="55" t="s">
        <v>592</v>
      </c>
      <c r="U585" t="s">
        <v>471</v>
      </c>
      <c r="Z585" s="1474" t="str">
        <f>C559</f>
        <v>Tax Credit Equity</v>
      </c>
      <c r="AA585" s="1474"/>
      <c r="AB585" s="1474"/>
      <c r="AC585" s="1474"/>
      <c r="AD585" s="1474"/>
      <c r="AE585" s="1474"/>
      <c r="AF585" s="1474"/>
      <c r="AG585" s="1474"/>
      <c r="AH585" s="1474"/>
      <c r="AI585" s="1474"/>
      <c r="AJ585" s="1474"/>
      <c r="AK585" s="147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07" t="s">
        <v>2768</v>
      </c>
      <c r="H586" s="1408"/>
      <c r="I586" s="1408"/>
      <c r="J586" s="1408"/>
      <c r="K586" s="1408"/>
      <c r="L586" s="1408"/>
      <c r="M586" s="1408"/>
      <c r="N586" s="1408"/>
      <c r="O586" s="1408"/>
      <c r="P586" s="1408"/>
      <c r="Q586" s="1408"/>
      <c r="R586" s="1408"/>
      <c r="T586" s="22"/>
      <c r="U586" t="s">
        <v>85</v>
      </c>
      <c r="Z586" s="1407" t="s">
        <v>2749</v>
      </c>
      <c r="AA586" s="1408"/>
      <c r="AB586" s="1408"/>
      <c r="AC586" s="1408"/>
      <c r="AD586" s="1408"/>
      <c r="AE586" s="1408"/>
      <c r="AF586" s="1408"/>
      <c r="AG586" s="1408"/>
      <c r="AH586" s="1408"/>
      <c r="AI586" s="1408"/>
      <c r="AJ586" s="1408"/>
      <c r="AK586" s="140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07" t="s">
        <v>2716</v>
      </c>
      <c r="H587" s="1408"/>
      <c r="I587" s="1408"/>
      <c r="J587" s="1408"/>
      <c r="K587" s="1408"/>
      <c r="L587" s="1408"/>
      <c r="M587" s="1408"/>
      <c r="N587" s="1408"/>
      <c r="O587" s="1408"/>
      <c r="P587" s="1408"/>
      <c r="Q587" s="1408"/>
      <c r="R587" s="1408"/>
      <c r="T587" s="22"/>
      <c r="U587" t="s">
        <v>588</v>
      </c>
      <c r="Z587" s="1506" t="s">
        <v>2750</v>
      </c>
      <c r="AA587" s="1417"/>
      <c r="AB587" s="1417"/>
      <c r="AC587" s="1417"/>
      <c r="AD587" s="1417"/>
      <c r="AE587" s="1417"/>
      <c r="AF587" s="1417"/>
      <c r="AG587" s="1417"/>
      <c r="AH587" s="1417"/>
      <c r="AI587" s="1417"/>
      <c r="AJ587" s="1417"/>
      <c r="AK587" s="141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07" t="s">
        <v>2694</v>
      </c>
      <c r="H588" s="1408"/>
      <c r="I588" s="1408"/>
      <c r="J588" s="1408"/>
      <c r="K588" s="1408"/>
      <c r="L588" s="1408"/>
      <c r="M588" s="1408"/>
      <c r="N588" s="1408"/>
      <c r="O588" s="1408"/>
      <c r="P588" s="1408"/>
      <c r="Q588" s="1408"/>
      <c r="R588" s="1408"/>
      <c r="T588" s="22"/>
      <c r="U588" t="s">
        <v>17</v>
      </c>
      <c r="Z588" s="1506" t="s">
        <v>2704</v>
      </c>
      <c r="AA588" s="1417"/>
      <c r="AB588" s="1417"/>
      <c r="AC588" s="1417"/>
      <c r="AD588" s="1417"/>
      <c r="AE588" s="1417"/>
      <c r="AF588" s="1417"/>
      <c r="AG588" s="1417"/>
      <c r="AH588" s="1417"/>
      <c r="AI588" s="1417"/>
      <c r="AJ588" s="1417"/>
      <c r="AK588" s="1417"/>
    </row>
    <row r="589" spans="1:110" ht="12.95" customHeight="1">
      <c r="A589" s="22"/>
      <c r="B589" t="s">
        <v>317</v>
      </c>
      <c r="G589" s="1405" t="s">
        <v>2717</v>
      </c>
      <c r="H589" s="1406"/>
      <c r="I589" s="1406"/>
      <c r="J589" s="1406"/>
      <c r="K589" s="1406"/>
      <c r="L589" s="1406"/>
      <c r="O589" s="33" t="s">
        <v>207</v>
      </c>
      <c r="P589" s="1473"/>
      <c r="Q589" s="1473"/>
      <c r="R589" s="1473"/>
      <c r="T589" s="22"/>
      <c r="U589" t="s">
        <v>317</v>
      </c>
      <c r="Z589" s="1405" t="s">
        <v>2748</v>
      </c>
      <c r="AA589" s="1406"/>
      <c r="AB589" s="1406"/>
      <c r="AC589" s="1406"/>
      <c r="AD589" s="1406"/>
      <c r="AE589" s="1406"/>
      <c r="AH589" s="33" t="s">
        <v>207</v>
      </c>
      <c r="AI589" s="1473"/>
      <c r="AJ589" s="1473"/>
      <c r="AK589" s="147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07" t="s">
        <v>2723</v>
      </c>
      <c r="I590" s="1408"/>
      <c r="J590" s="1408"/>
      <c r="K590" s="1408"/>
      <c r="L590" s="1408"/>
      <c r="M590" s="1408"/>
      <c r="N590" s="1408"/>
      <c r="O590" s="1408"/>
      <c r="P590" s="1408"/>
      <c r="Q590" s="1408"/>
      <c r="R590" s="1408"/>
      <c r="T590" s="22"/>
      <c r="U590" t="s">
        <v>18</v>
      </c>
      <c r="AA590" s="1407" t="s">
        <v>2762</v>
      </c>
      <c r="AB590" s="1408"/>
      <c r="AC590" s="1408"/>
      <c r="AD590" s="1408"/>
      <c r="AE590" s="1408"/>
      <c r="AF590" s="1408"/>
      <c r="AG590" s="1408"/>
      <c r="AH590" s="1408"/>
      <c r="AI590" s="1408"/>
      <c r="AJ590" s="1408"/>
      <c r="AK590" s="140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6" t="s">
        <v>553</v>
      </c>
      <c r="O591" s="1416"/>
      <c r="T591" s="22"/>
      <c r="U591" t="s">
        <v>20</v>
      </c>
      <c r="AG591" s="1416" t="s">
        <v>553</v>
      </c>
      <c r="AH591" s="141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74" t="str">
        <f>C560</f>
        <v>Deferred Costs</v>
      </c>
      <c r="H593" s="1474"/>
      <c r="I593" s="1474"/>
      <c r="J593" s="1474"/>
      <c r="K593" s="1474"/>
      <c r="L593" s="1474"/>
      <c r="M593" s="1474"/>
      <c r="N593" s="1474"/>
      <c r="O593" s="1474"/>
      <c r="P593" s="1474"/>
      <c r="Q593" s="1474"/>
      <c r="R593" s="1474"/>
      <c r="T593" s="55" t="s">
        <v>464</v>
      </c>
      <c r="U593" t="s">
        <v>471</v>
      </c>
      <c r="Z593" s="1474">
        <f>C561</f>
        <v>0</v>
      </c>
      <c r="AA593" s="1474"/>
      <c r="AB593" s="1474"/>
      <c r="AC593" s="1474"/>
      <c r="AD593" s="1474"/>
      <c r="AE593" s="1474"/>
      <c r="AF593" s="1474"/>
      <c r="AG593" s="1474"/>
      <c r="AH593" s="1474"/>
      <c r="AI593" s="1474"/>
      <c r="AJ593" s="1474"/>
      <c r="AK593" s="147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08" t="s">
        <v>2768</v>
      </c>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08" t="s">
        <v>2716</v>
      </c>
      <c r="H595" s="1408"/>
      <c r="I595" s="1408"/>
      <c r="J595" s="1408"/>
      <c r="K595" s="1408"/>
      <c r="L595" s="1408"/>
      <c r="M595" s="1408"/>
      <c r="N595" s="1408"/>
      <c r="O595" s="1408"/>
      <c r="P595" s="1408"/>
      <c r="Q595" s="1408"/>
      <c r="R595" s="1408"/>
      <c r="S595"/>
      <c r="T595" s="22"/>
      <c r="U595" t="s">
        <v>588</v>
      </c>
      <c r="V595"/>
      <c r="W595"/>
      <c r="X595"/>
      <c r="Y595"/>
      <c r="Z595" s="1417"/>
      <c r="AA595" s="1417"/>
      <c r="AB595" s="1417"/>
      <c r="AC595" s="1417"/>
      <c r="AD595" s="1417"/>
      <c r="AE595" s="1417"/>
      <c r="AF595" s="1417"/>
      <c r="AG595" s="1417"/>
      <c r="AH595" s="1417"/>
      <c r="AI595" s="1417"/>
      <c r="AJ595" s="1417"/>
      <c r="AK595" s="141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08" t="s">
        <v>2694</v>
      </c>
      <c r="H596" s="1408"/>
      <c r="I596" s="1408"/>
      <c r="J596" s="1408"/>
      <c r="K596" s="1408"/>
      <c r="L596" s="1408"/>
      <c r="M596" s="1408"/>
      <c r="N596" s="1408"/>
      <c r="O596" s="1408"/>
      <c r="P596" s="1408"/>
      <c r="Q596" s="1408"/>
      <c r="R596" s="1408"/>
      <c r="S596"/>
      <c r="T596" s="22"/>
      <c r="U596" t="s">
        <v>17</v>
      </c>
      <c r="V596"/>
      <c r="W596"/>
      <c r="X596"/>
      <c r="Y596"/>
      <c r="Z596" s="1417"/>
      <c r="AA596" s="1417"/>
      <c r="AB596" s="1417"/>
      <c r="AC596" s="1417"/>
      <c r="AD596" s="1417"/>
      <c r="AE596" s="1417"/>
      <c r="AF596" s="1417"/>
      <c r="AG596" s="1417"/>
      <c r="AH596" s="1417"/>
      <c r="AI596" s="1417"/>
      <c r="AJ596" s="1417"/>
      <c r="AK596" s="1417"/>
      <c r="AL596"/>
      <c r="AM596"/>
      <c r="AN596"/>
      <c r="AO596"/>
      <c r="AP596"/>
      <c r="AQ596"/>
      <c r="AR596"/>
      <c r="AS596"/>
      <c r="AT596"/>
      <c r="AU596"/>
      <c r="AV596"/>
      <c r="AW596"/>
      <c r="AX596"/>
      <c r="AY596"/>
      <c r="BA596" s="4" t="s">
        <v>325</v>
      </c>
      <c r="BB596" s="3"/>
      <c r="BC596" s="3"/>
      <c r="BD596" s="3"/>
      <c r="BE596" s="121" t="s">
        <v>482</v>
      </c>
      <c r="BF596" s="122"/>
      <c r="BG596" s="1511"/>
      <c r="BH596" s="1513"/>
      <c r="BI596" s="121" t="s">
        <v>483</v>
      </c>
      <c r="BJ596" s="122"/>
      <c r="BK596" s="1511"/>
      <c r="BL596" s="1513"/>
      <c r="BM596" s="3"/>
      <c r="BN596" s="1438" t="s">
        <v>641</v>
      </c>
      <c r="BO596" s="1439"/>
      <c r="BP596" s="1439"/>
      <c r="BQ596" s="1439"/>
      <c r="BR596" s="1440"/>
      <c r="BS596" s="1533" t="s">
        <v>326</v>
      </c>
      <c r="BT596" s="1533"/>
      <c r="BU596" s="1533"/>
      <c r="BV596" s="1533"/>
      <c r="BW596" s="1533"/>
      <c r="BX596" s="1533" t="s">
        <v>163</v>
      </c>
      <c r="BY596" s="1533"/>
      <c r="BZ596" s="1533"/>
      <c r="CA596" s="1533"/>
      <c r="CB596" s="1533"/>
      <c r="CC596" s="1533" t="s">
        <v>164</v>
      </c>
      <c r="CD596" s="1533"/>
      <c r="CE596" s="1533"/>
      <c r="CF596" s="1533"/>
      <c r="CG596" s="1533"/>
      <c r="CH596" s="1533" t="s">
        <v>468</v>
      </c>
      <c r="CI596" s="1533"/>
      <c r="CJ596" s="1533"/>
      <c r="CK596" s="1533"/>
      <c r="CL596" s="1533"/>
      <c r="CM596" s="1533" t="s">
        <v>30</v>
      </c>
      <c r="CN596" s="1533"/>
      <c r="CO596" s="1533"/>
      <c r="CP596" s="1533"/>
      <c r="CQ596" s="1533"/>
      <c r="CR596" s="89"/>
      <c r="CS596" s="1533" t="s">
        <v>641</v>
      </c>
      <c r="CT596" s="1533"/>
      <c r="CU596" s="1533"/>
      <c r="CV596" s="1533"/>
      <c r="CW596" s="1533"/>
      <c r="CX596" s="1533" t="s">
        <v>326</v>
      </c>
      <c r="CY596" s="1533"/>
      <c r="CZ596" s="1533"/>
      <c r="DA596" s="1533"/>
      <c r="DB596" s="1533"/>
      <c r="DC596" s="1533" t="s">
        <v>163</v>
      </c>
      <c r="DD596" s="1533"/>
      <c r="DE596" s="1533"/>
      <c r="DF596" s="1533"/>
      <c r="DG596" s="1533"/>
      <c r="DH596" s="1533" t="s">
        <v>164</v>
      </c>
      <c r="DI596" s="1533"/>
      <c r="DJ596" s="1533"/>
      <c r="DK596" s="1533"/>
      <c r="DL596" s="1533"/>
      <c r="DM596" s="1533" t="s">
        <v>468</v>
      </c>
      <c r="DN596" s="1533"/>
      <c r="DO596" s="1533"/>
      <c r="DP596" s="1533"/>
      <c r="DQ596" s="1533"/>
      <c r="DR596" s="1533" t="s">
        <v>30</v>
      </c>
      <c r="DS596" s="1533"/>
      <c r="DT596" s="1533"/>
      <c r="DU596" s="1533"/>
      <c r="DV596" s="1533"/>
      <c r="DX596" s="1533" t="s">
        <v>641</v>
      </c>
      <c r="DY596" s="1533"/>
      <c r="DZ596" s="1533"/>
      <c r="EA596" s="1533"/>
      <c r="EB596" s="1533"/>
      <c r="EC596" s="1533" t="s">
        <v>326</v>
      </c>
      <c r="ED596" s="1533"/>
      <c r="EE596" s="1533"/>
      <c r="EF596" s="1533"/>
      <c r="EG596" s="1533"/>
      <c r="EH596" s="1533" t="s">
        <v>163</v>
      </c>
      <c r="EI596" s="1533"/>
      <c r="EJ596" s="1533"/>
      <c r="EK596" s="1533"/>
      <c r="EL596" s="1533"/>
      <c r="EM596" s="1533" t="s">
        <v>164</v>
      </c>
      <c r="EN596" s="1533"/>
      <c r="EO596" s="1533"/>
      <c r="EP596" s="1533"/>
      <c r="EQ596" s="1533"/>
      <c r="ER596" s="1533" t="s">
        <v>468</v>
      </c>
      <c r="ES596" s="1533"/>
      <c r="ET596" s="1533"/>
      <c r="EU596" s="1533"/>
      <c r="EV596" s="1533"/>
      <c r="EW596" s="1533" t="s">
        <v>30</v>
      </c>
      <c r="EX596" s="1533"/>
      <c r="EY596" s="1533"/>
      <c r="EZ596" s="1533"/>
      <c r="FA596" s="1533"/>
    </row>
    <row r="597" spans="1:157" s="4" customFormat="1" ht="12.95" customHeight="1">
      <c r="A597" s="22"/>
      <c r="B597" t="s">
        <v>317</v>
      </c>
      <c r="C597"/>
      <c r="D597"/>
      <c r="E597"/>
      <c r="F597"/>
      <c r="G597" s="1406" t="s">
        <v>2717</v>
      </c>
      <c r="H597" s="1406"/>
      <c r="I597" s="1406"/>
      <c r="J597" s="1406"/>
      <c r="K597" s="1406"/>
      <c r="L597" s="1406"/>
      <c r="M597"/>
      <c r="N597"/>
      <c r="O597" s="33" t="s">
        <v>207</v>
      </c>
      <c r="P597" s="1473"/>
      <c r="Q597" s="1473"/>
      <c r="R597" s="1473"/>
      <c r="S597"/>
      <c r="T597" s="22"/>
      <c r="U597" t="s">
        <v>317</v>
      </c>
      <c r="V597"/>
      <c r="W597"/>
      <c r="X597"/>
      <c r="Y597"/>
      <c r="Z597" s="1406"/>
      <c r="AA597" s="1406"/>
      <c r="AB597" s="1406"/>
      <c r="AC597" s="1406"/>
      <c r="AD597" s="1406"/>
      <c r="AE597" s="1406"/>
      <c r="AF597"/>
      <c r="AG597"/>
      <c r="AH597" s="33" t="s">
        <v>207</v>
      </c>
      <c r="AI597" s="1473"/>
      <c r="AJ597" s="1473"/>
      <c r="AK597" s="1473"/>
      <c r="AL597"/>
      <c r="AM597"/>
      <c r="AN597"/>
      <c r="AO597"/>
      <c r="AP597"/>
      <c r="AQ597"/>
      <c r="AR597"/>
      <c r="AS597"/>
      <c r="AT597"/>
      <c r="AU597"/>
      <c r="AV597"/>
      <c r="AW597"/>
      <c r="AX597"/>
      <c r="AY597"/>
      <c r="BA597" s="4" t="s">
        <v>326</v>
      </c>
      <c r="BB597" s="3"/>
      <c r="BC597" s="3"/>
      <c r="BD597" s="3"/>
      <c r="BE597" s="1519">
        <f t="shared" ref="BE597:BE631" si="1">IF(AND(AC718&lt;=0.5,AC718&gt;=0.36),1,0)</f>
        <v>0</v>
      </c>
      <c r="BF597" s="1521"/>
      <c r="BG597" s="1511">
        <f t="shared" ref="BG597:BG631" si="2">IF(BE597=1,G718,0)</f>
        <v>0</v>
      </c>
      <c r="BH597" s="1513"/>
      <c r="BI597" s="1519">
        <f t="shared" ref="BI597:BI631" si="3">IF(AND(AC718&lt;=0.35,AC718&gt;0),1,0)</f>
        <v>1</v>
      </c>
      <c r="BJ597" s="1521"/>
      <c r="BK597" s="1511">
        <f t="shared" ref="BK597:BK631" si="4">IF(BI597=1,G718,0)</f>
        <v>9</v>
      </c>
      <c r="BL597" s="1513"/>
      <c r="BM597" s="3"/>
      <c r="BN597" s="1507">
        <f t="shared" ref="BN597:BN631" si="5">IF(B718="SRO/Studio",G718,0)</f>
        <v>9</v>
      </c>
      <c r="BO597" s="1508"/>
      <c r="BP597" s="1508"/>
      <c r="BQ597" s="1508"/>
      <c r="BR597" s="1509"/>
      <c r="BS597" s="1510">
        <f t="shared" ref="BS597:BS631" si="6">IF(B718="1 Bedroom",G718,0)</f>
        <v>0</v>
      </c>
      <c r="BT597" s="1510"/>
      <c r="BU597" s="1510"/>
      <c r="BV597" s="1510"/>
      <c r="BW597" s="1510"/>
      <c r="BX597" s="1510">
        <f t="shared" ref="BX597:BX631" si="7">IF(B718="2 Bedrooms",G718,0)</f>
        <v>0</v>
      </c>
      <c r="BY597" s="1510"/>
      <c r="BZ597" s="1510"/>
      <c r="CA597" s="1510"/>
      <c r="CB597" s="1510"/>
      <c r="CC597" s="1510">
        <f t="shared" ref="CC597:CC631" si="8">IF(B718="3 Bedrooms",G718,0)</f>
        <v>0</v>
      </c>
      <c r="CD597" s="1510"/>
      <c r="CE597" s="1510"/>
      <c r="CF597" s="1510"/>
      <c r="CG597" s="1510"/>
      <c r="CH597" s="1510">
        <f t="shared" ref="CH597:CH631" si="9">IF(B718="4 Bedrooms",G718,0)</f>
        <v>0</v>
      </c>
      <c r="CI597" s="1510"/>
      <c r="CJ597" s="1510"/>
      <c r="CK597" s="1510"/>
      <c r="CL597" s="1510"/>
      <c r="CM597" s="1510">
        <f t="shared" ref="CM597:CM631" si="10">IF(B718="5 Bedrooms",G718,0)</f>
        <v>0</v>
      </c>
      <c r="CN597" s="1510"/>
      <c r="CO597" s="1510"/>
      <c r="CP597" s="1510"/>
      <c r="CQ597" s="1510"/>
      <c r="CR597" s="6"/>
      <c r="CS597" s="1518">
        <f t="shared" ref="CS597:CS631" si="11">IF(AND(B718="SRO/Studio",AC718&lt;=0.3),G718,0)</f>
        <v>9</v>
      </c>
      <c r="CT597" s="1518"/>
      <c r="CU597" s="1518"/>
      <c r="CV597" s="1518"/>
      <c r="CW597" s="1518"/>
      <c r="CX597" s="1518">
        <f t="shared" ref="CX597:CX631" si="12">IF(AND(B718="1 Bedroom",AC718&lt;=0.3),G718,0)</f>
        <v>0</v>
      </c>
      <c r="CY597" s="1518"/>
      <c r="CZ597" s="1518"/>
      <c r="DA597" s="1518"/>
      <c r="DB597" s="1518"/>
      <c r="DC597" s="1518">
        <f t="shared" ref="DC597:DC631" si="13">IF(AND(B718="2 Bedrooms",AC718&lt;=0.3),G718,0)</f>
        <v>0</v>
      </c>
      <c r="DD597" s="1518"/>
      <c r="DE597" s="1518"/>
      <c r="DF597" s="1518"/>
      <c r="DG597" s="1518"/>
      <c r="DH597" s="1518">
        <f t="shared" ref="DH597:DH631" si="14">IF(AND(B718="3 Bedrooms",AC718&lt;=0.3),G718,0)</f>
        <v>0</v>
      </c>
      <c r="DI597" s="1518"/>
      <c r="DJ597" s="1518"/>
      <c r="DK597" s="1518"/>
      <c r="DL597" s="1518"/>
      <c r="DM597" s="1518">
        <f t="shared" ref="DM597:DM631" si="15">IF(AND(B718="4 Bedrooms",AC718&lt;=0.3),G718,0)</f>
        <v>0</v>
      </c>
      <c r="DN597" s="1518"/>
      <c r="DO597" s="1518"/>
      <c r="DP597" s="1518"/>
      <c r="DQ597" s="1518"/>
      <c r="DR597" s="1518">
        <f t="shared" ref="DR597:DR631" si="16">IF(AND(B718="5 Bedrooms",AC718&lt;=0.3),G718,0)</f>
        <v>0</v>
      </c>
      <c r="DS597" s="1518"/>
      <c r="DT597" s="1518"/>
      <c r="DU597" s="1518"/>
      <c r="DV597" s="1518"/>
      <c r="DX597" s="1519">
        <f t="shared" ref="DX597:DX631" si="17">IF(BN597&gt;0,O718,"")</f>
        <v>699</v>
      </c>
      <c r="DY597" s="1520"/>
      <c r="DZ597" s="1520"/>
      <c r="EA597" s="1520"/>
      <c r="EB597" s="1521"/>
      <c r="EC597" s="1519" t="str">
        <f t="shared" ref="EC597:EC631" si="18">IF(BS597&gt;0,O718,"")</f>
        <v/>
      </c>
      <c r="ED597" s="1520"/>
      <c r="EE597" s="1520"/>
      <c r="EF597" s="1520"/>
      <c r="EG597" s="1521"/>
      <c r="EH597" s="1519" t="str">
        <f t="shared" ref="EH597:EH631" si="19">IF(BX597&gt;0,O718,"")</f>
        <v/>
      </c>
      <c r="EI597" s="1520"/>
      <c r="EJ597" s="1520"/>
      <c r="EK597" s="1520"/>
      <c r="EL597" s="1521"/>
      <c r="EM597" s="1519" t="str">
        <f t="shared" ref="EM597:EM631" si="20">IF(CC597&gt;0,O718,"")</f>
        <v/>
      </c>
      <c r="EN597" s="1520"/>
      <c r="EO597" s="1520"/>
      <c r="EP597" s="1520"/>
      <c r="EQ597" s="1521"/>
      <c r="ER597" s="1519" t="str">
        <f t="shared" ref="ER597:ER631" si="21">IF(CH597&gt;0,O718,"")</f>
        <v/>
      </c>
      <c r="ES597" s="1520"/>
      <c r="ET597" s="1520"/>
      <c r="EU597" s="1520"/>
      <c r="EV597" s="1521"/>
      <c r="EW597" s="1519" t="str">
        <f t="shared" ref="EW597:EW631" si="22">IF(CM597&gt;0,O718,"")</f>
        <v/>
      </c>
      <c r="EX597" s="1520"/>
      <c r="EY597" s="1520"/>
      <c r="EZ597" s="1520"/>
      <c r="FA597" s="1521"/>
    </row>
    <row r="598" spans="1:157" s="4" customFormat="1" ht="12.95" customHeight="1">
      <c r="A598" s="22"/>
      <c r="B598" t="s">
        <v>18</v>
      </c>
      <c r="C598"/>
      <c r="D598"/>
      <c r="E598"/>
      <c r="F598"/>
      <c r="G598"/>
      <c r="H598" s="1408" t="s">
        <v>2723</v>
      </c>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A598" s="4" t="s">
        <v>163</v>
      </c>
      <c r="BB598" s="3"/>
      <c r="BC598" s="3"/>
      <c r="BD598" s="3"/>
      <c r="BE598" s="1519">
        <f t="shared" si="1"/>
        <v>0</v>
      </c>
      <c r="BF598" s="1521"/>
      <c r="BG598" s="1511">
        <f t="shared" si="2"/>
        <v>0</v>
      </c>
      <c r="BH598" s="1513"/>
      <c r="BI598" s="1519">
        <f t="shared" si="3"/>
        <v>0</v>
      </c>
      <c r="BJ598" s="1521"/>
      <c r="BK598" s="1511">
        <f t="shared" si="4"/>
        <v>0</v>
      </c>
      <c r="BL598" s="1513"/>
      <c r="BM598" s="3"/>
      <c r="BN598" s="1507">
        <f t="shared" si="5"/>
        <v>17</v>
      </c>
      <c r="BO598" s="1508"/>
      <c r="BP598" s="1508"/>
      <c r="BQ598" s="1508"/>
      <c r="BR598" s="1509"/>
      <c r="BS598" s="1510">
        <f t="shared" si="6"/>
        <v>0</v>
      </c>
      <c r="BT598" s="1510"/>
      <c r="BU598" s="1510"/>
      <c r="BV598" s="1510"/>
      <c r="BW598" s="1510"/>
      <c r="BX598" s="1510">
        <f t="shared" si="7"/>
        <v>0</v>
      </c>
      <c r="BY598" s="1510"/>
      <c r="BZ598" s="1510"/>
      <c r="CA598" s="1510"/>
      <c r="CB598" s="1510"/>
      <c r="CC598" s="1510">
        <f t="shared" si="8"/>
        <v>0</v>
      </c>
      <c r="CD598" s="1510"/>
      <c r="CE598" s="1510"/>
      <c r="CF598" s="1510"/>
      <c r="CG598" s="1510"/>
      <c r="CH598" s="1510">
        <f t="shared" si="9"/>
        <v>0</v>
      </c>
      <c r="CI598" s="1510"/>
      <c r="CJ598" s="1510"/>
      <c r="CK598" s="1510"/>
      <c r="CL598" s="1510"/>
      <c r="CM598" s="1510">
        <f t="shared" si="10"/>
        <v>0</v>
      </c>
      <c r="CN598" s="1510"/>
      <c r="CO598" s="1510"/>
      <c r="CP598" s="1510"/>
      <c r="CQ598" s="1510"/>
      <c r="CR598" s="6"/>
      <c r="CS598" s="1518">
        <f t="shared" si="11"/>
        <v>0</v>
      </c>
      <c r="CT598" s="1518"/>
      <c r="CU598" s="1518"/>
      <c r="CV598" s="1518"/>
      <c r="CW598" s="1518"/>
      <c r="CX598" s="1518">
        <f t="shared" si="12"/>
        <v>0</v>
      </c>
      <c r="CY598" s="1518"/>
      <c r="CZ598" s="1518"/>
      <c r="DA598" s="1518"/>
      <c r="DB598" s="1518"/>
      <c r="DC598" s="1518">
        <f t="shared" si="13"/>
        <v>0</v>
      </c>
      <c r="DD598" s="1518"/>
      <c r="DE598" s="1518"/>
      <c r="DF598" s="1518"/>
      <c r="DG598" s="1518"/>
      <c r="DH598" s="1518">
        <f t="shared" si="14"/>
        <v>0</v>
      </c>
      <c r="DI598" s="1518"/>
      <c r="DJ598" s="1518"/>
      <c r="DK598" s="1518"/>
      <c r="DL598" s="1518"/>
      <c r="DM598" s="1518">
        <f t="shared" si="15"/>
        <v>0</v>
      </c>
      <c r="DN598" s="1518"/>
      <c r="DO598" s="1518"/>
      <c r="DP598" s="1518"/>
      <c r="DQ598" s="1518"/>
      <c r="DR598" s="1518">
        <f t="shared" si="16"/>
        <v>0</v>
      </c>
      <c r="DS598" s="1518"/>
      <c r="DT598" s="1518"/>
      <c r="DU598" s="1518"/>
      <c r="DV598" s="1518"/>
      <c r="DX598" s="1519">
        <f t="shared" si="17"/>
        <v>1427</v>
      </c>
      <c r="DY598" s="1520"/>
      <c r="DZ598" s="1520"/>
      <c r="EA598" s="1520"/>
      <c r="EB598" s="1521"/>
      <c r="EC598" s="1519" t="str">
        <f t="shared" si="18"/>
        <v/>
      </c>
      <c r="ED598" s="1520"/>
      <c r="EE598" s="1520"/>
      <c r="EF598" s="1520"/>
      <c r="EG598" s="1521"/>
      <c r="EH598" s="1519" t="str">
        <f t="shared" si="19"/>
        <v/>
      </c>
      <c r="EI598" s="1520"/>
      <c r="EJ598" s="1520"/>
      <c r="EK598" s="1520"/>
      <c r="EL598" s="1521"/>
      <c r="EM598" s="1519" t="str">
        <f t="shared" si="20"/>
        <v/>
      </c>
      <c r="EN598" s="1520"/>
      <c r="EO598" s="1520"/>
      <c r="EP598" s="1520"/>
      <c r="EQ598" s="1521"/>
      <c r="ER598" s="1519" t="str">
        <f t="shared" si="21"/>
        <v/>
      </c>
      <c r="ES598" s="1520"/>
      <c r="ET598" s="1520"/>
      <c r="EU598" s="1520"/>
      <c r="EV598" s="1521"/>
      <c r="EW598" s="1519" t="str">
        <f t="shared" si="22"/>
        <v/>
      </c>
      <c r="EX598" s="1520"/>
      <c r="EY598" s="1520"/>
      <c r="EZ598" s="1520"/>
      <c r="FA598" s="1521"/>
    </row>
    <row r="599" spans="1:157" ht="12.95" customHeight="1">
      <c r="A599" s="22"/>
      <c r="B599" t="s">
        <v>20</v>
      </c>
      <c r="N599" s="1416" t="s">
        <v>553</v>
      </c>
      <c r="O599" s="1416"/>
      <c r="T599" s="22"/>
      <c r="U599" t="s">
        <v>20</v>
      </c>
      <c r="AG599" s="1416" t="s">
        <v>677</v>
      </c>
      <c r="AH599" s="1416"/>
      <c r="BA599" s="4" t="s">
        <v>164</v>
      </c>
      <c r="BB599" s="3"/>
      <c r="BC599" s="3"/>
      <c r="BD599" s="3"/>
      <c r="BE599" s="1519">
        <f t="shared" si="1"/>
        <v>0</v>
      </c>
      <c r="BF599" s="1521"/>
      <c r="BG599" s="1511">
        <f t="shared" si="2"/>
        <v>0</v>
      </c>
      <c r="BH599" s="1513"/>
      <c r="BI599" s="1519">
        <f t="shared" si="3"/>
        <v>0</v>
      </c>
      <c r="BJ599" s="1521"/>
      <c r="BK599" s="1511">
        <f t="shared" si="4"/>
        <v>0</v>
      </c>
      <c r="BL599" s="1513"/>
      <c r="BM599" s="3"/>
      <c r="BN599" s="1507">
        <f t="shared" si="5"/>
        <v>19</v>
      </c>
      <c r="BO599" s="1508"/>
      <c r="BP599" s="1508"/>
      <c r="BQ599" s="1508"/>
      <c r="BR599" s="1509"/>
      <c r="BS599" s="1510">
        <f t="shared" si="6"/>
        <v>0</v>
      </c>
      <c r="BT599" s="1510"/>
      <c r="BU599" s="1510"/>
      <c r="BV599" s="1510"/>
      <c r="BW599" s="1510"/>
      <c r="BX599" s="1510">
        <f t="shared" si="7"/>
        <v>0</v>
      </c>
      <c r="BY599" s="1510"/>
      <c r="BZ599" s="1510"/>
      <c r="CA599" s="1510"/>
      <c r="CB599" s="1510"/>
      <c r="CC599" s="1510">
        <f t="shared" si="8"/>
        <v>0</v>
      </c>
      <c r="CD599" s="1510"/>
      <c r="CE599" s="1510"/>
      <c r="CF599" s="1510"/>
      <c r="CG599" s="1510"/>
      <c r="CH599" s="1510">
        <f t="shared" si="9"/>
        <v>0</v>
      </c>
      <c r="CI599" s="1510"/>
      <c r="CJ599" s="1510"/>
      <c r="CK599" s="1510"/>
      <c r="CL599" s="1510"/>
      <c r="CM599" s="1510">
        <f t="shared" si="10"/>
        <v>0</v>
      </c>
      <c r="CN599" s="1510"/>
      <c r="CO599" s="1510"/>
      <c r="CP599" s="1510"/>
      <c r="CQ599" s="1510"/>
      <c r="CR599" s="6"/>
      <c r="CS599" s="1518">
        <f t="shared" si="11"/>
        <v>0</v>
      </c>
      <c r="CT599" s="1518"/>
      <c r="CU599" s="1518"/>
      <c r="CV599" s="1518"/>
      <c r="CW599" s="1518"/>
      <c r="CX599" s="1518">
        <f t="shared" si="12"/>
        <v>0</v>
      </c>
      <c r="CY599" s="1518"/>
      <c r="CZ599" s="1518"/>
      <c r="DA599" s="1518"/>
      <c r="DB599" s="1518"/>
      <c r="DC599" s="1518">
        <f t="shared" si="13"/>
        <v>0</v>
      </c>
      <c r="DD599" s="1518"/>
      <c r="DE599" s="1518"/>
      <c r="DF599" s="1518"/>
      <c r="DG599" s="1518"/>
      <c r="DH599" s="1518">
        <f t="shared" si="14"/>
        <v>0</v>
      </c>
      <c r="DI599" s="1518"/>
      <c r="DJ599" s="1518"/>
      <c r="DK599" s="1518"/>
      <c r="DL599" s="1518"/>
      <c r="DM599" s="1518">
        <f t="shared" si="15"/>
        <v>0</v>
      </c>
      <c r="DN599" s="1518"/>
      <c r="DO599" s="1518"/>
      <c r="DP599" s="1518"/>
      <c r="DQ599" s="1518"/>
      <c r="DR599" s="1518">
        <f t="shared" si="16"/>
        <v>0</v>
      </c>
      <c r="DS599" s="1518"/>
      <c r="DT599" s="1518"/>
      <c r="DU599" s="1518"/>
      <c r="DV599" s="1518"/>
      <c r="DX599" s="1519">
        <f t="shared" si="17"/>
        <v>1670</v>
      </c>
      <c r="DY599" s="1520"/>
      <c r="DZ599" s="1520"/>
      <c r="EA599" s="1520"/>
      <c r="EB599" s="1521"/>
      <c r="EC599" s="1519" t="str">
        <f t="shared" si="18"/>
        <v/>
      </c>
      <c r="ED599" s="1520"/>
      <c r="EE599" s="1520"/>
      <c r="EF599" s="1520"/>
      <c r="EG599" s="1521"/>
      <c r="EH599" s="1519" t="str">
        <f t="shared" si="19"/>
        <v/>
      </c>
      <c r="EI599" s="1520"/>
      <c r="EJ599" s="1520"/>
      <c r="EK599" s="1520"/>
      <c r="EL599" s="1521"/>
      <c r="EM599" s="1519" t="str">
        <f t="shared" si="20"/>
        <v/>
      </c>
      <c r="EN599" s="1520"/>
      <c r="EO599" s="1520"/>
      <c r="EP599" s="1520"/>
      <c r="EQ599" s="1521"/>
      <c r="ER599" s="1519" t="str">
        <f t="shared" si="21"/>
        <v/>
      </c>
      <c r="ES599" s="1520"/>
      <c r="ET599" s="1520"/>
      <c r="EU599" s="1520"/>
      <c r="EV599" s="1521"/>
      <c r="EW599" s="1519" t="str">
        <f t="shared" si="22"/>
        <v/>
      </c>
      <c r="EX599" s="1520"/>
      <c r="EY599" s="1520"/>
      <c r="EZ599" s="1520"/>
      <c r="FA599" s="1521"/>
    </row>
    <row r="600" spans="1:157" ht="12.95" customHeight="1">
      <c r="A600" s="22"/>
      <c r="T600" s="22"/>
      <c r="BA600" s="4" t="s">
        <v>165</v>
      </c>
      <c r="BB600" s="3"/>
      <c r="BC600" s="3"/>
      <c r="BD600" s="3"/>
      <c r="BE600" s="1519">
        <f t="shared" si="1"/>
        <v>0</v>
      </c>
      <c r="BF600" s="1521"/>
      <c r="BG600" s="1511">
        <f t="shared" si="2"/>
        <v>0</v>
      </c>
      <c r="BH600" s="1513"/>
      <c r="BI600" s="1519">
        <f t="shared" si="3"/>
        <v>1</v>
      </c>
      <c r="BJ600" s="1521"/>
      <c r="BK600" s="1511">
        <f t="shared" si="4"/>
        <v>49</v>
      </c>
      <c r="BL600" s="1513"/>
      <c r="BM600" s="3"/>
      <c r="BN600" s="1507">
        <f t="shared" si="5"/>
        <v>0</v>
      </c>
      <c r="BO600" s="1508"/>
      <c r="BP600" s="1508"/>
      <c r="BQ600" s="1508"/>
      <c r="BR600" s="1509"/>
      <c r="BS600" s="1510">
        <f t="shared" si="6"/>
        <v>49</v>
      </c>
      <c r="BT600" s="1510"/>
      <c r="BU600" s="1510"/>
      <c r="BV600" s="1510"/>
      <c r="BW600" s="1510"/>
      <c r="BX600" s="1510">
        <f t="shared" si="7"/>
        <v>0</v>
      </c>
      <c r="BY600" s="1510"/>
      <c r="BZ600" s="1510"/>
      <c r="CA600" s="1510"/>
      <c r="CB600" s="1510"/>
      <c r="CC600" s="1510">
        <f t="shared" si="8"/>
        <v>0</v>
      </c>
      <c r="CD600" s="1510"/>
      <c r="CE600" s="1510"/>
      <c r="CF600" s="1510"/>
      <c r="CG600" s="1510"/>
      <c r="CH600" s="1510">
        <f t="shared" si="9"/>
        <v>0</v>
      </c>
      <c r="CI600" s="1510"/>
      <c r="CJ600" s="1510"/>
      <c r="CK600" s="1510"/>
      <c r="CL600" s="1510"/>
      <c r="CM600" s="1510">
        <f t="shared" si="10"/>
        <v>0</v>
      </c>
      <c r="CN600" s="1510"/>
      <c r="CO600" s="1510"/>
      <c r="CP600" s="1510"/>
      <c r="CQ600" s="1510"/>
      <c r="CR600" s="6"/>
      <c r="CS600" s="1518">
        <f t="shared" si="11"/>
        <v>0</v>
      </c>
      <c r="CT600" s="1518"/>
      <c r="CU600" s="1518"/>
      <c r="CV600" s="1518"/>
      <c r="CW600" s="1518"/>
      <c r="CX600" s="1518">
        <f t="shared" si="12"/>
        <v>49</v>
      </c>
      <c r="CY600" s="1518"/>
      <c r="CZ600" s="1518"/>
      <c r="DA600" s="1518"/>
      <c r="DB600" s="1518"/>
      <c r="DC600" s="1518">
        <f t="shared" si="13"/>
        <v>0</v>
      </c>
      <c r="DD600" s="1518"/>
      <c r="DE600" s="1518"/>
      <c r="DF600" s="1518"/>
      <c r="DG600" s="1518"/>
      <c r="DH600" s="1518">
        <f t="shared" si="14"/>
        <v>0</v>
      </c>
      <c r="DI600" s="1518"/>
      <c r="DJ600" s="1518"/>
      <c r="DK600" s="1518"/>
      <c r="DL600" s="1518"/>
      <c r="DM600" s="1518">
        <f t="shared" si="15"/>
        <v>0</v>
      </c>
      <c r="DN600" s="1518"/>
      <c r="DO600" s="1518"/>
      <c r="DP600" s="1518"/>
      <c r="DQ600" s="1518"/>
      <c r="DR600" s="1518">
        <f t="shared" si="16"/>
        <v>0</v>
      </c>
      <c r="DS600" s="1518"/>
      <c r="DT600" s="1518"/>
      <c r="DU600" s="1518"/>
      <c r="DV600" s="1518"/>
      <c r="DX600" s="1519" t="str">
        <f t="shared" si="17"/>
        <v/>
      </c>
      <c r="DY600" s="1520"/>
      <c r="DZ600" s="1520"/>
      <c r="EA600" s="1520"/>
      <c r="EB600" s="1521"/>
      <c r="EC600" s="1519">
        <f t="shared" si="18"/>
        <v>739</v>
      </c>
      <c r="ED600" s="1520"/>
      <c r="EE600" s="1520"/>
      <c r="EF600" s="1520"/>
      <c r="EG600" s="1521"/>
      <c r="EH600" s="1519" t="str">
        <f t="shared" si="19"/>
        <v/>
      </c>
      <c r="EI600" s="1520"/>
      <c r="EJ600" s="1520"/>
      <c r="EK600" s="1520"/>
      <c r="EL600" s="1521"/>
      <c r="EM600" s="1519" t="str">
        <f t="shared" si="20"/>
        <v/>
      </c>
      <c r="EN600" s="1520"/>
      <c r="EO600" s="1520"/>
      <c r="EP600" s="1520"/>
      <c r="EQ600" s="1521"/>
      <c r="ER600" s="1519" t="str">
        <f t="shared" si="21"/>
        <v/>
      </c>
      <c r="ES600" s="1520"/>
      <c r="ET600" s="1520"/>
      <c r="EU600" s="1520"/>
      <c r="EV600" s="1521"/>
      <c r="EW600" s="1519" t="str">
        <f t="shared" si="22"/>
        <v/>
      </c>
      <c r="EX600" s="1520"/>
      <c r="EY600" s="1520"/>
      <c r="EZ600" s="1520"/>
      <c r="FA600" s="1521"/>
    </row>
    <row r="601" spans="1:157" ht="12.95" customHeight="1">
      <c r="A601" s="55" t="s">
        <v>469</v>
      </c>
      <c r="B601" t="s">
        <v>471</v>
      </c>
      <c r="G601" s="1474">
        <f>C562</f>
        <v>0</v>
      </c>
      <c r="H601" s="1474"/>
      <c r="I601" s="1474"/>
      <c r="J601" s="1474"/>
      <c r="K601" s="1474"/>
      <c r="L601" s="1474"/>
      <c r="M601" s="1474"/>
      <c r="N601" s="1474"/>
      <c r="O601" s="1474"/>
      <c r="P601" s="1474"/>
      <c r="Q601" s="1474"/>
      <c r="R601" s="1474"/>
      <c r="T601" s="55" t="s">
        <v>654</v>
      </c>
      <c r="U601" t="s">
        <v>471</v>
      </c>
      <c r="Z601" s="1474">
        <f>C563</f>
        <v>0</v>
      </c>
      <c r="AA601" s="1474"/>
      <c r="AB601" s="1474"/>
      <c r="AC601" s="1474"/>
      <c r="AD601" s="1474"/>
      <c r="AE601" s="1474"/>
      <c r="AF601" s="1474"/>
      <c r="AG601" s="1474"/>
      <c r="AH601" s="1474"/>
      <c r="AI601" s="1474"/>
      <c r="AJ601" s="1474"/>
      <c r="AK601" s="1474"/>
      <c r="BA601" s="4" t="s">
        <v>30</v>
      </c>
      <c r="BB601" s="3"/>
      <c r="BC601" s="3"/>
      <c r="BD601" s="3"/>
      <c r="BE601" s="1519">
        <f t="shared" si="1"/>
        <v>0</v>
      </c>
      <c r="BF601" s="1521"/>
      <c r="BG601" s="1511">
        <f t="shared" si="2"/>
        <v>0</v>
      </c>
      <c r="BH601" s="1513"/>
      <c r="BI601" s="1519">
        <f t="shared" si="3"/>
        <v>0</v>
      </c>
      <c r="BJ601" s="1521"/>
      <c r="BK601" s="1511">
        <f t="shared" si="4"/>
        <v>0</v>
      </c>
      <c r="BL601" s="1513"/>
      <c r="BM601" s="3"/>
      <c r="BN601" s="1507">
        <f t="shared" si="5"/>
        <v>0</v>
      </c>
      <c r="BO601" s="1508"/>
      <c r="BP601" s="1508"/>
      <c r="BQ601" s="1508"/>
      <c r="BR601" s="1509"/>
      <c r="BS601" s="1510">
        <f t="shared" si="6"/>
        <v>22</v>
      </c>
      <c r="BT601" s="1510"/>
      <c r="BU601" s="1510"/>
      <c r="BV601" s="1510"/>
      <c r="BW601" s="1510"/>
      <c r="BX601" s="1510">
        <f t="shared" si="7"/>
        <v>0</v>
      </c>
      <c r="BY601" s="1510"/>
      <c r="BZ601" s="1510"/>
      <c r="CA601" s="1510"/>
      <c r="CB601" s="1510"/>
      <c r="CC601" s="1510">
        <f t="shared" si="8"/>
        <v>0</v>
      </c>
      <c r="CD601" s="1510"/>
      <c r="CE601" s="1510"/>
      <c r="CF601" s="1510"/>
      <c r="CG601" s="1510"/>
      <c r="CH601" s="1510">
        <f t="shared" si="9"/>
        <v>0</v>
      </c>
      <c r="CI601" s="1510"/>
      <c r="CJ601" s="1510"/>
      <c r="CK601" s="1510"/>
      <c r="CL601" s="1510"/>
      <c r="CM601" s="1510">
        <f t="shared" si="10"/>
        <v>0</v>
      </c>
      <c r="CN601" s="1510"/>
      <c r="CO601" s="1510"/>
      <c r="CP601" s="1510"/>
      <c r="CQ601" s="1510"/>
      <c r="CR601" s="6"/>
      <c r="CS601" s="1518">
        <f t="shared" si="11"/>
        <v>0</v>
      </c>
      <c r="CT601" s="1518"/>
      <c r="CU601" s="1518"/>
      <c r="CV601" s="1518"/>
      <c r="CW601" s="1518"/>
      <c r="CX601" s="1518">
        <f t="shared" si="12"/>
        <v>0</v>
      </c>
      <c r="CY601" s="1518"/>
      <c r="CZ601" s="1518"/>
      <c r="DA601" s="1518"/>
      <c r="DB601" s="1518"/>
      <c r="DC601" s="1518">
        <f t="shared" si="13"/>
        <v>0</v>
      </c>
      <c r="DD601" s="1518"/>
      <c r="DE601" s="1518"/>
      <c r="DF601" s="1518"/>
      <c r="DG601" s="1518"/>
      <c r="DH601" s="1518">
        <f t="shared" si="14"/>
        <v>0</v>
      </c>
      <c r="DI601" s="1518"/>
      <c r="DJ601" s="1518"/>
      <c r="DK601" s="1518"/>
      <c r="DL601" s="1518"/>
      <c r="DM601" s="1518">
        <f t="shared" si="15"/>
        <v>0</v>
      </c>
      <c r="DN601" s="1518"/>
      <c r="DO601" s="1518"/>
      <c r="DP601" s="1518"/>
      <c r="DQ601" s="1518"/>
      <c r="DR601" s="1518">
        <f t="shared" si="16"/>
        <v>0</v>
      </c>
      <c r="DS601" s="1518"/>
      <c r="DT601" s="1518"/>
      <c r="DU601" s="1518"/>
      <c r="DV601" s="1518"/>
      <c r="DX601" s="1519" t="str">
        <f t="shared" si="17"/>
        <v/>
      </c>
      <c r="DY601" s="1520"/>
      <c r="DZ601" s="1520"/>
      <c r="EA601" s="1520"/>
      <c r="EB601" s="1521"/>
      <c r="EC601" s="1519">
        <f t="shared" si="18"/>
        <v>1739</v>
      </c>
      <c r="ED601" s="1520"/>
      <c r="EE601" s="1520"/>
      <c r="EF601" s="1520"/>
      <c r="EG601" s="1521"/>
      <c r="EH601" s="1519" t="str">
        <f t="shared" si="19"/>
        <v/>
      </c>
      <c r="EI601" s="1520"/>
      <c r="EJ601" s="1520"/>
      <c r="EK601" s="1520"/>
      <c r="EL601" s="1521"/>
      <c r="EM601" s="1519" t="str">
        <f t="shared" si="20"/>
        <v/>
      </c>
      <c r="EN601" s="1520"/>
      <c r="EO601" s="1520"/>
      <c r="EP601" s="1520"/>
      <c r="EQ601" s="1521"/>
      <c r="ER601" s="1519" t="str">
        <f t="shared" si="21"/>
        <v/>
      </c>
      <c r="ES601" s="1520"/>
      <c r="ET601" s="1520"/>
      <c r="EU601" s="1520"/>
      <c r="EV601" s="1521"/>
      <c r="EW601" s="1519" t="str">
        <f t="shared" si="22"/>
        <v/>
      </c>
      <c r="EX601" s="1520"/>
      <c r="EY601" s="1520"/>
      <c r="EZ601" s="1520"/>
      <c r="FA601" s="1521"/>
    </row>
    <row r="602" spans="1:157" ht="12.95"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c r="BD602" s="3"/>
      <c r="BE602" s="1519">
        <f t="shared" si="1"/>
        <v>0</v>
      </c>
      <c r="BF602" s="1521"/>
      <c r="BG602" s="1511">
        <f t="shared" si="2"/>
        <v>0</v>
      </c>
      <c r="BH602" s="1513"/>
      <c r="BI602" s="1519">
        <f t="shared" si="3"/>
        <v>0</v>
      </c>
      <c r="BJ602" s="1521"/>
      <c r="BK602" s="1511">
        <f t="shared" si="4"/>
        <v>0</v>
      </c>
      <c r="BL602" s="1513"/>
      <c r="BM602" s="3"/>
      <c r="BN602" s="1507">
        <f t="shared" si="5"/>
        <v>0</v>
      </c>
      <c r="BO602" s="1508"/>
      <c r="BP602" s="1508"/>
      <c r="BQ602" s="1508"/>
      <c r="BR602" s="1509"/>
      <c r="BS602" s="1510">
        <f t="shared" si="6"/>
        <v>0</v>
      </c>
      <c r="BT602" s="1510"/>
      <c r="BU602" s="1510"/>
      <c r="BV602" s="1510"/>
      <c r="BW602" s="1510"/>
      <c r="BX602" s="1510">
        <f t="shared" si="7"/>
        <v>0</v>
      </c>
      <c r="BY602" s="1510"/>
      <c r="BZ602" s="1510"/>
      <c r="CA602" s="1510"/>
      <c r="CB602" s="1510"/>
      <c r="CC602" s="1510">
        <f t="shared" si="8"/>
        <v>0</v>
      </c>
      <c r="CD602" s="1510"/>
      <c r="CE602" s="1510"/>
      <c r="CF602" s="1510"/>
      <c r="CG602" s="1510"/>
      <c r="CH602" s="1510">
        <f t="shared" si="9"/>
        <v>0</v>
      </c>
      <c r="CI602" s="1510"/>
      <c r="CJ602" s="1510"/>
      <c r="CK602" s="1510"/>
      <c r="CL602" s="1510"/>
      <c r="CM602" s="1510">
        <f t="shared" si="10"/>
        <v>0</v>
      </c>
      <c r="CN602" s="1510"/>
      <c r="CO602" s="1510"/>
      <c r="CP602" s="1510"/>
      <c r="CQ602" s="1510"/>
      <c r="CR602" s="6"/>
      <c r="CS602" s="1518">
        <f t="shared" si="11"/>
        <v>0</v>
      </c>
      <c r="CT602" s="1518"/>
      <c r="CU602" s="1518"/>
      <c r="CV602" s="1518"/>
      <c r="CW602" s="1518"/>
      <c r="CX602" s="1518">
        <f t="shared" si="12"/>
        <v>0</v>
      </c>
      <c r="CY602" s="1518"/>
      <c r="CZ602" s="1518"/>
      <c r="DA602" s="1518"/>
      <c r="DB602" s="1518"/>
      <c r="DC602" s="1518">
        <f t="shared" si="13"/>
        <v>0</v>
      </c>
      <c r="DD602" s="1518"/>
      <c r="DE602" s="1518"/>
      <c r="DF602" s="1518"/>
      <c r="DG602" s="1518"/>
      <c r="DH602" s="1518">
        <f t="shared" si="14"/>
        <v>0</v>
      </c>
      <c r="DI602" s="1518"/>
      <c r="DJ602" s="1518"/>
      <c r="DK602" s="1518"/>
      <c r="DL602" s="1518"/>
      <c r="DM602" s="1518">
        <f t="shared" si="15"/>
        <v>0</v>
      </c>
      <c r="DN602" s="1518"/>
      <c r="DO602" s="1518"/>
      <c r="DP602" s="1518"/>
      <c r="DQ602" s="1518"/>
      <c r="DR602" s="1518">
        <f t="shared" si="16"/>
        <v>0</v>
      </c>
      <c r="DS602" s="1518"/>
      <c r="DT602" s="1518"/>
      <c r="DU602" s="1518"/>
      <c r="DV602" s="1518"/>
      <c r="DX602" s="1519" t="str">
        <f t="shared" si="17"/>
        <v/>
      </c>
      <c r="DY602" s="1520"/>
      <c r="DZ602" s="1520"/>
      <c r="EA602" s="1520"/>
      <c r="EB602" s="1521"/>
      <c r="EC602" s="1519" t="str">
        <f t="shared" si="18"/>
        <v/>
      </c>
      <c r="ED602" s="1520"/>
      <c r="EE602" s="1520"/>
      <c r="EF602" s="1520"/>
      <c r="EG602" s="1521"/>
      <c r="EH602" s="1519" t="str">
        <f t="shared" si="19"/>
        <v/>
      </c>
      <c r="EI602" s="1520"/>
      <c r="EJ602" s="1520"/>
      <c r="EK602" s="1520"/>
      <c r="EL602" s="1521"/>
      <c r="EM602" s="1519" t="str">
        <f t="shared" si="20"/>
        <v/>
      </c>
      <c r="EN602" s="1520"/>
      <c r="EO602" s="1520"/>
      <c r="EP602" s="1520"/>
      <c r="EQ602" s="1521"/>
      <c r="ER602" s="1519" t="str">
        <f t="shared" si="21"/>
        <v/>
      </c>
      <c r="ES602" s="1520"/>
      <c r="ET602" s="1520"/>
      <c r="EU602" s="1520"/>
      <c r="EV602" s="1521"/>
      <c r="EW602" s="1519" t="str">
        <f t="shared" si="22"/>
        <v/>
      </c>
      <c r="EX602" s="1520"/>
      <c r="EY602" s="1520"/>
      <c r="EZ602" s="1520"/>
      <c r="FA602" s="1521"/>
    </row>
    <row r="603" spans="1:157" ht="12.95" customHeight="1">
      <c r="A603" s="22"/>
      <c r="B603" t="s">
        <v>588</v>
      </c>
      <c r="G603" s="1408"/>
      <c r="H603" s="1408"/>
      <c r="I603" s="1408"/>
      <c r="J603" s="1408"/>
      <c r="K603" s="1408"/>
      <c r="L603" s="1408"/>
      <c r="M603" s="1408"/>
      <c r="N603" s="1408"/>
      <c r="O603" s="1408"/>
      <c r="P603" s="1408"/>
      <c r="Q603" s="1408"/>
      <c r="R603" s="1408"/>
      <c r="T603" s="22"/>
      <c r="U603" t="s">
        <v>588</v>
      </c>
      <c r="Z603" s="1417"/>
      <c r="AA603" s="1417"/>
      <c r="AB603" s="1417"/>
      <c r="AC603" s="1417"/>
      <c r="AD603" s="1417"/>
      <c r="AE603" s="1417"/>
      <c r="AF603" s="1417"/>
      <c r="AG603" s="1417"/>
      <c r="AH603" s="1417"/>
      <c r="AI603" s="1417"/>
      <c r="AJ603" s="1417"/>
      <c r="AK603" s="1417"/>
      <c r="AZ603" s="3"/>
      <c r="BA603" s="3"/>
      <c r="BB603" s="3"/>
      <c r="BC603" s="3"/>
      <c r="BD603" s="3"/>
      <c r="BE603" s="1519">
        <f t="shared" si="1"/>
        <v>0</v>
      </c>
      <c r="BF603" s="1521"/>
      <c r="BG603" s="1511">
        <f t="shared" si="2"/>
        <v>0</v>
      </c>
      <c r="BH603" s="1513"/>
      <c r="BI603" s="1519">
        <f t="shared" si="3"/>
        <v>0</v>
      </c>
      <c r="BJ603" s="1521"/>
      <c r="BK603" s="1511">
        <f t="shared" si="4"/>
        <v>0</v>
      </c>
      <c r="BL603" s="1513"/>
      <c r="BM603" s="3"/>
      <c r="BN603" s="1507">
        <f t="shared" si="5"/>
        <v>0</v>
      </c>
      <c r="BO603" s="1508"/>
      <c r="BP603" s="1508"/>
      <c r="BQ603" s="1508"/>
      <c r="BR603" s="1509"/>
      <c r="BS603" s="1510">
        <f t="shared" si="6"/>
        <v>0</v>
      </c>
      <c r="BT603" s="1510"/>
      <c r="BU603" s="1510"/>
      <c r="BV603" s="1510"/>
      <c r="BW603" s="1510"/>
      <c r="BX603" s="1510">
        <f t="shared" si="7"/>
        <v>0</v>
      </c>
      <c r="BY603" s="1510"/>
      <c r="BZ603" s="1510"/>
      <c r="CA603" s="1510"/>
      <c r="CB603" s="1510"/>
      <c r="CC603" s="1510">
        <f t="shared" si="8"/>
        <v>0</v>
      </c>
      <c r="CD603" s="1510"/>
      <c r="CE603" s="1510"/>
      <c r="CF603" s="1510"/>
      <c r="CG603" s="1510"/>
      <c r="CH603" s="1510">
        <f t="shared" si="9"/>
        <v>0</v>
      </c>
      <c r="CI603" s="1510"/>
      <c r="CJ603" s="1510"/>
      <c r="CK603" s="1510"/>
      <c r="CL603" s="1510"/>
      <c r="CM603" s="1510">
        <f t="shared" si="10"/>
        <v>0</v>
      </c>
      <c r="CN603" s="1510"/>
      <c r="CO603" s="1510"/>
      <c r="CP603" s="1510"/>
      <c r="CQ603" s="1510"/>
      <c r="CR603" s="6"/>
      <c r="CS603" s="1518">
        <f t="shared" si="11"/>
        <v>0</v>
      </c>
      <c r="CT603" s="1518"/>
      <c r="CU603" s="1518"/>
      <c r="CV603" s="1518"/>
      <c r="CW603" s="1518"/>
      <c r="CX603" s="1518">
        <f t="shared" si="12"/>
        <v>0</v>
      </c>
      <c r="CY603" s="1518"/>
      <c r="CZ603" s="1518"/>
      <c r="DA603" s="1518"/>
      <c r="DB603" s="1518"/>
      <c r="DC603" s="1518">
        <f t="shared" si="13"/>
        <v>0</v>
      </c>
      <c r="DD603" s="1518"/>
      <c r="DE603" s="1518"/>
      <c r="DF603" s="1518"/>
      <c r="DG603" s="1518"/>
      <c r="DH603" s="1518">
        <f t="shared" si="14"/>
        <v>0</v>
      </c>
      <c r="DI603" s="1518"/>
      <c r="DJ603" s="1518"/>
      <c r="DK603" s="1518"/>
      <c r="DL603" s="1518"/>
      <c r="DM603" s="1518">
        <f t="shared" si="15"/>
        <v>0</v>
      </c>
      <c r="DN603" s="1518"/>
      <c r="DO603" s="1518"/>
      <c r="DP603" s="1518"/>
      <c r="DQ603" s="1518"/>
      <c r="DR603" s="1518">
        <f t="shared" si="16"/>
        <v>0</v>
      </c>
      <c r="DS603" s="1518"/>
      <c r="DT603" s="1518"/>
      <c r="DU603" s="1518"/>
      <c r="DV603" s="1518"/>
      <c r="DX603" s="1519" t="str">
        <f t="shared" si="17"/>
        <v/>
      </c>
      <c r="DY603" s="1520"/>
      <c r="DZ603" s="1520"/>
      <c r="EA603" s="1520"/>
      <c r="EB603" s="1521"/>
      <c r="EC603" s="1519" t="str">
        <f t="shared" si="18"/>
        <v/>
      </c>
      <c r="ED603" s="1520"/>
      <c r="EE603" s="1520"/>
      <c r="EF603" s="1520"/>
      <c r="EG603" s="1521"/>
      <c r="EH603" s="1519" t="str">
        <f t="shared" si="19"/>
        <v/>
      </c>
      <c r="EI603" s="1520"/>
      <c r="EJ603" s="1520"/>
      <c r="EK603" s="1520"/>
      <c r="EL603" s="1521"/>
      <c r="EM603" s="1519" t="str">
        <f t="shared" si="20"/>
        <v/>
      </c>
      <c r="EN603" s="1520"/>
      <c r="EO603" s="1520"/>
      <c r="EP603" s="1520"/>
      <c r="EQ603" s="1521"/>
      <c r="ER603" s="1519" t="str">
        <f t="shared" si="21"/>
        <v/>
      </c>
      <c r="ES603" s="1520"/>
      <c r="ET603" s="1520"/>
      <c r="EU603" s="1520"/>
      <c r="EV603" s="1521"/>
      <c r="EW603" s="1519" t="str">
        <f t="shared" si="22"/>
        <v/>
      </c>
      <c r="EX603" s="1520"/>
      <c r="EY603" s="1520"/>
      <c r="EZ603" s="1520"/>
      <c r="FA603" s="1521"/>
    </row>
    <row r="604" spans="1:157" ht="12.95" customHeight="1">
      <c r="A604" s="22"/>
      <c r="B604" t="s">
        <v>17</v>
      </c>
      <c r="G604" s="1408"/>
      <c r="H604" s="1408"/>
      <c r="I604" s="1408"/>
      <c r="J604" s="1408"/>
      <c r="K604" s="1408"/>
      <c r="L604" s="1408"/>
      <c r="M604" s="1408"/>
      <c r="N604" s="1408"/>
      <c r="O604" s="1408"/>
      <c r="P604" s="1408"/>
      <c r="Q604" s="1408"/>
      <c r="R604" s="1408"/>
      <c r="T604" s="22"/>
      <c r="U604" t="s">
        <v>17</v>
      </c>
      <c r="Z604" s="1417"/>
      <c r="AA604" s="1417"/>
      <c r="AB604" s="1417"/>
      <c r="AC604" s="1417"/>
      <c r="AD604" s="1417"/>
      <c r="AE604" s="1417"/>
      <c r="AF604" s="1417"/>
      <c r="AG604" s="1417"/>
      <c r="AH604" s="1417"/>
      <c r="AI604" s="1417"/>
      <c r="AJ604" s="1417"/>
      <c r="AK604" s="1417"/>
      <c r="AZ604" s="3"/>
      <c r="BA604" s="3"/>
      <c r="BB604" s="3"/>
      <c r="BC604" s="3"/>
      <c r="BD604" s="3"/>
      <c r="BE604" s="1519">
        <f t="shared" si="1"/>
        <v>0</v>
      </c>
      <c r="BF604" s="1521"/>
      <c r="BG604" s="1511">
        <f t="shared" si="2"/>
        <v>0</v>
      </c>
      <c r="BH604" s="1513"/>
      <c r="BI604" s="1519">
        <f t="shared" si="3"/>
        <v>0</v>
      </c>
      <c r="BJ604" s="1521"/>
      <c r="BK604" s="1511">
        <f t="shared" si="4"/>
        <v>0</v>
      </c>
      <c r="BL604" s="1513"/>
      <c r="BM604" s="3"/>
      <c r="BN604" s="1507">
        <f t="shared" si="5"/>
        <v>0</v>
      </c>
      <c r="BO604" s="1508"/>
      <c r="BP604" s="1508"/>
      <c r="BQ604" s="1508"/>
      <c r="BR604" s="1509"/>
      <c r="BS604" s="1510">
        <f t="shared" si="6"/>
        <v>0</v>
      </c>
      <c r="BT604" s="1510"/>
      <c r="BU604" s="1510"/>
      <c r="BV604" s="1510"/>
      <c r="BW604" s="1510"/>
      <c r="BX604" s="1510">
        <f t="shared" si="7"/>
        <v>0</v>
      </c>
      <c r="BY604" s="1510"/>
      <c r="BZ604" s="1510"/>
      <c r="CA604" s="1510"/>
      <c r="CB604" s="1510"/>
      <c r="CC604" s="1510">
        <f t="shared" si="8"/>
        <v>0</v>
      </c>
      <c r="CD604" s="1510"/>
      <c r="CE604" s="1510"/>
      <c r="CF604" s="1510"/>
      <c r="CG604" s="1510"/>
      <c r="CH604" s="1510">
        <f t="shared" si="9"/>
        <v>0</v>
      </c>
      <c r="CI604" s="1510"/>
      <c r="CJ604" s="1510"/>
      <c r="CK604" s="1510"/>
      <c r="CL604" s="1510"/>
      <c r="CM604" s="1510">
        <f t="shared" si="10"/>
        <v>0</v>
      </c>
      <c r="CN604" s="1510"/>
      <c r="CO604" s="1510"/>
      <c r="CP604" s="1510"/>
      <c r="CQ604" s="1510"/>
      <c r="CR604" s="6"/>
      <c r="CS604" s="1518">
        <f t="shared" si="11"/>
        <v>0</v>
      </c>
      <c r="CT604" s="1518"/>
      <c r="CU604" s="1518"/>
      <c r="CV604" s="1518"/>
      <c r="CW604" s="1518"/>
      <c r="CX604" s="1518">
        <f t="shared" si="12"/>
        <v>0</v>
      </c>
      <c r="CY604" s="1518"/>
      <c r="CZ604" s="1518"/>
      <c r="DA604" s="1518"/>
      <c r="DB604" s="1518"/>
      <c r="DC604" s="1518">
        <f t="shared" si="13"/>
        <v>0</v>
      </c>
      <c r="DD604" s="1518"/>
      <c r="DE604" s="1518"/>
      <c r="DF604" s="1518"/>
      <c r="DG604" s="1518"/>
      <c r="DH604" s="1518">
        <f t="shared" si="14"/>
        <v>0</v>
      </c>
      <c r="DI604" s="1518"/>
      <c r="DJ604" s="1518"/>
      <c r="DK604" s="1518"/>
      <c r="DL604" s="1518"/>
      <c r="DM604" s="1518">
        <f t="shared" si="15"/>
        <v>0</v>
      </c>
      <c r="DN604" s="1518"/>
      <c r="DO604" s="1518"/>
      <c r="DP604" s="1518"/>
      <c r="DQ604" s="1518"/>
      <c r="DR604" s="1518">
        <f t="shared" si="16"/>
        <v>0</v>
      </c>
      <c r="DS604" s="1518"/>
      <c r="DT604" s="1518"/>
      <c r="DU604" s="1518"/>
      <c r="DV604" s="1518"/>
      <c r="DX604" s="1519" t="str">
        <f t="shared" si="17"/>
        <v/>
      </c>
      <c r="DY604" s="1520"/>
      <c r="DZ604" s="1520"/>
      <c r="EA604" s="1520"/>
      <c r="EB604" s="1521"/>
      <c r="EC604" s="1519" t="str">
        <f t="shared" si="18"/>
        <v/>
      </c>
      <c r="ED604" s="1520"/>
      <c r="EE604" s="1520"/>
      <c r="EF604" s="1520"/>
      <c r="EG604" s="1521"/>
      <c r="EH604" s="1519" t="str">
        <f t="shared" si="19"/>
        <v/>
      </c>
      <c r="EI604" s="1520"/>
      <c r="EJ604" s="1520"/>
      <c r="EK604" s="1520"/>
      <c r="EL604" s="1521"/>
      <c r="EM604" s="1519" t="str">
        <f t="shared" si="20"/>
        <v/>
      </c>
      <c r="EN604" s="1520"/>
      <c r="EO604" s="1520"/>
      <c r="EP604" s="1520"/>
      <c r="EQ604" s="1521"/>
      <c r="ER604" s="1519" t="str">
        <f t="shared" si="21"/>
        <v/>
      </c>
      <c r="ES604" s="1520"/>
      <c r="ET604" s="1520"/>
      <c r="EU604" s="1520"/>
      <c r="EV604" s="1521"/>
      <c r="EW604" s="1519" t="str">
        <f t="shared" si="22"/>
        <v/>
      </c>
      <c r="EX604" s="1520"/>
      <c r="EY604" s="1520"/>
      <c r="EZ604" s="1520"/>
      <c r="FA604" s="1521"/>
    </row>
    <row r="605" spans="1:157" s="4" customFormat="1" ht="12.95" customHeight="1">
      <c r="A605" s="22"/>
      <c r="B605" t="s">
        <v>317</v>
      </c>
      <c r="C605"/>
      <c r="D605"/>
      <c r="E605"/>
      <c r="F605"/>
      <c r="G605" s="1406"/>
      <c r="H605" s="1406"/>
      <c r="I605" s="1406"/>
      <c r="J605" s="1406"/>
      <c r="K605" s="1406"/>
      <c r="L605" s="1406"/>
      <c r="M605"/>
      <c r="N605"/>
      <c r="O605" s="33" t="s">
        <v>207</v>
      </c>
      <c r="P605" s="1473"/>
      <c r="Q605" s="1473"/>
      <c r="R605" s="1473"/>
      <c r="S605"/>
      <c r="T605" s="22"/>
      <c r="U605" t="s">
        <v>317</v>
      </c>
      <c r="V605"/>
      <c r="W605"/>
      <c r="X605"/>
      <c r="Y605"/>
      <c r="Z605" s="1406"/>
      <c r="AA605" s="1406"/>
      <c r="AB605" s="1406"/>
      <c r="AC605" s="1406"/>
      <c r="AD605" s="1406"/>
      <c r="AE605" s="1406"/>
      <c r="AF605"/>
      <c r="AG605"/>
      <c r="AH605" s="33" t="s">
        <v>207</v>
      </c>
      <c r="AI605" s="1473"/>
      <c r="AJ605" s="1473"/>
      <c r="AK605" s="1473"/>
      <c r="AL605"/>
      <c r="AM605"/>
      <c r="AN605"/>
      <c r="AO605"/>
      <c r="AP605"/>
      <c r="AQ605"/>
      <c r="AR605"/>
      <c r="AS605"/>
      <c r="AT605"/>
      <c r="AU605"/>
      <c r="AV605"/>
      <c r="AW605"/>
      <c r="AX605"/>
      <c r="AY605"/>
      <c r="AZ605" s="3"/>
      <c r="BA605" s="3"/>
      <c r="BB605" s="3"/>
      <c r="BC605" s="3"/>
      <c r="BD605" s="3"/>
      <c r="BE605" s="1519">
        <f t="shared" si="1"/>
        <v>0</v>
      </c>
      <c r="BF605" s="1521"/>
      <c r="BG605" s="1511">
        <f t="shared" si="2"/>
        <v>0</v>
      </c>
      <c r="BH605" s="1513"/>
      <c r="BI605" s="1519">
        <f t="shared" si="3"/>
        <v>0</v>
      </c>
      <c r="BJ605" s="1521"/>
      <c r="BK605" s="1511">
        <f t="shared" si="4"/>
        <v>0</v>
      </c>
      <c r="BL605" s="1513"/>
      <c r="BM605" s="3"/>
      <c r="BN605" s="1507">
        <f t="shared" si="5"/>
        <v>0</v>
      </c>
      <c r="BO605" s="1508"/>
      <c r="BP605" s="1508"/>
      <c r="BQ605" s="1508"/>
      <c r="BR605" s="1509"/>
      <c r="BS605" s="1510">
        <f t="shared" si="6"/>
        <v>0</v>
      </c>
      <c r="BT605" s="1510"/>
      <c r="BU605" s="1510"/>
      <c r="BV605" s="1510"/>
      <c r="BW605" s="1510"/>
      <c r="BX605" s="1510">
        <f t="shared" si="7"/>
        <v>0</v>
      </c>
      <c r="BY605" s="1510"/>
      <c r="BZ605" s="1510"/>
      <c r="CA605" s="1510"/>
      <c r="CB605" s="1510"/>
      <c r="CC605" s="1510">
        <f t="shared" si="8"/>
        <v>0</v>
      </c>
      <c r="CD605" s="1510"/>
      <c r="CE605" s="1510"/>
      <c r="CF605" s="1510"/>
      <c r="CG605" s="1510"/>
      <c r="CH605" s="1510">
        <f t="shared" si="9"/>
        <v>0</v>
      </c>
      <c r="CI605" s="1510"/>
      <c r="CJ605" s="1510"/>
      <c r="CK605" s="1510"/>
      <c r="CL605" s="1510"/>
      <c r="CM605" s="1510">
        <f t="shared" si="10"/>
        <v>0</v>
      </c>
      <c r="CN605" s="1510"/>
      <c r="CO605" s="1510"/>
      <c r="CP605" s="1510"/>
      <c r="CQ605" s="1510"/>
      <c r="CR605" s="6"/>
      <c r="CS605" s="1518">
        <f t="shared" si="11"/>
        <v>0</v>
      </c>
      <c r="CT605" s="1518"/>
      <c r="CU605" s="1518"/>
      <c r="CV605" s="1518"/>
      <c r="CW605" s="1518"/>
      <c r="CX605" s="1518">
        <f t="shared" si="12"/>
        <v>0</v>
      </c>
      <c r="CY605" s="1518"/>
      <c r="CZ605" s="1518"/>
      <c r="DA605" s="1518"/>
      <c r="DB605" s="1518"/>
      <c r="DC605" s="1518">
        <f t="shared" si="13"/>
        <v>0</v>
      </c>
      <c r="DD605" s="1518"/>
      <c r="DE605" s="1518"/>
      <c r="DF605" s="1518"/>
      <c r="DG605" s="1518"/>
      <c r="DH605" s="1518">
        <f t="shared" si="14"/>
        <v>0</v>
      </c>
      <c r="DI605" s="1518"/>
      <c r="DJ605" s="1518"/>
      <c r="DK605" s="1518"/>
      <c r="DL605" s="1518"/>
      <c r="DM605" s="1518">
        <f t="shared" si="15"/>
        <v>0</v>
      </c>
      <c r="DN605" s="1518"/>
      <c r="DO605" s="1518"/>
      <c r="DP605" s="1518"/>
      <c r="DQ605" s="1518"/>
      <c r="DR605" s="1518">
        <f t="shared" si="16"/>
        <v>0</v>
      </c>
      <c r="DS605" s="1518"/>
      <c r="DT605" s="1518"/>
      <c r="DU605" s="1518"/>
      <c r="DV605" s="1518"/>
      <c r="DX605" s="1519" t="str">
        <f t="shared" si="17"/>
        <v/>
      </c>
      <c r="DY605" s="1520"/>
      <c r="DZ605" s="1520"/>
      <c r="EA605" s="1520"/>
      <c r="EB605" s="1521"/>
      <c r="EC605" s="1519" t="str">
        <f t="shared" si="18"/>
        <v/>
      </c>
      <c r="ED605" s="1520"/>
      <c r="EE605" s="1520"/>
      <c r="EF605" s="1520"/>
      <c r="EG605" s="1521"/>
      <c r="EH605" s="1519" t="str">
        <f t="shared" si="19"/>
        <v/>
      </c>
      <c r="EI605" s="1520"/>
      <c r="EJ605" s="1520"/>
      <c r="EK605" s="1520"/>
      <c r="EL605" s="1521"/>
      <c r="EM605" s="1519" t="str">
        <f t="shared" si="20"/>
        <v/>
      </c>
      <c r="EN605" s="1520"/>
      <c r="EO605" s="1520"/>
      <c r="EP605" s="1520"/>
      <c r="EQ605" s="1521"/>
      <c r="ER605" s="1519" t="str">
        <f t="shared" si="21"/>
        <v/>
      </c>
      <c r="ES605" s="1520"/>
      <c r="ET605" s="1520"/>
      <c r="EU605" s="1520"/>
      <c r="EV605" s="1521"/>
      <c r="EW605" s="1519" t="str">
        <f t="shared" si="22"/>
        <v/>
      </c>
      <c r="EX605" s="1520"/>
      <c r="EY605" s="1520"/>
      <c r="EZ605" s="1520"/>
      <c r="FA605" s="1521"/>
    </row>
    <row r="606" spans="1:157" s="4" customFormat="1" ht="12.95"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c r="BD606" s="3"/>
      <c r="BE606" s="1519">
        <f t="shared" si="1"/>
        <v>0</v>
      </c>
      <c r="BF606" s="1521"/>
      <c r="BG606" s="1511">
        <f t="shared" si="2"/>
        <v>0</v>
      </c>
      <c r="BH606" s="1513"/>
      <c r="BI606" s="1519">
        <f t="shared" si="3"/>
        <v>0</v>
      </c>
      <c r="BJ606" s="1521"/>
      <c r="BK606" s="1511">
        <f t="shared" si="4"/>
        <v>0</v>
      </c>
      <c r="BL606" s="1513"/>
      <c r="BM606" s="3"/>
      <c r="BN606" s="1507">
        <f t="shared" si="5"/>
        <v>0</v>
      </c>
      <c r="BO606" s="1508"/>
      <c r="BP606" s="1508"/>
      <c r="BQ606" s="1508"/>
      <c r="BR606" s="1509"/>
      <c r="BS606" s="1510">
        <f t="shared" si="6"/>
        <v>0</v>
      </c>
      <c r="BT606" s="1510"/>
      <c r="BU606" s="1510"/>
      <c r="BV606" s="1510"/>
      <c r="BW606" s="1510"/>
      <c r="BX606" s="1510">
        <f t="shared" si="7"/>
        <v>0</v>
      </c>
      <c r="BY606" s="1510"/>
      <c r="BZ606" s="1510"/>
      <c r="CA606" s="1510"/>
      <c r="CB606" s="1510"/>
      <c r="CC606" s="1510">
        <f t="shared" si="8"/>
        <v>0</v>
      </c>
      <c r="CD606" s="1510"/>
      <c r="CE606" s="1510"/>
      <c r="CF606" s="1510"/>
      <c r="CG606" s="1510"/>
      <c r="CH606" s="1510">
        <f t="shared" si="9"/>
        <v>0</v>
      </c>
      <c r="CI606" s="1510"/>
      <c r="CJ606" s="1510"/>
      <c r="CK606" s="1510"/>
      <c r="CL606" s="1510"/>
      <c r="CM606" s="1510">
        <f t="shared" si="10"/>
        <v>0</v>
      </c>
      <c r="CN606" s="1510"/>
      <c r="CO606" s="1510"/>
      <c r="CP606" s="1510"/>
      <c r="CQ606" s="1510"/>
      <c r="CR606" s="6"/>
      <c r="CS606" s="1518">
        <f t="shared" si="11"/>
        <v>0</v>
      </c>
      <c r="CT606" s="1518"/>
      <c r="CU606" s="1518"/>
      <c r="CV606" s="1518"/>
      <c r="CW606" s="1518"/>
      <c r="CX606" s="1518">
        <f t="shared" si="12"/>
        <v>0</v>
      </c>
      <c r="CY606" s="1518"/>
      <c r="CZ606" s="1518"/>
      <c r="DA606" s="1518"/>
      <c r="DB606" s="1518"/>
      <c r="DC606" s="1518">
        <f t="shared" si="13"/>
        <v>0</v>
      </c>
      <c r="DD606" s="1518"/>
      <c r="DE606" s="1518"/>
      <c r="DF606" s="1518"/>
      <c r="DG606" s="1518"/>
      <c r="DH606" s="1518">
        <f t="shared" si="14"/>
        <v>0</v>
      </c>
      <c r="DI606" s="1518"/>
      <c r="DJ606" s="1518"/>
      <c r="DK606" s="1518"/>
      <c r="DL606" s="1518"/>
      <c r="DM606" s="1518">
        <f t="shared" si="15"/>
        <v>0</v>
      </c>
      <c r="DN606" s="1518"/>
      <c r="DO606" s="1518"/>
      <c r="DP606" s="1518"/>
      <c r="DQ606" s="1518"/>
      <c r="DR606" s="1518">
        <f t="shared" si="16"/>
        <v>0</v>
      </c>
      <c r="DS606" s="1518"/>
      <c r="DT606" s="1518"/>
      <c r="DU606" s="1518"/>
      <c r="DV606" s="1518"/>
      <c r="DX606" s="1519" t="str">
        <f t="shared" si="17"/>
        <v/>
      </c>
      <c r="DY606" s="1520"/>
      <c r="DZ606" s="1520"/>
      <c r="EA606" s="1520"/>
      <c r="EB606" s="1521"/>
      <c r="EC606" s="1519" t="str">
        <f t="shared" si="18"/>
        <v/>
      </c>
      <c r="ED606" s="1520"/>
      <c r="EE606" s="1520"/>
      <c r="EF606" s="1520"/>
      <c r="EG606" s="1521"/>
      <c r="EH606" s="1519" t="str">
        <f t="shared" si="19"/>
        <v/>
      </c>
      <c r="EI606" s="1520"/>
      <c r="EJ606" s="1520"/>
      <c r="EK606" s="1520"/>
      <c r="EL606" s="1521"/>
      <c r="EM606" s="1519" t="str">
        <f t="shared" si="20"/>
        <v/>
      </c>
      <c r="EN606" s="1520"/>
      <c r="EO606" s="1520"/>
      <c r="EP606" s="1520"/>
      <c r="EQ606" s="1521"/>
      <c r="ER606" s="1519" t="str">
        <f t="shared" si="21"/>
        <v/>
      </c>
      <c r="ES606" s="1520"/>
      <c r="ET606" s="1520"/>
      <c r="EU606" s="1520"/>
      <c r="EV606" s="1521"/>
      <c r="EW606" s="1519" t="str">
        <f t="shared" si="22"/>
        <v/>
      </c>
      <c r="EX606" s="1520"/>
      <c r="EY606" s="1520"/>
      <c r="EZ606" s="1520"/>
      <c r="FA606" s="1521"/>
    </row>
    <row r="607" spans="1:157" s="4" customFormat="1" ht="12.95" customHeight="1">
      <c r="A607" s="22"/>
      <c r="B607" t="s">
        <v>20</v>
      </c>
      <c r="C607"/>
      <c r="D607"/>
      <c r="E607"/>
      <c r="F607"/>
      <c r="G607"/>
      <c r="H607"/>
      <c r="I607"/>
      <c r="J607"/>
      <c r="K607"/>
      <c r="L607"/>
      <c r="M607"/>
      <c r="N607" s="1416" t="s">
        <v>677</v>
      </c>
      <c r="O607" s="1416"/>
      <c r="P607"/>
      <c r="Q607"/>
      <c r="R607"/>
      <c r="S607"/>
      <c r="T607" s="22"/>
      <c r="U607" t="s">
        <v>20</v>
      </c>
      <c r="V607"/>
      <c r="W607"/>
      <c r="X607"/>
      <c r="Y607"/>
      <c r="Z607"/>
      <c r="AA607"/>
      <c r="AB607"/>
      <c r="AC607"/>
      <c r="AD607"/>
      <c r="AE607"/>
      <c r="AF607"/>
      <c r="AG607" s="1416" t="s">
        <v>677</v>
      </c>
      <c r="AH607" s="1416"/>
      <c r="AI607"/>
      <c r="AJ607"/>
      <c r="AK607"/>
      <c r="AL607"/>
      <c r="AM607"/>
      <c r="AN607"/>
      <c r="AO607"/>
      <c r="AP607"/>
      <c r="AQ607"/>
      <c r="AR607"/>
      <c r="AS607"/>
      <c r="AT607"/>
      <c r="AU607"/>
      <c r="AV607"/>
      <c r="AW607"/>
      <c r="AX607"/>
      <c r="AY607"/>
      <c r="AZ607" s="3"/>
      <c r="BA607" s="3"/>
      <c r="BB607" s="3"/>
      <c r="BC607" s="3"/>
      <c r="BD607" s="3"/>
      <c r="BE607" s="1519">
        <f t="shared" si="1"/>
        <v>0</v>
      </c>
      <c r="BF607" s="1521"/>
      <c r="BG607" s="1511">
        <f t="shared" si="2"/>
        <v>0</v>
      </c>
      <c r="BH607" s="1513"/>
      <c r="BI607" s="1519">
        <f t="shared" si="3"/>
        <v>0</v>
      </c>
      <c r="BJ607" s="1521"/>
      <c r="BK607" s="1511">
        <f t="shared" si="4"/>
        <v>0</v>
      </c>
      <c r="BL607" s="1513"/>
      <c r="BM607" s="3"/>
      <c r="BN607" s="1507">
        <f t="shared" si="5"/>
        <v>0</v>
      </c>
      <c r="BO607" s="1508"/>
      <c r="BP607" s="1508"/>
      <c r="BQ607" s="1508"/>
      <c r="BR607" s="1509"/>
      <c r="BS607" s="1510">
        <f t="shared" si="6"/>
        <v>0</v>
      </c>
      <c r="BT607" s="1510"/>
      <c r="BU607" s="1510"/>
      <c r="BV607" s="1510"/>
      <c r="BW607" s="1510"/>
      <c r="BX607" s="1510">
        <f t="shared" si="7"/>
        <v>0</v>
      </c>
      <c r="BY607" s="1510"/>
      <c r="BZ607" s="1510"/>
      <c r="CA607" s="1510"/>
      <c r="CB607" s="1510"/>
      <c r="CC607" s="1510">
        <f t="shared" si="8"/>
        <v>0</v>
      </c>
      <c r="CD607" s="1510"/>
      <c r="CE607" s="1510"/>
      <c r="CF607" s="1510"/>
      <c r="CG607" s="1510"/>
      <c r="CH607" s="1510">
        <f t="shared" si="9"/>
        <v>0</v>
      </c>
      <c r="CI607" s="1510"/>
      <c r="CJ607" s="1510"/>
      <c r="CK607" s="1510"/>
      <c r="CL607" s="1510"/>
      <c r="CM607" s="1510">
        <f t="shared" si="10"/>
        <v>0</v>
      </c>
      <c r="CN607" s="1510"/>
      <c r="CO607" s="1510"/>
      <c r="CP607" s="1510"/>
      <c r="CQ607" s="1510"/>
      <c r="CR607" s="6"/>
      <c r="CS607" s="1518">
        <f t="shared" si="11"/>
        <v>0</v>
      </c>
      <c r="CT607" s="1518"/>
      <c r="CU607" s="1518"/>
      <c r="CV607" s="1518"/>
      <c r="CW607" s="1518"/>
      <c r="CX607" s="1518">
        <f t="shared" si="12"/>
        <v>0</v>
      </c>
      <c r="CY607" s="1518"/>
      <c r="CZ607" s="1518"/>
      <c r="DA607" s="1518"/>
      <c r="DB607" s="1518"/>
      <c r="DC607" s="1518">
        <f t="shared" si="13"/>
        <v>0</v>
      </c>
      <c r="DD607" s="1518"/>
      <c r="DE607" s="1518"/>
      <c r="DF607" s="1518"/>
      <c r="DG607" s="1518"/>
      <c r="DH607" s="1518">
        <f t="shared" si="14"/>
        <v>0</v>
      </c>
      <c r="DI607" s="1518"/>
      <c r="DJ607" s="1518"/>
      <c r="DK607" s="1518"/>
      <c r="DL607" s="1518"/>
      <c r="DM607" s="1518">
        <f t="shared" si="15"/>
        <v>0</v>
      </c>
      <c r="DN607" s="1518"/>
      <c r="DO607" s="1518"/>
      <c r="DP607" s="1518"/>
      <c r="DQ607" s="1518"/>
      <c r="DR607" s="1518">
        <f t="shared" si="16"/>
        <v>0</v>
      </c>
      <c r="DS607" s="1518"/>
      <c r="DT607" s="1518"/>
      <c r="DU607" s="1518"/>
      <c r="DV607" s="1518"/>
      <c r="DX607" s="1519" t="str">
        <f t="shared" si="17"/>
        <v/>
      </c>
      <c r="DY607" s="1520"/>
      <c r="DZ607" s="1520"/>
      <c r="EA607" s="1520"/>
      <c r="EB607" s="1521"/>
      <c r="EC607" s="1519" t="str">
        <f t="shared" si="18"/>
        <v/>
      </c>
      <c r="ED607" s="1520"/>
      <c r="EE607" s="1520"/>
      <c r="EF607" s="1520"/>
      <c r="EG607" s="1521"/>
      <c r="EH607" s="1519" t="str">
        <f t="shared" si="19"/>
        <v/>
      </c>
      <c r="EI607" s="1520"/>
      <c r="EJ607" s="1520"/>
      <c r="EK607" s="1520"/>
      <c r="EL607" s="1521"/>
      <c r="EM607" s="1519" t="str">
        <f t="shared" si="20"/>
        <v/>
      </c>
      <c r="EN607" s="1520"/>
      <c r="EO607" s="1520"/>
      <c r="EP607" s="1520"/>
      <c r="EQ607" s="1521"/>
      <c r="ER607" s="1519" t="str">
        <f t="shared" si="21"/>
        <v/>
      </c>
      <c r="ES607" s="1520"/>
      <c r="ET607" s="1520"/>
      <c r="EU607" s="1520"/>
      <c r="EV607" s="1521"/>
      <c r="EW607" s="1519" t="str">
        <f t="shared" si="22"/>
        <v/>
      </c>
      <c r="EX607" s="1520"/>
      <c r="EY607" s="1520"/>
      <c r="EZ607" s="1520"/>
      <c r="FA607" s="1521"/>
    </row>
    <row r="608" spans="1:157" ht="12.95" customHeight="1">
      <c r="A608" s="22"/>
      <c r="T608" s="22"/>
      <c r="AZ608" s="3"/>
      <c r="BA608" s="3"/>
      <c r="BB608" s="3"/>
      <c r="BC608" s="3"/>
      <c r="BD608" s="3"/>
      <c r="BE608" s="1519">
        <f t="shared" si="1"/>
        <v>0</v>
      </c>
      <c r="BF608" s="1521"/>
      <c r="BG608" s="1511">
        <f t="shared" si="2"/>
        <v>0</v>
      </c>
      <c r="BH608" s="1513"/>
      <c r="BI608" s="1519">
        <f t="shared" si="3"/>
        <v>0</v>
      </c>
      <c r="BJ608" s="1521"/>
      <c r="BK608" s="1511">
        <f t="shared" si="4"/>
        <v>0</v>
      </c>
      <c r="BL608" s="1513"/>
      <c r="BM608" s="3"/>
      <c r="BN608" s="1507">
        <f t="shared" si="5"/>
        <v>0</v>
      </c>
      <c r="BO608" s="1508"/>
      <c r="BP608" s="1508"/>
      <c r="BQ608" s="1508"/>
      <c r="BR608" s="1509"/>
      <c r="BS608" s="1510">
        <f t="shared" si="6"/>
        <v>0</v>
      </c>
      <c r="BT608" s="1510"/>
      <c r="BU608" s="1510"/>
      <c r="BV608" s="1510"/>
      <c r="BW608" s="1510"/>
      <c r="BX608" s="1510">
        <f t="shared" si="7"/>
        <v>0</v>
      </c>
      <c r="BY608" s="1510"/>
      <c r="BZ608" s="1510"/>
      <c r="CA608" s="1510"/>
      <c r="CB608" s="1510"/>
      <c r="CC608" s="1510">
        <f t="shared" si="8"/>
        <v>0</v>
      </c>
      <c r="CD608" s="1510"/>
      <c r="CE608" s="1510"/>
      <c r="CF608" s="1510"/>
      <c r="CG608" s="1510"/>
      <c r="CH608" s="1510">
        <f t="shared" si="9"/>
        <v>0</v>
      </c>
      <c r="CI608" s="1510"/>
      <c r="CJ608" s="1510"/>
      <c r="CK608" s="1510"/>
      <c r="CL608" s="1510"/>
      <c r="CM608" s="1510">
        <f t="shared" si="10"/>
        <v>0</v>
      </c>
      <c r="CN608" s="1510"/>
      <c r="CO608" s="1510"/>
      <c r="CP608" s="1510"/>
      <c r="CQ608" s="1510"/>
      <c r="CR608" s="6"/>
      <c r="CS608" s="1518">
        <f t="shared" si="11"/>
        <v>0</v>
      </c>
      <c r="CT608" s="1518"/>
      <c r="CU608" s="1518"/>
      <c r="CV608" s="1518"/>
      <c r="CW608" s="1518"/>
      <c r="CX608" s="1518">
        <f t="shared" si="12"/>
        <v>0</v>
      </c>
      <c r="CY608" s="1518"/>
      <c r="CZ608" s="1518"/>
      <c r="DA608" s="1518"/>
      <c r="DB608" s="1518"/>
      <c r="DC608" s="1518">
        <f t="shared" si="13"/>
        <v>0</v>
      </c>
      <c r="DD608" s="1518"/>
      <c r="DE608" s="1518"/>
      <c r="DF608" s="1518"/>
      <c r="DG608" s="1518"/>
      <c r="DH608" s="1518">
        <f t="shared" si="14"/>
        <v>0</v>
      </c>
      <c r="DI608" s="1518"/>
      <c r="DJ608" s="1518"/>
      <c r="DK608" s="1518"/>
      <c r="DL608" s="1518"/>
      <c r="DM608" s="1518">
        <f t="shared" si="15"/>
        <v>0</v>
      </c>
      <c r="DN608" s="1518"/>
      <c r="DO608" s="1518"/>
      <c r="DP608" s="1518"/>
      <c r="DQ608" s="1518"/>
      <c r="DR608" s="1518">
        <f t="shared" si="16"/>
        <v>0</v>
      </c>
      <c r="DS608" s="1518"/>
      <c r="DT608" s="1518"/>
      <c r="DU608" s="1518"/>
      <c r="DV608" s="1518"/>
      <c r="DX608" s="1519" t="str">
        <f t="shared" si="17"/>
        <v/>
      </c>
      <c r="DY608" s="1520"/>
      <c r="DZ608" s="1520"/>
      <c r="EA608" s="1520"/>
      <c r="EB608" s="1521"/>
      <c r="EC608" s="1519" t="str">
        <f t="shared" si="18"/>
        <v/>
      </c>
      <c r="ED608" s="1520"/>
      <c r="EE608" s="1520"/>
      <c r="EF608" s="1520"/>
      <c r="EG608" s="1521"/>
      <c r="EH608" s="1519" t="str">
        <f t="shared" si="19"/>
        <v/>
      </c>
      <c r="EI608" s="1520"/>
      <c r="EJ608" s="1520"/>
      <c r="EK608" s="1520"/>
      <c r="EL608" s="1521"/>
      <c r="EM608" s="1519" t="str">
        <f t="shared" si="20"/>
        <v/>
      </c>
      <c r="EN608" s="1520"/>
      <c r="EO608" s="1520"/>
      <c r="EP608" s="1520"/>
      <c r="EQ608" s="1521"/>
      <c r="ER608" s="1519" t="str">
        <f t="shared" si="21"/>
        <v/>
      </c>
      <c r="ES608" s="1520"/>
      <c r="ET608" s="1520"/>
      <c r="EU608" s="1520"/>
      <c r="EV608" s="1521"/>
      <c r="EW608" s="1519" t="str">
        <f t="shared" si="22"/>
        <v/>
      </c>
      <c r="EX608" s="1520"/>
      <c r="EY608" s="1520"/>
      <c r="EZ608" s="1520"/>
      <c r="FA608" s="1521"/>
    </row>
    <row r="609" spans="1:157" ht="12.95" customHeight="1">
      <c r="A609" s="55" t="s">
        <v>363</v>
      </c>
      <c r="B609" t="s">
        <v>471</v>
      </c>
      <c r="G609" s="1474">
        <f>C564</f>
        <v>0</v>
      </c>
      <c r="H609" s="1474"/>
      <c r="I609" s="1474"/>
      <c r="J609" s="1474"/>
      <c r="K609" s="1474"/>
      <c r="L609" s="1474"/>
      <c r="M609" s="1474"/>
      <c r="N609" s="1474"/>
      <c r="O609" s="1474"/>
      <c r="P609" s="1474"/>
      <c r="Q609" s="1474"/>
      <c r="R609" s="1474"/>
      <c r="T609" s="55" t="s">
        <v>364</v>
      </c>
      <c r="U609" t="s">
        <v>471</v>
      </c>
      <c r="Z609" s="1474">
        <f>C565</f>
        <v>0</v>
      </c>
      <c r="AA609" s="1474"/>
      <c r="AB609" s="1474"/>
      <c r="AC609" s="1474"/>
      <c r="AD609" s="1474"/>
      <c r="AE609" s="1474"/>
      <c r="AF609" s="1474"/>
      <c r="AG609" s="1474"/>
      <c r="AH609" s="1474"/>
      <c r="AI609" s="1474"/>
      <c r="AJ609" s="1474"/>
      <c r="AK609" s="1474"/>
      <c r="AZ609" s="3"/>
      <c r="BA609" s="3"/>
      <c r="BB609" s="3"/>
      <c r="BC609" s="3"/>
      <c r="BD609" s="3"/>
      <c r="BE609" s="1519">
        <f t="shared" si="1"/>
        <v>0</v>
      </c>
      <c r="BF609" s="1521"/>
      <c r="BG609" s="1511">
        <f t="shared" si="2"/>
        <v>0</v>
      </c>
      <c r="BH609" s="1513"/>
      <c r="BI609" s="1519">
        <f t="shared" si="3"/>
        <v>0</v>
      </c>
      <c r="BJ609" s="1521"/>
      <c r="BK609" s="1511">
        <f t="shared" si="4"/>
        <v>0</v>
      </c>
      <c r="BL609" s="1513"/>
      <c r="BM609" s="3"/>
      <c r="BN609" s="1507">
        <f t="shared" si="5"/>
        <v>0</v>
      </c>
      <c r="BO609" s="1508"/>
      <c r="BP609" s="1508"/>
      <c r="BQ609" s="1508"/>
      <c r="BR609" s="1509"/>
      <c r="BS609" s="1510">
        <f t="shared" si="6"/>
        <v>0</v>
      </c>
      <c r="BT609" s="1510"/>
      <c r="BU609" s="1510"/>
      <c r="BV609" s="1510"/>
      <c r="BW609" s="1510"/>
      <c r="BX609" s="1510">
        <f t="shared" si="7"/>
        <v>0</v>
      </c>
      <c r="BY609" s="1510"/>
      <c r="BZ609" s="1510"/>
      <c r="CA609" s="1510"/>
      <c r="CB609" s="1510"/>
      <c r="CC609" s="1510">
        <f t="shared" si="8"/>
        <v>0</v>
      </c>
      <c r="CD609" s="1510"/>
      <c r="CE609" s="1510"/>
      <c r="CF609" s="1510"/>
      <c r="CG609" s="1510"/>
      <c r="CH609" s="1510">
        <f t="shared" si="9"/>
        <v>0</v>
      </c>
      <c r="CI609" s="1510"/>
      <c r="CJ609" s="1510"/>
      <c r="CK609" s="1510"/>
      <c r="CL609" s="1510"/>
      <c r="CM609" s="1510">
        <f t="shared" si="10"/>
        <v>0</v>
      </c>
      <c r="CN609" s="1510"/>
      <c r="CO609" s="1510"/>
      <c r="CP609" s="1510"/>
      <c r="CQ609" s="1510"/>
      <c r="CR609" s="6"/>
      <c r="CS609" s="1518">
        <f t="shared" si="11"/>
        <v>0</v>
      </c>
      <c r="CT609" s="1518"/>
      <c r="CU609" s="1518"/>
      <c r="CV609" s="1518"/>
      <c r="CW609" s="1518"/>
      <c r="CX609" s="1518">
        <f t="shared" si="12"/>
        <v>0</v>
      </c>
      <c r="CY609" s="1518"/>
      <c r="CZ609" s="1518"/>
      <c r="DA609" s="1518"/>
      <c r="DB609" s="1518"/>
      <c r="DC609" s="1518">
        <f t="shared" si="13"/>
        <v>0</v>
      </c>
      <c r="DD609" s="1518"/>
      <c r="DE609" s="1518"/>
      <c r="DF609" s="1518"/>
      <c r="DG609" s="1518"/>
      <c r="DH609" s="1518">
        <f t="shared" si="14"/>
        <v>0</v>
      </c>
      <c r="DI609" s="1518"/>
      <c r="DJ609" s="1518"/>
      <c r="DK609" s="1518"/>
      <c r="DL609" s="1518"/>
      <c r="DM609" s="1518">
        <f t="shared" si="15"/>
        <v>0</v>
      </c>
      <c r="DN609" s="1518"/>
      <c r="DO609" s="1518"/>
      <c r="DP609" s="1518"/>
      <c r="DQ609" s="1518"/>
      <c r="DR609" s="1518">
        <f t="shared" si="16"/>
        <v>0</v>
      </c>
      <c r="DS609" s="1518"/>
      <c r="DT609" s="1518"/>
      <c r="DU609" s="1518"/>
      <c r="DV609" s="1518"/>
      <c r="DX609" s="1519" t="str">
        <f t="shared" si="17"/>
        <v/>
      </c>
      <c r="DY609" s="1520"/>
      <c r="DZ609" s="1520"/>
      <c r="EA609" s="1520"/>
      <c r="EB609" s="1521"/>
      <c r="EC609" s="1519" t="str">
        <f t="shared" si="18"/>
        <v/>
      </c>
      <c r="ED609" s="1520"/>
      <c r="EE609" s="1520"/>
      <c r="EF609" s="1520"/>
      <c r="EG609" s="1521"/>
      <c r="EH609" s="1519" t="str">
        <f t="shared" si="19"/>
        <v/>
      </c>
      <c r="EI609" s="1520"/>
      <c r="EJ609" s="1520"/>
      <c r="EK609" s="1520"/>
      <c r="EL609" s="1521"/>
      <c r="EM609" s="1519" t="str">
        <f t="shared" si="20"/>
        <v/>
      </c>
      <c r="EN609" s="1520"/>
      <c r="EO609" s="1520"/>
      <c r="EP609" s="1520"/>
      <c r="EQ609" s="1521"/>
      <c r="ER609" s="1519" t="str">
        <f t="shared" si="21"/>
        <v/>
      </c>
      <c r="ES609" s="1520"/>
      <c r="ET609" s="1520"/>
      <c r="EU609" s="1520"/>
      <c r="EV609" s="1521"/>
      <c r="EW609" s="1519" t="str">
        <f t="shared" si="22"/>
        <v/>
      </c>
      <c r="EX609" s="1520"/>
      <c r="EY609" s="1520"/>
      <c r="EZ609" s="1520"/>
      <c r="FA609" s="1521"/>
    </row>
    <row r="610" spans="1:157" ht="12.9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c r="BD610" s="3"/>
      <c r="BE610" s="1519">
        <f t="shared" si="1"/>
        <v>0</v>
      </c>
      <c r="BF610" s="1521"/>
      <c r="BG610" s="1511">
        <f t="shared" si="2"/>
        <v>0</v>
      </c>
      <c r="BH610" s="1513"/>
      <c r="BI610" s="1519">
        <f t="shared" si="3"/>
        <v>0</v>
      </c>
      <c r="BJ610" s="1521"/>
      <c r="BK610" s="1511">
        <f t="shared" si="4"/>
        <v>0</v>
      </c>
      <c r="BL610" s="1513"/>
      <c r="BM610" s="3"/>
      <c r="BN610" s="1507">
        <f t="shared" si="5"/>
        <v>0</v>
      </c>
      <c r="BO610" s="1508"/>
      <c r="BP610" s="1508"/>
      <c r="BQ610" s="1508"/>
      <c r="BR610" s="1509"/>
      <c r="BS610" s="1510">
        <f t="shared" si="6"/>
        <v>0</v>
      </c>
      <c r="BT610" s="1510"/>
      <c r="BU610" s="1510"/>
      <c r="BV610" s="1510"/>
      <c r="BW610" s="1510"/>
      <c r="BX610" s="1510">
        <f t="shared" si="7"/>
        <v>0</v>
      </c>
      <c r="BY610" s="1510"/>
      <c r="BZ610" s="1510"/>
      <c r="CA610" s="1510"/>
      <c r="CB610" s="1510"/>
      <c r="CC610" s="1510">
        <f t="shared" si="8"/>
        <v>0</v>
      </c>
      <c r="CD610" s="1510"/>
      <c r="CE610" s="1510"/>
      <c r="CF610" s="1510"/>
      <c r="CG610" s="1510"/>
      <c r="CH610" s="1510">
        <f t="shared" si="9"/>
        <v>0</v>
      </c>
      <c r="CI610" s="1510"/>
      <c r="CJ610" s="1510"/>
      <c r="CK610" s="1510"/>
      <c r="CL610" s="1510"/>
      <c r="CM610" s="1510">
        <f t="shared" si="10"/>
        <v>0</v>
      </c>
      <c r="CN610" s="1510"/>
      <c r="CO610" s="1510"/>
      <c r="CP610" s="1510"/>
      <c r="CQ610" s="1510"/>
      <c r="CR610" s="6"/>
      <c r="CS610" s="1518">
        <f t="shared" si="11"/>
        <v>0</v>
      </c>
      <c r="CT610" s="1518"/>
      <c r="CU610" s="1518"/>
      <c r="CV610" s="1518"/>
      <c r="CW610" s="1518"/>
      <c r="CX610" s="1518">
        <f t="shared" si="12"/>
        <v>0</v>
      </c>
      <c r="CY610" s="1518"/>
      <c r="CZ610" s="1518"/>
      <c r="DA610" s="1518"/>
      <c r="DB610" s="1518"/>
      <c r="DC610" s="1518">
        <f t="shared" si="13"/>
        <v>0</v>
      </c>
      <c r="DD610" s="1518"/>
      <c r="DE610" s="1518"/>
      <c r="DF610" s="1518"/>
      <c r="DG610" s="1518"/>
      <c r="DH610" s="1518">
        <f t="shared" si="14"/>
        <v>0</v>
      </c>
      <c r="DI610" s="1518"/>
      <c r="DJ610" s="1518"/>
      <c r="DK610" s="1518"/>
      <c r="DL610" s="1518"/>
      <c r="DM610" s="1518">
        <f t="shared" si="15"/>
        <v>0</v>
      </c>
      <c r="DN610" s="1518"/>
      <c r="DO610" s="1518"/>
      <c r="DP610" s="1518"/>
      <c r="DQ610" s="1518"/>
      <c r="DR610" s="1518">
        <f t="shared" si="16"/>
        <v>0</v>
      </c>
      <c r="DS610" s="1518"/>
      <c r="DT610" s="1518"/>
      <c r="DU610" s="1518"/>
      <c r="DV610" s="1518"/>
      <c r="DX610" s="1519" t="str">
        <f t="shared" si="17"/>
        <v/>
      </c>
      <c r="DY610" s="1520"/>
      <c r="DZ610" s="1520"/>
      <c r="EA610" s="1520"/>
      <c r="EB610" s="1521"/>
      <c r="EC610" s="1519" t="str">
        <f t="shared" si="18"/>
        <v/>
      </c>
      <c r="ED610" s="1520"/>
      <c r="EE610" s="1520"/>
      <c r="EF610" s="1520"/>
      <c r="EG610" s="1521"/>
      <c r="EH610" s="1519" t="str">
        <f t="shared" si="19"/>
        <v/>
      </c>
      <c r="EI610" s="1520"/>
      <c r="EJ610" s="1520"/>
      <c r="EK610" s="1520"/>
      <c r="EL610" s="1521"/>
      <c r="EM610" s="1519" t="str">
        <f t="shared" si="20"/>
        <v/>
      </c>
      <c r="EN610" s="1520"/>
      <c r="EO610" s="1520"/>
      <c r="EP610" s="1520"/>
      <c r="EQ610" s="1521"/>
      <c r="ER610" s="1519" t="str">
        <f t="shared" si="21"/>
        <v/>
      </c>
      <c r="ES610" s="1520"/>
      <c r="ET610" s="1520"/>
      <c r="EU610" s="1520"/>
      <c r="EV610" s="1521"/>
      <c r="EW610" s="1519" t="str">
        <f t="shared" si="22"/>
        <v/>
      </c>
      <c r="EX610" s="1520"/>
      <c r="EY610" s="1520"/>
      <c r="EZ610" s="1520"/>
      <c r="FA610" s="1521"/>
    </row>
    <row r="611" spans="1:157" ht="12.95" customHeight="1">
      <c r="B611" t="s">
        <v>588</v>
      </c>
      <c r="G611" s="1408"/>
      <c r="H611" s="1408"/>
      <c r="I611" s="1408"/>
      <c r="J611" s="1408"/>
      <c r="K611" s="1408"/>
      <c r="L611" s="1408"/>
      <c r="M611" s="1408"/>
      <c r="N611" s="1408"/>
      <c r="O611" s="1408"/>
      <c r="P611" s="1408"/>
      <c r="Q611" s="1408"/>
      <c r="R611" s="1408"/>
      <c r="U611" t="s">
        <v>588</v>
      </c>
      <c r="Z611" s="1417"/>
      <c r="AA611" s="1417"/>
      <c r="AB611" s="1417"/>
      <c r="AC611" s="1417"/>
      <c r="AD611" s="1417"/>
      <c r="AE611" s="1417"/>
      <c r="AF611" s="1417"/>
      <c r="AG611" s="1417"/>
      <c r="AH611" s="1417"/>
      <c r="AI611" s="1417"/>
      <c r="AJ611" s="1417"/>
      <c r="AK611" s="1417"/>
      <c r="AZ611" s="3"/>
      <c r="BA611" s="3"/>
      <c r="BB611" s="3"/>
      <c r="BC611" s="3"/>
      <c r="BD611" s="3"/>
      <c r="BE611" s="1519">
        <f t="shared" si="1"/>
        <v>0</v>
      </c>
      <c r="BF611" s="1521"/>
      <c r="BG611" s="1511">
        <f t="shared" si="2"/>
        <v>0</v>
      </c>
      <c r="BH611" s="1513"/>
      <c r="BI611" s="1519">
        <f t="shared" si="3"/>
        <v>0</v>
      </c>
      <c r="BJ611" s="1521"/>
      <c r="BK611" s="1511">
        <f t="shared" si="4"/>
        <v>0</v>
      </c>
      <c r="BL611" s="1513"/>
      <c r="BM611" s="3"/>
      <c r="BN611" s="1507">
        <f t="shared" si="5"/>
        <v>0</v>
      </c>
      <c r="BO611" s="1508"/>
      <c r="BP611" s="1508"/>
      <c r="BQ611" s="1508"/>
      <c r="BR611" s="1509"/>
      <c r="BS611" s="1510">
        <f t="shared" si="6"/>
        <v>0</v>
      </c>
      <c r="BT611" s="1510"/>
      <c r="BU611" s="1510"/>
      <c r="BV611" s="1510"/>
      <c r="BW611" s="1510"/>
      <c r="BX611" s="1510">
        <f t="shared" si="7"/>
        <v>0</v>
      </c>
      <c r="BY611" s="1510"/>
      <c r="BZ611" s="1510"/>
      <c r="CA611" s="1510"/>
      <c r="CB611" s="1510"/>
      <c r="CC611" s="1510">
        <f t="shared" si="8"/>
        <v>0</v>
      </c>
      <c r="CD611" s="1510"/>
      <c r="CE611" s="1510"/>
      <c r="CF611" s="1510"/>
      <c r="CG611" s="1510"/>
      <c r="CH611" s="1510">
        <f t="shared" si="9"/>
        <v>0</v>
      </c>
      <c r="CI611" s="1510"/>
      <c r="CJ611" s="1510"/>
      <c r="CK611" s="1510"/>
      <c r="CL611" s="1510"/>
      <c r="CM611" s="1510">
        <f t="shared" si="10"/>
        <v>0</v>
      </c>
      <c r="CN611" s="1510"/>
      <c r="CO611" s="1510"/>
      <c r="CP611" s="1510"/>
      <c r="CQ611" s="1510"/>
      <c r="CR611" s="6"/>
      <c r="CS611" s="1518">
        <f t="shared" si="11"/>
        <v>0</v>
      </c>
      <c r="CT611" s="1518"/>
      <c r="CU611" s="1518"/>
      <c r="CV611" s="1518"/>
      <c r="CW611" s="1518"/>
      <c r="CX611" s="1518">
        <f t="shared" si="12"/>
        <v>0</v>
      </c>
      <c r="CY611" s="1518"/>
      <c r="CZ611" s="1518"/>
      <c r="DA611" s="1518"/>
      <c r="DB611" s="1518"/>
      <c r="DC611" s="1518">
        <f t="shared" si="13"/>
        <v>0</v>
      </c>
      <c r="DD611" s="1518"/>
      <c r="DE611" s="1518"/>
      <c r="DF611" s="1518"/>
      <c r="DG611" s="1518"/>
      <c r="DH611" s="1518">
        <f t="shared" si="14"/>
        <v>0</v>
      </c>
      <c r="DI611" s="1518"/>
      <c r="DJ611" s="1518"/>
      <c r="DK611" s="1518"/>
      <c r="DL611" s="1518"/>
      <c r="DM611" s="1518">
        <f t="shared" si="15"/>
        <v>0</v>
      </c>
      <c r="DN611" s="1518"/>
      <c r="DO611" s="1518"/>
      <c r="DP611" s="1518"/>
      <c r="DQ611" s="1518"/>
      <c r="DR611" s="1518">
        <f t="shared" si="16"/>
        <v>0</v>
      </c>
      <c r="DS611" s="1518"/>
      <c r="DT611" s="1518"/>
      <c r="DU611" s="1518"/>
      <c r="DV611" s="1518"/>
      <c r="DX611" s="1519" t="str">
        <f t="shared" si="17"/>
        <v/>
      </c>
      <c r="DY611" s="1520"/>
      <c r="DZ611" s="1520"/>
      <c r="EA611" s="1520"/>
      <c r="EB611" s="1521"/>
      <c r="EC611" s="1519" t="str">
        <f t="shared" si="18"/>
        <v/>
      </c>
      <c r="ED611" s="1520"/>
      <c r="EE611" s="1520"/>
      <c r="EF611" s="1520"/>
      <c r="EG611" s="1521"/>
      <c r="EH611" s="1519" t="str">
        <f t="shared" si="19"/>
        <v/>
      </c>
      <c r="EI611" s="1520"/>
      <c r="EJ611" s="1520"/>
      <c r="EK611" s="1520"/>
      <c r="EL611" s="1521"/>
      <c r="EM611" s="1519" t="str">
        <f t="shared" si="20"/>
        <v/>
      </c>
      <c r="EN611" s="1520"/>
      <c r="EO611" s="1520"/>
      <c r="EP611" s="1520"/>
      <c r="EQ611" s="1521"/>
      <c r="ER611" s="1519" t="str">
        <f t="shared" si="21"/>
        <v/>
      </c>
      <c r="ES611" s="1520"/>
      <c r="ET611" s="1520"/>
      <c r="EU611" s="1520"/>
      <c r="EV611" s="1521"/>
      <c r="EW611" s="1519" t="str">
        <f t="shared" si="22"/>
        <v/>
      </c>
      <c r="EX611" s="1520"/>
      <c r="EY611" s="1520"/>
      <c r="EZ611" s="1520"/>
      <c r="FA611" s="1521"/>
    </row>
    <row r="612" spans="1:157" ht="12.95" customHeight="1">
      <c r="B612" t="s">
        <v>17</v>
      </c>
      <c r="G612" s="1408"/>
      <c r="H612" s="1408"/>
      <c r="I612" s="1408"/>
      <c r="J612" s="1408"/>
      <c r="K612" s="1408"/>
      <c r="L612" s="1408"/>
      <c r="M612" s="1408"/>
      <c r="N612" s="1408"/>
      <c r="O612" s="1408"/>
      <c r="P612" s="1408"/>
      <c r="Q612" s="1408"/>
      <c r="R612" s="1408"/>
      <c r="U612" t="s">
        <v>17</v>
      </c>
      <c r="Z612" s="1417"/>
      <c r="AA612" s="1417"/>
      <c r="AB612" s="1417"/>
      <c r="AC612" s="1417"/>
      <c r="AD612" s="1417"/>
      <c r="AE612" s="1417"/>
      <c r="AF612" s="1417"/>
      <c r="AG612" s="1417"/>
      <c r="AH612" s="1417"/>
      <c r="AI612" s="1417"/>
      <c r="AJ612" s="1417"/>
      <c r="AK612" s="1417"/>
      <c r="AZ612" s="3"/>
      <c r="BA612" s="3"/>
      <c r="BB612" s="3"/>
      <c r="BC612" s="3"/>
      <c r="BD612" s="3"/>
      <c r="BE612" s="1519">
        <f t="shared" si="1"/>
        <v>0</v>
      </c>
      <c r="BF612" s="1521"/>
      <c r="BG612" s="1511">
        <f t="shared" si="2"/>
        <v>0</v>
      </c>
      <c r="BH612" s="1513"/>
      <c r="BI612" s="1519">
        <f t="shared" si="3"/>
        <v>0</v>
      </c>
      <c r="BJ612" s="1521"/>
      <c r="BK612" s="1511">
        <f t="shared" si="4"/>
        <v>0</v>
      </c>
      <c r="BL612" s="1513"/>
      <c r="BM612" s="3"/>
      <c r="BN612" s="1507">
        <f t="shared" si="5"/>
        <v>0</v>
      </c>
      <c r="BO612" s="1508"/>
      <c r="BP612" s="1508"/>
      <c r="BQ612" s="1508"/>
      <c r="BR612" s="1509"/>
      <c r="BS612" s="1510">
        <f t="shared" si="6"/>
        <v>0</v>
      </c>
      <c r="BT612" s="1510"/>
      <c r="BU612" s="1510"/>
      <c r="BV612" s="1510"/>
      <c r="BW612" s="1510"/>
      <c r="BX612" s="1510">
        <f t="shared" si="7"/>
        <v>0</v>
      </c>
      <c r="BY612" s="1510"/>
      <c r="BZ612" s="1510"/>
      <c r="CA612" s="1510"/>
      <c r="CB612" s="1510"/>
      <c r="CC612" s="1510">
        <f t="shared" si="8"/>
        <v>0</v>
      </c>
      <c r="CD612" s="1510"/>
      <c r="CE612" s="1510"/>
      <c r="CF612" s="1510"/>
      <c r="CG612" s="1510"/>
      <c r="CH612" s="1510">
        <f t="shared" si="9"/>
        <v>0</v>
      </c>
      <c r="CI612" s="1510"/>
      <c r="CJ612" s="1510"/>
      <c r="CK612" s="1510"/>
      <c r="CL612" s="1510"/>
      <c r="CM612" s="1510">
        <f t="shared" si="10"/>
        <v>0</v>
      </c>
      <c r="CN612" s="1510"/>
      <c r="CO612" s="1510"/>
      <c r="CP612" s="1510"/>
      <c r="CQ612" s="1510"/>
      <c r="CR612" s="6"/>
      <c r="CS612" s="1518">
        <f t="shared" si="11"/>
        <v>0</v>
      </c>
      <c r="CT612" s="1518"/>
      <c r="CU612" s="1518"/>
      <c r="CV612" s="1518"/>
      <c r="CW612" s="1518"/>
      <c r="CX612" s="1518">
        <f t="shared" si="12"/>
        <v>0</v>
      </c>
      <c r="CY612" s="1518"/>
      <c r="CZ612" s="1518"/>
      <c r="DA612" s="1518"/>
      <c r="DB612" s="1518"/>
      <c r="DC612" s="1518">
        <f t="shared" si="13"/>
        <v>0</v>
      </c>
      <c r="DD612" s="1518"/>
      <c r="DE612" s="1518"/>
      <c r="DF612" s="1518"/>
      <c r="DG612" s="1518"/>
      <c r="DH612" s="1518">
        <f t="shared" si="14"/>
        <v>0</v>
      </c>
      <c r="DI612" s="1518"/>
      <c r="DJ612" s="1518"/>
      <c r="DK612" s="1518"/>
      <c r="DL612" s="1518"/>
      <c r="DM612" s="1518">
        <f t="shared" si="15"/>
        <v>0</v>
      </c>
      <c r="DN612" s="1518"/>
      <c r="DO612" s="1518"/>
      <c r="DP612" s="1518"/>
      <c r="DQ612" s="1518"/>
      <c r="DR612" s="1518">
        <f t="shared" si="16"/>
        <v>0</v>
      </c>
      <c r="DS612" s="1518"/>
      <c r="DT612" s="1518"/>
      <c r="DU612" s="1518"/>
      <c r="DV612" s="1518"/>
      <c r="DX612" s="1519" t="str">
        <f t="shared" si="17"/>
        <v/>
      </c>
      <c r="DY612" s="1520"/>
      <c r="DZ612" s="1520"/>
      <c r="EA612" s="1520"/>
      <c r="EB612" s="1521"/>
      <c r="EC612" s="1519" t="str">
        <f t="shared" si="18"/>
        <v/>
      </c>
      <c r="ED612" s="1520"/>
      <c r="EE612" s="1520"/>
      <c r="EF612" s="1520"/>
      <c r="EG612" s="1521"/>
      <c r="EH612" s="1519" t="str">
        <f t="shared" si="19"/>
        <v/>
      </c>
      <c r="EI612" s="1520"/>
      <c r="EJ612" s="1520"/>
      <c r="EK612" s="1520"/>
      <c r="EL612" s="1521"/>
      <c r="EM612" s="1519" t="str">
        <f t="shared" si="20"/>
        <v/>
      </c>
      <c r="EN612" s="1520"/>
      <c r="EO612" s="1520"/>
      <c r="EP612" s="1520"/>
      <c r="EQ612" s="1521"/>
      <c r="ER612" s="1519" t="str">
        <f t="shared" si="21"/>
        <v/>
      </c>
      <c r="ES612" s="1520"/>
      <c r="ET612" s="1520"/>
      <c r="EU612" s="1520"/>
      <c r="EV612" s="1521"/>
      <c r="EW612" s="1519" t="str">
        <f t="shared" si="22"/>
        <v/>
      </c>
      <c r="EX612" s="1520"/>
      <c r="EY612" s="1520"/>
      <c r="EZ612" s="1520"/>
      <c r="FA612" s="1521"/>
    </row>
    <row r="613" spans="1:157" ht="12.95" customHeight="1">
      <c r="B613" t="s">
        <v>317</v>
      </c>
      <c r="G613" s="1406"/>
      <c r="H613" s="1406"/>
      <c r="I613" s="1406"/>
      <c r="J613" s="1406"/>
      <c r="K613" s="1406"/>
      <c r="L613" s="1406"/>
      <c r="O613" s="33" t="s">
        <v>207</v>
      </c>
      <c r="P613" s="1473"/>
      <c r="Q613" s="1473"/>
      <c r="R613" s="1473"/>
      <c r="U613" t="s">
        <v>317</v>
      </c>
      <c r="Z613" s="1406"/>
      <c r="AA613" s="1406"/>
      <c r="AB613" s="1406"/>
      <c r="AC613" s="1406"/>
      <c r="AD613" s="1406"/>
      <c r="AE613" s="1406"/>
      <c r="AH613" s="33" t="s">
        <v>207</v>
      </c>
      <c r="AI613" s="1473"/>
      <c r="AJ613" s="1473"/>
      <c r="AK613" s="1473"/>
      <c r="AZ613" s="3"/>
      <c r="BA613" s="3"/>
      <c r="BB613" s="3"/>
      <c r="BC613" s="3"/>
      <c r="BD613" s="3"/>
      <c r="BE613" s="1519">
        <f t="shared" si="1"/>
        <v>0</v>
      </c>
      <c r="BF613" s="1521"/>
      <c r="BG613" s="1511">
        <f t="shared" si="2"/>
        <v>0</v>
      </c>
      <c r="BH613" s="1513"/>
      <c r="BI613" s="1519">
        <f t="shared" si="3"/>
        <v>0</v>
      </c>
      <c r="BJ613" s="1521"/>
      <c r="BK613" s="1511">
        <f t="shared" si="4"/>
        <v>0</v>
      </c>
      <c r="BL613" s="1513"/>
      <c r="BM613" s="3"/>
      <c r="BN613" s="1507">
        <f t="shared" si="5"/>
        <v>0</v>
      </c>
      <c r="BO613" s="1508"/>
      <c r="BP613" s="1508"/>
      <c r="BQ613" s="1508"/>
      <c r="BR613" s="1509"/>
      <c r="BS613" s="1510">
        <f t="shared" si="6"/>
        <v>0</v>
      </c>
      <c r="BT613" s="1510"/>
      <c r="BU613" s="1510"/>
      <c r="BV613" s="1510"/>
      <c r="BW613" s="1510"/>
      <c r="BX613" s="1510">
        <f t="shared" si="7"/>
        <v>0</v>
      </c>
      <c r="BY613" s="1510"/>
      <c r="BZ613" s="1510"/>
      <c r="CA613" s="1510"/>
      <c r="CB613" s="1510"/>
      <c r="CC613" s="1510">
        <f t="shared" si="8"/>
        <v>0</v>
      </c>
      <c r="CD613" s="1510"/>
      <c r="CE613" s="1510"/>
      <c r="CF613" s="1510"/>
      <c r="CG613" s="1510"/>
      <c r="CH613" s="1510">
        <f t="shared" si="9"/>
        <v>0</v>
      </c>
      <c r="CI613" s="1510"/>
      <c r="CJ613" s="1510"/>
      <c r="CK613" s="1510"/>
      <c r="CL613" s="1510"/>
      <c r="CM613" s="1510">
        <f t="shared" si="10"/>
        <v>0</v>
      </c>
      <c r="CN613" s="1510"/>
      <c r="CO613" s="1510"/>
      <c r="CP613" s="1510"/>
      <c r="CQ613" s="1510"/>
      <c r="CR613" s="6"/>
      <c r="CS613" s="1518">
        <f t="shared" si="11"/>
        <v>0</v>
      </c>
      <c r="CT613" s="1518"/>
      <c r="CU613" s="1518"/>
      <c r="CV613" s="1518"/>
      <c r="CW613" s="1518"/>
      <c r="CX613" s="1518">
        <f t="shared" si="12"/>
        <v>0</v>
      </c>
      <c r="CY613" s="1518"/>
      <c r="CZ613" s="1518"/>
      <c r="DA613" s="1518"/>
      <c r="DB613" s="1518"/>
      <c r="DC613" s="1518">
        <f t="shared" si="13"/>
        <v>0</v>
      </c>
      <c r="DD613" s="1518"/>
      <c r="DE613" s="1518"/>
      <c r="DF613" s="1518"/>
      <c r="DG613" s="1518"/>
      <c r="DH613" s="1518">
        <f t="shared" si="14"/>
        <v>0</v>
      </c>
      <c r="DI613" s="1518"/>
      <c r="DJ613" s="1518"/>
      <c r="DK613" s="1518"/>
      <c r="DL613" s="1518"/>
      <c r="DM613" s="1518">
        <f t="shared" si="15"/>
        <v>0</v>
      </c>
      <c r="DN613" s="1518"/>
      <c r="DO613" s="1518"/>
      <c r="DP613" s="1518"/>
      <c r="DQ613" s="1518"/>
      <c r="DR613" s="1518">
        <f t="shared" si="16"/>
        <v>0</v>
      </c>
      <c r="DS613" s="1518"/>
      <c r="DT613" s="1518"/>
      <c r="DU613" s="1518"/>
      <c r="DV613" s="1518"/>
      <c r="DX613" s="1519" t="str">
        <f t="shared" si="17"/>
        <v/>
      </c>
      <c r="DY613" s="1520"/>
      <c r="DZ613" s="1520"/>
      <c r="EA613" s="1520"/>
      <c r="EB613" s="1521"/>
      <c r="EC613" s="1519" t="str">
        <f t="shared" si="18"/>
        <v/>
      </c>
      <c r="ED613" s="1520"/>
      <c r="EE613" s="1520"/>
      <c r="EF613" s="1520"/>
      <c r="EG613" s="1521"/>
      <c r="EH613" s="1519" t="str">
        <f t="shared" si="19"/>
        <v/>
      </c>
      <c r="EI613" s="1520"/>
      <c r="EJ613" s="1520"/>
      <c r="EK613" s="1520"/>
      <c r="EL613" s="1521"/>
      <c r="EM613" s="1519" t="str">
        <f t="shared" si="20"/>
        <v/>
      </c>
      <c r="EN613" s="1520"/>
      <c r="EO613" s="1520"/>
      <c r="EP613" s="1520"/>
      <c r="EQ613" s="1521"/>
      <c r="ER613" s="1519" t="str">
        <f t="shared" si="21"/>
        <v/>
      </c>
      <c r="ES613" s="1520"/>
      <c r="ET613" s="1520"/>
      <c r="EU613" s="1520"/>
      <c r="EV613" s="1521"/>
      <c r="EW613" s="1519" t="str">
        <f t="shared" si="22"/>
        <v/>
      </c>
      <c r="EX613" s="1520"/>
      <c r="EY613" s="1520"/>
      <c r="EZ613" s="1520"/>
      <c r="FA613" s="1521"/>
    </row>
    <row r="614" spans="1:157" ht="12.9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934"/>
      <c r="AV614" s="934"/>
      <c r="AW614" s="934"/>
      <c r="AX614" s="934"/>
      <c r="AY614" s="934"/>
      <c r="AZ614" s="3"/>
      <c r="BA614" s="3"/>
      <c r="BB614" s="3"/>
      <c r="BC614" s="3"/>
      <c r="BD614" s="3"/>
      <c r="BE614" s="1519">
        <f t="shared" si="1"/>
        <v>0</v>
      </c>
      <c r="BF614" s="1521"/>
      <c r="BG614" s="1511">
        <f t="shared" si="2"/>
        <v>0</v>
      </c>
      <c r="BH614" s="1513"/>
      <c r="BI614" s="1519">
        <f t="shared" si="3"/>
        <v>0</v>
      </c>
      <c r="BJ614" s="1521"/>
      <c r="BK614" s="1511">
        <f t="shared" si="4"/>
        <v>0</v>
      </c>
      <c r="BL614" s="1513"/>
      <c r="BM614" s="3"/>
      <c r="BN614" s="1507">
        <f t="shared" si="5"/>
        <v>0</v>
      </c>
      <c r="BO614" s="1508"/>
      <c r="BP614" s="1508"/>
      <c r="BQ614" s="1508"/>
      <c r="BR614" s="1509"/>
      <c r="BS614" s="1510">
        <f t="shared" si="6"/>
        <v>0</v>
      </c>
      <c r="BT614" s="1510"/>
      <c r="BU614" s="1510"/>
      <c r="BV614" s="1510"/>
      <c r="BW614" s="1510"/>
      <c r="BX614" s="1510">
        <f t="shared" si="7"/>
        <v>0</v>
      </c>
      <c r="BY614" s="1510"/>
      <c r="BZ614" s="1510"/>
      <c r="CA614" s="1510"/>
      <c r="CB614" s="1510"/>
      <c r="CC614" s="1510">
        <f t="shared" si="8"/>
        <v>0</v>
      </c>
      <c r="CD614" s="1510"/>
      <c r="CE614" s="1510"/>
      <c r="CF614" s="1510"/>
      <c r="CG614" s="1510"/>
      <c r="CH614" s="1510">
        <f t="shared" si="9"/>
        <v>0</v>
      </c>
      <c r="CI614" s="1510"/>
      <c r="CJ614" s="1510"/>
      <c r="CK614" s="1510"/>
      <c r="CL614" s="1510"/>
      <c r="CM614" s="1510">
        <f t="shared" si="10"/>
        <v>0</v>
      </c>
      <c r="CN614" s="1510"/>
      <c r="CO614" s="1510"/>
      <c r="CP614" s="1510"/>
      <c r="CQ614" s="1510"/>
      <c r="CR614" s="6"/>
      <c r="CS614" s="1518">
        <f t="shared" si="11"/>
        <v>0</v>
      </c>
      <c r="CT614" s="1518"/>
      <c r="CU614" s="1518"/>
      <c r="CV614" s="1518"/>
      <c r="CW614" s="1518"/>
      <c r="CX614" s="1518">
        <f t="shared" si="12"/>
        <v>0</v>
      </c>
      <c r="CY614" s="1518"/>
      <c r="CZ614" s="1518"/>
      <c r="DA614" s="1518"/>
      <c r="DB614" s="1518"/>
      <c r="DC614" s="1518">
        <f t="shared" si="13"/>
        <v>0</v>
      </c>
      <c r="DD614" s="1518"/>
      <c r="DE614" s="1518"/>
      <c r="DF614" s="1518"/>
      <c r="DG614" s="1518"/>
      <c r="DH614" s="1518">
        <f t="shared" si="14"/>
        <v>0</v>
      </c>
      <c r="DI614" s="1518"/>
      <c r="DJ614" s="1518"/>
      <c r="DK614" s="1518"/>
      <c r="DL614" s="1518"/>
      <c r="DM614" s="1518">
        <f t="shared" si="15"/>
        <v>0</v>
      </c>
      <c r="DN614" s="1518"/>
      <c r="DO614" s="1518"/>
      <c r="DP614" s="1518"/>
      <c r="DQ614" s="1518"/>
      <c r="DR614" s="1518">
        <f t="shared" si="16"/>
        <v>0</v>
      </c>
      <c r="DS614" s="1518"/>
      <c r="DT614" s="1518"/>
      <c r="DU614" s="1518"/>
      <c r="DV614" s="1518"/>
      <c r="DX614" s="1519" t="str">
        <f t="shared" si="17"/>
        <v/>
      </c>
      <c r="DY614" s="1520"/>
      <c r="DZ614" s="1520"/>
      <c r="EA614" s="1520"/>
      <c r="EB614" s="1521"/>
      <c r="EC614" s="1519" t="str">
        <f t="shared" si="18"/>
        <v/>
      </c>
      <c r="ED614" s="1520"/>
      <c r="EE614" s="1520"/>
      <c r="EF614" s="1520"/>
      <c r="EG614" s="1521"/>
      <c r="EH614" s="1519" t="str">
        <f t="shared" si="19"/>
        <v/>
      </c>
      <c r="EI614" s="1520"/>
      <c r="EJ614" s="1520"/>
      <c r="EK614" s="1520"/>
      <c r="EL614" s="1521"/>
      <c r="EM614" s="1519" t="str">
        <f t="shared" si="20"/>
        <v/>
      </c>
      <c r="EN614" s="1520"/>
      <c r="EO614" s="1520"/>
      <c r="EP614" s="1520"/>
      <c r="EQ614" s="1521"/>
      <c r="ER614" s="1519" t="str">
        <f t="shared" si="21"/>
        <v/>
      </c>
      <c r="ES614" s="1520"/>
      <c r="ET614" s="1520"/>
      <c r="EU614" s="1520"/>
      <c r="EV614" s="1521"/>
      <c r="EW614" s="1519" t="str">
        <f t="shared" si="22"/>
        <v/>
      </c>
      <c r="EX614" s="1520"/>
      <c r="EY614" s="1520"/>
      <c r="EZ614" s="1520"/>
      <c r="FA614" s="1521"/>
    </row>
    <row r="615" spans="1:157" ht="12.95" customHeight="1">
      <c r="B615" t="s">
        <v>20</v>
      </c>
      <c r="N615" s="1416" t="s">
        <v>677</v>
      </c>
      <c r="O615" s="1416"/>
      <c r="U615" t="s">
        <v>20</v>
      </c>
      <c r="AG615" s="1416" t="s">
        <v>677</v>
      </c>
      <c r="AH615" s="1416"/>
      <c r="AU615" s="934"/>
      <c r="AV615" s="934"/>
      <c r="AW615" s="934"/>
      <c r="AX615" s="934"/>
      <c r="AY615" s="934"/>
      <c r="AZ615" s="3"/>
      <c r="BA615" s="3"/>
      <c r="BB615" s="3"/>
      <c r="BC615" s="3"/>
      <c r="BD615" s="3"/>
      <c r="BE615" s="1519">
        <f t="shared" si="1"/>
        <v>0</v>
      </c>
      <c r="BF615" s="1521"/>
      <c r="BG615" s="1511">
        <f t="shared" si="2"/>
        <v>0</v>
      </c>
      <c r="BH615" s="1513"/>
      <c r="BI615" s="1519">
        <f t="shared" si="3"/>
        <v>0</v>
      </c>
      <c r="BJ615" s="1521"/>
      <c r="BK615" s="1511">
        <f t="shared" si="4"/>
        <v>0</v>
      </c>
      <c r="BL615" s="1513"/>
      <c r="BM615" s="3"/>
      <c r="BN615" s="1507">
        <f t="shared" si="5"/>
        <v>0</v>
      </c>
      <c r="BO615" s="1508"/>
      <c r="BP615" s="1508"/>
      <c r="BQ615" s="1508"/>
      <c r="BR615" s="1509"/>
      <c r="BS615" s="1510">
        <f t="shared" si="6"/>
        <v>0</v>
      </c>
      <c r="BT615" s="1510"/>
      <c r="BU615" s="1510"/>
      <c r="BV615" s="1510"/>
      <c r="BW615" s="1510"/>
      <c r="BX615" s="1510">
        <f t="shared" si="7"/>
        <v>0</v>
      </c>
      <c r="BY615" s="1510"/>
      <c r="BZ615" s="1510"/>
      <c r="CA615" s="1510"/>
      <c r="CB615" s="1510"/>
      <c r="CC615" s="1510">
        <f t="shared" si="8"/>
        <v>0</v>
      </c>
      <c r="CD615" s="1510"/>
      <c r="CE615" s="1510"/>
      <c r="CF615" s="1510"/>
      <c r="CG615" s="1510"/>
      <c r="CH615" s="1510">
        <f t="shared" si="9"/>
        <v>0</v>
      </c>
      <c r="CI615" s="1510"/>
      <c r="CJ615" s="1510"/>
      <c r="CK615" s="1510"/>
      <c r="CL615" s="1510"/>
      <c r="CM615" s="1510">
        <f t="shared" si="10"/>
        <v>0</v>
      </c>
      <c r="CN615" s="1510"/>
      <c r="CO615" s="1510"/>
      <c r="CP615" s="1510"/>
      <c r="CQ615" s="1510"/>
      <c r="CR615" s="6"/>
      <c r="CS615" s="1518">
        <f t="shared" si="11"/>
        <v>0</v>
      </c>
      <c r="CT615" s="1518"/>
      <c r="CU615" s="1518"/>
      <c r="CV615" s="1518"/>
      <c r="CW615" s="1518"/>
      <c r="CX615" s="1518">
        <f t="shared" si="12"/>
        <v>0</v>
      </c>
      <c r="CY615" s="1518"/>
      <c r="CZ615" s="1518"/>
      <c r="DA615" s="1518"/>
      <c r="DB615" s="1518"/>
      <c r="DC615" s="1518">
        <f t="shared" si="13"/>
        <v>0</v>
      </c>
      <c r="DD615" s="1518"/>
      <c r="DE615" s="1518"/>
      <c r="DF615" s="1518"/>
      <c r="DG615" s="1518"/>
      <c r="DH615" s="1518">
        <f t="shared" si="14"/>
        <v>0</v>
      </c>
      <c r="DI615" s="1518"/>
      <c r="DJ615" s="1518"/>
      <c r="DK615" s="1518"/>
      <c r="DL615" s="1518"/>
      <c r="DM615" s="1518">
        <f t="shared" si="15"/>
        <v>0</v>
      </c>
      <c r="DN615" s="1518"/>
      <c r="DO615" s="1518"/>
      <c r="DP615" s="1518"/>
      <c r="DQ615" s="1518"/>
      <c r="DR615" s="1518">
        <f t="shared" si="16"/>
        <v>0</v>
      </c>
      <c r="DS615" s="1518"/>
      <c r="DT615" s="1518"/>
      <c r="DU615" s="1518"/>
      <c r="DV615" s="1518"/>
      <c r="DX615" s="1519" t="str">
        <f t="shared" si="17"/>
        <v/>
      </c>
      <c r="DY615" s="1520"/>
      <c r="DZ615" s="1520"/>
      <c r="EA615" s="1520"/>
      <c r="EB615" s="1521"/>
      <c r="EC615" s="1519" t="str">
        <f t="shared" si="18"/>
        <v/>
      </c>
      <c r="ED615" s="1520"/>
      <c r="EE615" s="1520"/>
      <c r="EF615" s="1520"/>
      <c r="EG615" s="1521"/>
      <c r="EH615" s="1519" t="str">
        <f t="shared" si="19"/>
        <v/>
      </c>
      <c r="EI615" s="1520"/>
      <c r="EJ615" s="1520"/>
      <c r="EK615" s="1520"/>
      <c r="EL615" s="1521"/>
      <c r="EM615" s="1519" t="str">
        <f t="shared" si="20"/>
        <v/>
      </c>
      <c r="EN615" s="1520"/>
      <c r="EO615" s="1520"/>
      <c r="EP615" s="1520"/>
      <c r="EQ615" s="1521"/>
      <c r="ER615" s="1519" t="str">
        <f t="shared" si="21"/>
        <v/>
      </c>
      <c r="ES615" s="1520"/>
      <c r="ET615" s="1520"/>
      <c r="EU615" s="1520"/>
      <c r="EV615" s="1521"/>
      <c r="EW615" s="1519" t="str">
        <f t="shared" si="22"/>
        <v/>
      </c>
      <c r="EX615" s="1520"/>
      <c r="EY615" s="1520"/>
      <c r="EZ615" s="1520"/>
      <c r="FA615" s="1521"/>
    </row>
    <row r="616" spans="1:157" ht="12.95" customHeight="1">
      <c r="AZ616" s="3"/>
      <c r="BA616" s="3"/>
      <c r="BB616" s="3"/>
      <c r="BC616" s="3"/>
      <c r="BD616" s="3"/>
      <c r="BE616" s="1519">
        <f t="shared" si="1"/>
        <v>0</v>
      </c>
      <c r="BF616" s="1521"/>
      <c r="BG616" s="1511">
        <f t="shared" si="2"/>
        <v>0</v>
      </c>
      <c r="BH616" s="1513"/>
      <c r="BI616" s="1519">
        <f t="shared" si="3"/>
        <v>0</v>
      </c>
      <c r="BJ616" s="1521"/>
      <c r="BK616" s="1511">
        <f t="shared" si="4"/>
        <v>0</v>
      </c>
      <c r="BL616" s="1513"/>
      <c r="BM616" s="3"/>
      <c r="BN616" s="1507">
        <f t="shared" si="5"/>
        <v>0</v>
      </c>
      <c r="BO616" s="1508"/>
      <c r="BP616" s="1508"/>
      <c r="BQ616" s="1508"/>
      <c r="BR616" s="1509"/>
      <c r="BS616" s="1510">
        <f t="shared" si="6"/>
        <v>0</v>
      </c>
      <c r="BT616" s="1510"/>
      <c r="BU616" s="1510"/>
      <c r="BV616" s="1510"/>
      <c r="BW616" s="1510"/>
      <c r="BX616" s="1510">
        <f t="shared" si="7"/>
        <v>0</v>
      </c>
      <c r="BY616" s="1510"/>
      <c r="BZ616" s="1510"/>
      <c r="CA616" s="1510"/>
      <c r="CB616" s="1510"/>
      <c r="CC616" s="1510">
        <f t="shared" si="8"/>
        <v>0</v>
      </c>
      <c r="CD616" s="1510"/>
      <c r="CE616" s="1510"/>
      <c r="CF616" s="1510"/>
      <c r="CG616" s="1510"/>
      <c r="CH616" s="1510">
        <f t="shared" si="9"/>
        <v>0</v>
      </c>
      <c r="CI616" s="1510"/>
      <c r="CJ616" s="1510"/>
      <c r="CK616" s="1510"/>
      <c r="CL616" s="1510"/>
      <c r="CM616" s="1510">
        <f t="shared" si="10"/>
        <v>0</v>
      </c>
      <c r="CN616" s="1510"/>
      <c r="CO616" s="1510"/>
      <c r="CP616" s="1510"/>
      <c r="CQ616" s="1510"/>
      <c r="CR616" s="6"/>
      <c r="CS616" s="1518">
        <f t="shared" si="11"/>
        <v>0</v>
      </c>
      <c r="CT616" s="1518"/>
      <c r="CU616" s="1518"/>
      <c r="CV616" s="1518"/>
      <c r="CW616" s="1518"/>
      <c r="CX616" s="1518">
        <f t="shared" si="12"/>
        <v>0</v>
      </c>
      <c r="CY616" s="1518"/>
      <c r="CZ616" s="1518"/>
      <c r="DA616" s="1518"/>
      <c r="DB616" s="1518"/>
      <c r="DC616" s="1518">
        <f t="shared" si="13"/>
        <v>0</v>
      </c>
      <c r="DD616" s="1518"/>
      <c r="DE616" s="1518"/>
      <c r="DF616" s="1518"/>
      <c r="DG616" s="1518"/>
      <c r="DH616" s="1518">
        <f t="shared" si="14"/>
        <v>0</v>
      </c>
      <c r="DI616" s="1518"/>
      <c r="DJ616" s="1518"/>
      <c r="DK616" s="1518"/>
      <c r="DL616" s="1518"/>
      <c r="DM616" s="1518">
        <f t="shared" si="15"/>
        <v>0</v>
      </c>
      <c r="DN616" s="1518"/>
      <c r="DO616" s="1518"/>
      <c r="DP616" s="1518"/>
      <c r="DQ616" s="1518"/>
      <c r="DR616" s="1518">
        <f t="shared" si="16"/>
        <v>0</v>
      </c>
      <c r="DS616" s="1518"/>
      <c r="DT616" s="1518"/>
      <c r="DU616" s="1518"/>
      <c r="DV616" s="1518"/>
      <c r="DX616" s="1519" t="str">
        <f t="shared" si="17"/>
        <v/>
      </c>
      <c r="DY616" s="1520"/>
      <c r="DZ616" s="1520"/>
      <c r="EA616" s="1520"/>
      <c r="EB616" s="1521"/>
      <c r="EC616" s="1519" t="str">
        <f t="shared" si="18"/>
        <v/>
      </c>
      <c r="ED616" s="1520"/>
      <c r="EE616" s="1520"/>
      <c r="EF616" s="1520"/>
      <c r="EG616" s="1521"/>
      <c r="EH616" s="1519" t="str">
        <f t="shared" si="19"/>
        <v/>
      </c>
      <c r="EI616" s="1520"/>
      <c r="EJ616" s="1520"/>
      <c r="EK616" s="1520"/>
      <c r="EL616" s="1521"/>
      <c r="EM616" s="1519" t="str">
        <f t="shared" si="20"/>
        <v/>
      </c>
      <c r="EN616" s="1520"/>
      <c r="EO616" s="1520"/>
      <c r="EP616" s="1520"/>
      <c r="EQ616" s="1521"/>
      <c r="ER616" s="1519" t="str">
        <f t="shared" si="21"/>
        <v/>
      </c>
      <c r="ES616" s="1520"/>
      <c r="ET616" s="1520"/>
      <c r="EU616" s="1520"/>
      <c r="EV616" s="1521"/>
      <c r="EW616" s="1519" t="str">
        <f t="shared" si="22"/>
        <v/>
      </c>
      <c r="EX616" s="1520"/>
      <c r="EY616" s="1520"/>
      <c r="EZ616" s="1520"/>
      <c r="FA616" s="1521"/>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519">
        <f t="shared" si="1"/>
        <v>0</v>
      </c>
      <c r="BF617" s="1521"/>
      <c r="BG617" s="1511">
        <f t="shared" si="2"/>
        <v>0</v>
      </c>
      <c r="BH617" s="1513"/>
      <c r="BI617" s="1519">
        <f t="shared" si="3"/>
        <v>0</v>
      </c>
      <c r="BJ617" s="1521"/>
      <c r="BK617" s="1511">
        <f t="shared" si="4"/>
        <v>0</v>
      </c>
      <c r="BL617" s="1513"/>
      <c r="BM617" s="3"/>
      <c r="BN617" s="1507">
        <f t="shared" si="5"/>
        <v>0</v>
      </c>
      <c r="BO617" s="1508"/>
      <c r="BP617" s="1508"/>
      <c r="BQ617" s="1508"/>
      <c r="BR617" s="1509"/>
      <c r="BS617" s="1510">
        <f t="shared" si="6"/>
        <v>0</v>
      </c>
      <c r="BT617" s="1510"/>
      <c r="BU617" s="1510"/>
      <c r="BV617" s="1510"/>
      <c r="BW617" s="1510"/>
      <c r="BX617" s="1510">
        <f t="shared" si="7"/>
        <v>0</v>
      </c>
      <c r="BY617" s="1510"/>
      <c r="BZ617" s="1510"/>
      <c r="CA617" s="1510"/>
      <c r="CB617" s="1510"/>
      <c r="CC617" s="1510">
        <f t="shared" si="8"/>
        <v>0</v>
      </c>
      <c r="CD617" s="1510"/>
      <c r="CE617" s="1510"/>
      <c r="CF617" s="1510"/>
      <c r="CG617" s="1510"/>
      <c r="CH617" s="1510">
        <f t="shared" si="9"/>
        <v>0</v>
      </c>
      <c r="CI617" s="1510"/>
      <c r="CJ617" s="1510"/>
      <c r="CK617" s="1510"/>
      <c r="CL617" s="1510"/>
      <c r="CM617" s="1510">
        <f t="shared" si="10"/>
        <v>0</v>
      </c>
      <c r="CN617" s="1510"/>
      <c r="CO617" s="1510"/>
      <c r="CP617" s="1510"/>
      <c r="CQ617" s="1510"/>
      <c r="CR617" s="6"/>
      <c r="CS617" s="1518">
        <f t="shared" si="11"/>
        <v>0</v>
      </c>
      <c r="CT617" s="1518"/>
      <c r="CU617" s="1518"/>
      <c r="CV617" s="1518"/>
      <c r="CW617" s="1518"/>
      <c r="CX617" s="1518">
        <f t="shared" si="12"/>
        <v>0</v>
      </c>
      <c r="CY617" s="1518"/>
      <c r="CZ617" s="1518"/>
      <c r="DA617" s="1518"/>
      <c r="DB617" s="1518"/>
      <c r="DC617" s="1518">
        <f t="shared" si="13"/>
        <v>0</v>
      </c>
      <c r="DD617" s="1518"/>
      <c r="DE617" s="1518"/>
      <c r="DF617" s="1518"/>
      <c r="DG617" s="1518"/>
      <c r="DH617" s="1518">
        <f t="shared" si="14"/>
        <v>0</v>
      </c>
      <c r="DI617" s="1518"/>
      <c r="DJ617" s="1518"/>
      <c r="DK617" s="1518"/>
      <c r="DL617" s="1518"/>
      <c r="DM617" s="1518">
        <f t="shared" si="15"/>
        <v>0</v>
      </c>
      <c r="DN617" s="1518"/>
      <c r="DO617" s="1518"/>
      <c r="DP617" s="1518"/>
      <c r="DQ617" s="1518"/>
      <c r="DR617" s="1518">
        <f t="shared" si="16"/>
        <v>0</v>
      </c>
      <c r="DS617" s="1518"/>
      <c r="DT617" s="1518"/>
      <c r="DU617" s="1518"/>
      <c r="DV617" s="1518"/>
      <c r="DX617" s="1519" t="str">
        <f t="shared" si="17"/>
        <v/>
      </c>
      <c r="DY617" s="1520"/>
      <c r="DZ617" s="1520"/>
      <c r="EA617" s="1520"/>
      <c r="EB617" s="1521"/>
      <c r="EC617" s="1519" t="str">
        <f t="shared" si="18"/>
        <v/>
      </c>
      <c r="ED617" s="1520"/>
      <c r="EE617" s="1520"/>
      <c r="EF617" s="1520"/>
      <c r="EG617" s="1521"/>
      <c r="EH617" s="1519" t="str">
        <f t="shared" si="19"/>
        <v/>
      </c>
      <c r="EI617" s="1520"/>
      <c r="EJ617" s="1520"/>
      <c r="EK617" s="1520"/>
      <c r="EL617" s="1521"/>
      <c r="EM617" s="1519" t="str">
        <f t="shared" si="20"/>
        <v/>
      </c>
      <c r="EN617" s="1520"/>
      <c r="EO617" s="1520"/>
      <c r="EP617" s="1520"/>
      <c r="EQ617" s="1521"/>
      <c r="ER617" s="1519" t="str">
        <f t="shared" si="21"/>
        <v/>
      </c>
      <c r="ES617" s="1520"/>
      <c r="ET617" s="1520"/>
      <c r="EU617" s="1520"/>
      <c r="EV617" s="1521"/>
      <c r="EW617" s="1519" t="str">
        <f t="shared" si="22"/>
        <v/>
      </c>
      <c r="EX617" s="1520"/>
      <c r="EY617" s="1520"/>
      <c r="EZ617" s="1520"/>
      <c r="FA617" s="152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519">
        <f t="shared" si="1"/>
        <v>0</v>
      </c>
      <c r="BF618" s="1521"/>
      <c r="BG618" s="1511">
        <f t="shared" si="2"/>
        <v>0</v>
      </c>
      <c r="BH618" s="1513"/>
      <c r="BI618" s="1519">
        <f t="shared" si="3"/>
        <v>0</v>
      </c>
      <c r="BJ618" s="1521"/>
      <c r="BK618" s="1511">
        <f t="shared" si="4"/>
        <v>0</v>
      </c>
      <c r="BL618" s="1513"/>
      <c r="BM618" s="3"/>
      <c r="BN618" s="1507">
        <f t="shared" si="5"/>
        <v>0</v>
      </c>
      <c r="BO618" s="1508"/>
      <c r="BP618" s="1508"/>
      <c r="BQ618" s="1508"/>
      <c r="BR618" s="1509"/>
      <c r="BS618" s="1510">
        <f t="shared" si="6"/>
        <v>0</v>
      </c>
      <c r="BT618" s="1510"/>
      <c r="BU618" s="1510"/>
      <c r="BV618" s="1510"/>
      <c r="BW618" s="1510"/>
      <c r="BX618" s="1510">
        <f t="shared" si="7"/>
        <v>0</v>
      </c>
      <c r="BY618" s="1510"/>
      <c r="BZ618" s="1510"/>
      <c r="CA618" s="1510"/>
      <c r="CB618" s="1510"/>
      <c r="CC618" s="1510">
        <f t="shared" si="8"/>
        <v>0</v>
      </c>
      <c r="CD618" s="1510"/>
      <c r="CE618" s="1510"/>
      <c r="CF618" s="1510"/>
      <c r="CG618" s="1510"/>
      <c r="CH618" s="1510">
        <f t="shared" si="9"/>
        <v>0</v>
      </c>
      <c r="CI618" s="1510"/>
      <c r="CJ618" s="1510"/>
      <c r="CK618" s="1510"/>
      <c r="CL618" s="1510"/>
      <c r="CM618" s="1510">
        <f t="shared" si="10"/>
        <v>0</v>
      </c>
      <c r="CN618" s="1510"/>
      <c r="CO618" s="1510"/>
      <c r="CP618" s="1510"/>
      <c r="CQ618" s="1510"/>
      <c r="CR618" s="6"/>
      <c r="CS618" s="1518">
        <f t="shared" si="11"/>
        <v>0</v>
      </c>
      <c r="CT618" s="1518"/>
      <c r="CU618" s="1518"/>
      <c r="CV618" s="1518"/>
      <c r="CW618" s="1518"/>
      <c r="CX618" s="1518">
        <f t="shared" si="12"/>
        <v>0</v>
      </c>
      <c r="CY618" s="1518"/>
      <c r="CZ618" s="1518"/>
      <c r="DA618" s="1518"/>
      <c r="DB618" s="1518"/>
      <c r="DC618" s="1518">
        <f t="shared" si="13"/>
        <v>0</v>
      </c>
      <c r="DD618" s="1518"/>
      <c r="DE618" s="1518"/>
      <c r="DF618" s="1518"/>
      <c r="DG618" s="1518"/>
      <c r="DH618" s="1518">
        <f t="shared" si="14"/>
        <v>0</v>
      </c>
      <c r="DI618" s="1518"/>
      <c r="DJ618" s="1518"/>
      <c r="DK618" s="1518"/>
      <c r="DL618" s="1518"/>
      <c r="DM618" s="1518">
        <f t="shared" si="15"/>
        <v>0</v>
      </c>
      <c r="DN618" s="1518"/>
      <c r="DO618" s="1518"/>
      <c r="DP618" s="1518"/>
      <c r="DQ618" s="1518"/>
      <c r="DR618" s="1518">
        <f t="shared" si="16"/>
        <v>0</v>
      </c>
      <c r="DS618" s="1518"/>
      <c r="DT618" s="1518"/>
      <c r="DU618" s="1518"/>
      <c r="DV618" s="1518"/>
      <c r="DX618" s="1519" t="str">
        <f t="shared" si="17"/>
        <v/>
      </c>
      <c r="DY618" s="1520"/>
      <c r="DZ618" s="1520"/>
      <c r="EA618" s="1520"/>
      <c r="EB618" s="1521"/>
      <c r="EC618" s="1519" t="str">
        <f t="shared" si="18"/>
        <v/>
      </c>
      <c r="ED618" s="1520"/>
      <c r="EE618" s="1520"/>
      <c r="EF618" s="1520"/>
      <c r="EG618" s="1521"/>
      <c r="EH618" s="1519" t="str">
        <f t="shared" si="19"/>
        <v/>
      </c>
      <c r="EI618" s="1520"/>
      <c r="EJ618" s="1520"/>
      <c r="EK618" s="1520"/>
      <c r="EL618" s="1521"/>
      <c r="EM618" s="1519" t="str">
        <f t="shared" si="20"/>
        <v/>
      </c>
      <c r="EN618" s="1520"/>
      <c r="EO618" s="1520"/>
      <c r="EP618" s="1520"/>
      <c r="EQ618" s="1521"/>
      <c r="ER618" s="1519" t="str">
        <f t="shared" si="21"/>
        <v/>
      </c>
      <c r="ES618" s="1520"/>
      <c r="ET618" s="1520"/>
      <c r="EU618" s="1520"/>
      <c r="EV618" s="1521"/>
      <c r="EW618" s="1519" t="str">
        <f t="shared" si="22"/>
        <v/>
      </c>
      <c r="EX618" s="1520"/>
      <c r="EY618" s="1520"/>
      <c r="EZ618" s="1520"/>
      <c r="FA618" s="1521"/>
    </row>
    <row r="619" spans="1:157" ht="12.95" customHeight="1">
      <c r="AZ619" s="3"/>
      <c r="BA619" s="3"/>
      <c r="BB619" s="3"/>
      <c r="BC619" s="3"/>
      <c r="BD619" s="3"/>
      <c r="BE619" s="1519">
        <f t="shared" si="1"/>
        <v>0</v>
      </c>
      <c r="BF619" s="1521"/>
      <c r="BG619" s="1511">
        <f t="shared" si="2"/>
        <v>0</v>
      </c>
      <c r="BH619" s="1513"/>
      <c r="BI619" s="1519">
        <f t="shared" si="3"/>
        <v>0</v>
      </c>
      <c r="BJ619" s="1521"/>
      <c r="BK619" s="1511">
        <f t="shared" si="4"/>
        <v>0</v>
      </c>
      <c r="BL619" s="1513"/>
      <c r="BM619" s="3"/>
      <c r="BN619" s="1507">
        <f t="shared" si="5"/>
        <v>0</v>
      </c>
      <c r="BO619" s="1508"/>
      <c r="BP619" s="1508"/>
      <c r="BQ619" s="1508"/>
      <c r="BR619" s="1509"/>
      <c r="BS619" s="1510">
        <f t="shared" si="6"/>
        <v>0</v>
      </c>
      <c r="BT619" s="1510"/>
      <c r="BU619" s="1510"/>
      <c r="BV619" s="1510"/>
      <c r="BW619" s="1510"/>
      <c r="BX619" s="1510">
        <f t="shared" si="7"/>
        <v>0</v>
      </c>
      <c r="BY619" s="1510"/>
      <c r="BZ619" s="1510"/>
      <c r="CA619" s="1510"/>
      <c r="CB619" s="1510"/>
      <c r="CC619" s="1510">
        <f t="shared" si="8"/>
        <v>0</v>
      </c>
      <c r="CD619" s="1510"/>
      <c r="CE619" s="1510"/>
      <c r="CF619" s="1510"/>
      <c r="CG619" s="1510"/>
      <c r="CH619" s="1510">
        <f t="shared" si="9"/>
        <v>0</v>
      </c>
      <c r="CI619" s="1510"/>
      <c r="CJ619" s="1510"/>
      <c r="CK619" s="1510"/>
      <c r="CL619" s="1510"/>
      <c r="CM619" s="1510">
        <f t="shared" si="10"/>
        <v>0</v>
      </c>
      <c r="CN619" s="1510"/>
      <c r="CO619" s="1510"/>
      <c r="CP619" s="1510"/>
      <c r="CQ619" s="1510"/>
      <c r="CR619" s="6"/>
      <c r="CS619" s="1518">
        <f t="shared" si="11"/>
        <v>0</v>
      </c>
      <c r="CT619" s="1518"/>
      <c r="CU619" s="1518"/>
      <c r="CV619" s="1518"/>
      <c r="CW619" s="1518"/>
      <c r="CX619" s="1518">
        <f t="shared" si="12"/>
        <v>0</v>
      </c>
      <c r="CY619" s="1518"/>
      <c r="CZ619" s="1518"/>
      <c r="DA619" s="1518"/>
      <c r="DB619" s="1518"/>
      <c r="DC619" s="1518">
        <f t="shared" si="13"/>
        <v>0</v>
      </c>
      <c r="DD619" s="1518"/>
      <c r="DE619" s="1518"/>
      <c r="DF619" s="1518"/>
      <c r="DG619" s="1518"/>
      <c r="DH619" s="1518">
        <f t="shared" si="14"/>
        <v>0</v>
      </c>
      <c r="DI619" s="1518"/>
      <c r="DJ619" s="1518"/>
      <c r="DK619" s="1518"/>
      <c r="DL619" s="1518"/>
      <c r="DM619" s="1518">
        <f t="shared" si="15"/>
        <v>0</v>
      </c>
      <c r="DN619" s="1518"/>
      <c r="DO619" s="1518"/>
      <c r="DP619" s="1518"/>
      <c r="DQ619" s="1518"/>
      <c r="DR619" s="1518">
        <f t="shared" si="16"/>
        <v>0</v>
      </c>
      <c r="DS619" s="1518"/>
      <c r="DT619" s="1518"/>
      <c r="DU619" s="1518"/>
      <c r="DV619" s="1518"/>
      <c r="DX619" s="1519" t="str">
        <f t="shared" si="17"/>
        <v/>
      </c>
      <c r="DY619" s="1520"/>
      <c r="DZ619" s="1520"/>
      <c r="EA619" s="1520"/>
      <c r="EB619" s="1521"/>
      <c r="EC619" s="1519" t="str">
        <f t="shared" si="18"/>
        <v/>
      </c>
      <c r="ED619" s="1520"/>
      <c r="EE619" s="1520"/>
      <c r="EF619" s="1520"/>
      <c r="EG619" s="1521"/>
      <c r="EH619" s="1519" t="str">
        <f t="shared" si="19"/>
        <v/>
      </c>
      <c r="EI619" s="1520"/>
      <c r="EJ619" s="1520"/>
      <c r="EK619" s="1520"/>
      <c r="EL619" s="1521"/>
      <c r="EM619" s="1519" t="str">
        <f t="shared" si="20"/>
        <v/>
      </c>
      <c r="EN619" s="1520"/>
      <c r="EO619" s="1520"/>
      <c r="EP619" s="1520"/>
      <c r="EQ619" s="1521"/>
      <c r="ER619" s="1519" t="str">
        <f t="shared" si="21"/>
        <v/>
      </c>
      <c r="ES619" s="1520"/>
      <c r="ET619" s="1520"/>
      <c r="EU619" s="1520"/>
      <c r="EV619" s="1521"/>
      <c r="EW619" s="1519" t="str">
        <f t="shared" si="22"/>
        <v/>
      </c>
      <c r="EX619" s="1520"/>
      <c r="EY619" s="1520"/>
      <c r="EZ619" s="1520"/>
      <c r="FA619" s="1521"/>
    </row>
    <row r="620" spans="1:157" ht="12.95" customHeight="1">
      <c r="A620" s="2" t="s">
        <v>320</v>
      </c>
      <c r="B620" s="2"/>
      <c r="C620" s="2" t="s">
        <v>21</v>
      </c>
      <c r="AZ620" s="3"/>
      <c r="BA620" s="3"/>
      <c r="BB620" s="3"/>
      <c r="BC620" s="3"/>
      <c r="BD620" s="3"/>
      <c r="BE620" s="1519">
        <f t="shared" si="1"/>
        <v>0</v>
      </c>
      <c r="BF620" s="1521"/>
      <c r="BG620" s="1511">
        <f t="shared" si="2"/>
        <v>0</v>
      </c>
      <c r="BH620" s="1513"/>
      <c r="BI620" s="1519">
        <f t="shared" si="3"/>
        <v>0</v>
      </c>
      <c r="BJ620" s="1521"/>
      <c r="BK620" s="1511">
        <f t="shared" si="4"/>
        <v>0</v>
      </c>
      <c r="BL620" s="1513"/>
      <c r="BM620" s="3"/>
      <c r="BN620" s="1507">
        <f t="shared" si="5"/>
        <v>0</v>
      </c>
      <c r="BO620" s="1508"/>
      <c r="BP620" s="1508"/>
      <c r="BQ620" s="1508"/>
      <c r="BR620" s="1509"/>
      <c r="BS620" s="1510">
        <f t="shared" si="6"/>
        <v>0</v>
      </c>
      <c r="BT620" s="1510"/>
      <c r="BU620" s="1510"/>
      <c r="BV620" s="1510"/>
      <c r="BW620" s="1510"/>
      <c r="BX620" s="1510">
        <f t="shared" si="7"/>
        <v>0</v>
      </c>
      <c r="BY620" s="1510"/>
      <c r="BZ620" s="1510"/>
      <c r="CA620" s="1510"/>
      <c r="CB620" s="1510"/>
      <c r="CC620" s="1510">
        <f t="shared" si="8"/>
        <v>0</v>
      </c>
      <c r="CD620" s="1510"/>
      <c r="CE620" s="1510"/>
      <c r="CF620" s="1510"/>
      <c r="CG620" s="1510"/>
      <c r="CH620" s="1510">
        <f t="shared" si="9"/>
        <v>0</v>
      </c>
      <c r="CI620" s="1510"/>
      <c r="CJ620" s="1510"/>
      <c r="CK620" s="1510"/>
      <c r="CL620" s="1510"/>
      <c r="CM620" s="1510">
        <f t="shared" si="10"/>
        <v>0</v>
      </c>
      <c r="CN620" s="1510"/>
      <c r="CO620" s="1510"/>
      <c r="CP620" s="1510"/>
      <c r="CQ620" s="1510"/>
      <c r="CR620" s="6"/>
      <c r="CS620" s="1518">
        <f t="shared" si="11"/>
        <v>0</v>
      </c>
      <c r="CT620" s="1518"/>
      <c r="CU620" s="1518"/>
      <c r="CV620" s="1518"/>
      <c r="CW620" s="1518"/>
      <c r="CX620" s="1518">
        <f t="shared" si="12"/>
        <v>0</v>
      </c>
      <c r="CY620" s="1518"/>
      <c r="CZ620" s="1518"/>
      <c r="DA620" s="1518"/>
      <c r="DB620" s="1518"/>
      <c r="DC620" s="1518">
        <f t="shared" si="13"/>
        <v>0</v>
      </c>
      <c r="DD620" s="1518"/>
      <c r="DE620" s="1518"/>
      <c r="DF620" s="1518"/>
      <c r="DG620" s="1518"/>
      <c r="DH620" s="1518">
        <f t="shared" si="14"/>
        <v>0</v>
      </c>
      <c r="DI620" s="1518"/>
      <c r="DJ620" s="1518"/>
      <c r="DK620" s="1518"/>
      <c r="DL620" s="1518"/>
      <c r="DM620" s="1518">
        <f t="shared" si="15"/>
        <v>0</v>
      </c>
      <c r="DN620" s="1518"/>
      <c r="DO620" s="1518"/>
      <c r="DP620" s="1518"/>
      <c r="DQ620" s="1518"/>
      <c r="DR620" s="1518">
        <f t="shared" si="16"/>
        <v>0</v>
      </c>
      <c r="DS620" s="1518"/>
      <c r="DT620" s="1518"/>
      <c r="DU620" s="1518"/>
      <c r="DV620" s="1518"/>
      <c r="DX620" s="1519" t="str">
        <f t="shared" si="17"/>
        <v/>
      </c>
      <c r="DY620" s="1520"/>
      <c r="DZ620" s="1520"/>
      <c r="EA620" s="1520"/>
      <c r="EB620" s="1521"/>
      <c r="EC620" s="1519" t="str">
        <f t="shared" si="18"/>
        <v/>
      </c>
      <c r="ED620" s="1520"/>
      <c r="EE620" s="1520"/>
      <c r="EF620" s="1520"/>
      <c r="EG620" s="1521"/>
      <c r="EH620" s="1519" t="str">
        <f t="shared" si="19"/>
        <v/>
      </c>
      <c r="EI620" s="1520"/>
      <c r="EJ620" s="1520"/>
      <c r="EK620" s="1520"/>
      <c r="EL620" s="1521"/>
      <c r="EM620" s="1519" t="str">
        <f t="shared" si="20"/>
        <v/>
      </c>
      <c r="EN620" s="1520"/>
      <c r="EO620" s="1520"/>
      <c r="EP620" s="1520"/>
      <c r="EQ620" s="1521"/>
      <c r="ER620" s="1519" t="str">
        <f t="shared" si="21"/>
        <v/>
      </c>
      <c r="ES620" s="1520"/>
      <c r="ET620" s="1520"/>
      <c r="EU620" s="1520"/>
      <c r="EV620" s="1521"/>
      <c r="EW620" s="1519" t="str">
        <f t="shared" si="22"/>
        <v/>
      </c>
      <c r="EX620" s="1520"/>
      <c r="EY620" s="1520"/>
      <c r="EZ620" s="1520"/>
      <c r="FA620" s="1521"/>
    </row>
    <row r="621" spans="1:157" ht="12.95" customHeight="1">
      <c r="A621" s="2"/>
      <c r="B621" s="2"/>
      <c r="C621" s="2"/>
      <c r="AZ621" s="3"/>
      <c r="BA621" s="3"/>
      <c r="BB621" s="3"/>
      <c r="BC621" s="3"/>
      <c r="BD621" s="3"/>
      <c r="BE621" s="1519">
        <f t="shared" si="1"/>
        <v>0</v>
      </c>
      <c r="BF621" s="1521"/>
      <c r="BG621" s="1511">
        <f t="shared" si="2"/>
        <v>0</v>
      </c>
      <c r="BH621" s="1513"/>
      <c r="BI621" s="1519">
        <f t="shared" si="3"/>
        <v>0</v>
      </c>
      <c r="BJ621" s="1521"/>
      <c r="BK621" s="1511">
        <f t="shared" si="4"/>
        <v>0</v>
      </c>
      <c r="BL621" s="1513"/>
      <c r="BM621" s="3"/>
      <c r="BN621" s="1507">
        <f t="shared" si="5"/>
        <v>0</v>
      </c>
      <c r="BO621" s="1508"/>
      <c r="BP621" s="1508"/>
      <c r="BQ621" s="1508"/>
      <c r="BR621" s="1509"/>
      <c r="BS621" s="1510">
        <f t="shared" si="6"/>
        <v>0</v>
      </c>
      <c r="BT621" s="1510"/>
      <c r="BU621" s="1510"/>
      <c r="BV621" s="1510"/>
      <c r="BW621" s="1510"/>
      <c r="BX621" s="1510">
        <f t="shared" si="7"/>
        <v>0</v>
      </c>
      <c r="BY621" s="1510"/>
      <c r="BZ621" s="1510"/>
      <c r="CA621" s="1510"/>
      <c r="CB621" s="1510"/>
      <c r="CC621" s="1510">
        <f t="shared" si="8"/>
        <v>0</v>
      </c>
      <c r="CD621" s="1510"/>
      <c r="CE621" s="1510"/>
      <c r="CF621" s="1510"/>
      <c r="CG621" s="1510"/>
      <c r="CH621" s="1510">
        <f t="shared" si="9"/>
        <v>0</v>
      </c>
      <c r="CI621" s="1510"/>
      <c r="CJ621" s="1510"/>
      <c r="CK621" s="1510"/>
      <c r="CL621" s="1510"/>
      <c r="CM621" s="1510">
        <f t="shared" si="10"/>
        <v>0</v>
      </c>
      <c r="CN621" s="1510"/>
      <c r="CO621" s="1510"/>
      <c r="CP621" s="1510"/>
      <c r="CQ621" s="1510"/>
      <c r="CR621" s="6"/>
      <c r="CS621" s="1518">
        <f t="shared" si="11"/>
        <v>0</v>
      </c>
      <c r="CT621" s="1518"/>
      <c r="CU621" s="1518"/>
      <c r="CV621" s="1518"/>
      <c r="CW621" s="1518"/>
      <c r="CX621" s="1518">
        <f t="shared" si="12"/>
        <v>0</v>
      </c>
      <c r="CY621" s="1518"/>
      <c r="CZ621" s="1518"/>
      <c r="DA621" s="1518"/>
      <c r="DB621" s="1518"/>
      <c r="DC621" s="1518">
        <f t="shared" si="13"/>
        <v>0</v>
      </c>
      <c r="DD621" s="1518"/>
      <c r="DE621" s="1518"/>
      <c r="DF621" s="1518"/>
      <c r="DG621" s="1518"/>
      <c r="DH621" s="1518">
        <f t="shared" si="14"/>
        <v>0</v>
      </c>
      <c r="DI621" s="1518"/>
      <c r="DJ621" s="1518"/>
      <c r="DK621" s="1518"/>
      <c r="DL621" s="1518"/>
      <c r="DM621" s="1518">
        <f t="shared" si="15"/>
        <v>0</v>
      </c>
      <c r="DN621" s="1518"/>
      <c r="DO621" s="1518"/>
      <c r="DP621" s="1518"/>
      <c r="DQ621" s="1518"/>
      <c r="DR621" s="1518">
        <f t="shared" si="16"/>
        <v>0</v>
      </c>
      <c r="DS621" s="1518"/>
      <c r="DT621" s="1518"/>
      <c r="DU621" s="1518"/>
      <c r="DV621" s="1518"/>
      <c r="DX621" s="1519" t="str">
        <f t="shared" si="17"/>
        <v/>
      </c>
      <c r="DY621" s="1520"/>
      <c r="DZ621" s="1520"/>
      <c r="EA621" s="1520"/>
      <c r="EB621" s="1521"/>
      <c r="EC621" s="1519" t="str">
        <f t="shared" si="18"/>
        <v/>
      </c>
      <c r="ED621" s="1520"/>
      <c r="EE621" s="1520"/>
      <c r="EF621" s="1520"/>
      <c r="EG621" s="1521"/>
      <c r="EH621" s="1519" t="str">
        <f t="shared" si="19"/>
        <v/>
      </c>
      <c r="EI621" s="1520"/>
      <c r="EJ621" s="1520"/>
      <c r="EK621" s="1520"/>
      <c r="EL621" s="1521"/>
      <c r="EM621" s="1519" t="str">
        <f t="shared" si="20"/>
        <v/>
      </c>
      <c r="EN621" s="1520"/>
      <c r="EO621" s="1520"/>
      <c r="EP621" s="1520"/>
      <c r="EQ621" s="1521"/>
      <c r="ER621" s="1519" t="str">
        <f t="shared" si="21"/>
        <v/>
      </c>
      <c r="ES621" s="1520"/>
      <c r="ET621" s="1520"/>
      <c r="EU621" s="1520"/>
      <c r="EV621" s="1521"/>
      <c r="EW621" s="1519" t="str">
        <f t="shared" si="22"/>
        <v/>
      </c>
      <c r="EX621" s="1520"/>
      <c r="EY621" s="1520"/>
      <c r="EZ621" s="1520"/>
      <c r="FA621" s="1521"/>
    </row>
    <row r="622" spans="1:157" ht="12.95" customHeight="1">
      <c r="C622" s="2" t="s">
        <v>2418</v>
      </c>
      <c r="AZ622" s="3"/>
      <c r="BA622" s="3"/>
      <c r="BB622" s="3"/>
      <c r="BC622" s="3"/>
      <c r="BD622" s="3"/>
      <c r="BE622" s="1519">
        <f t="shared" si="1"/>
        <v>0</v>
      </c>
      <c r="BF622" s="1521"/>
      <c r="BG622" s="1511">
        <f t="shared" si="2"/>
        <v>0</v>
      </c>
      <c r="BH622" s="1513"/>
      <c r="BI622" s="1519">
        <f t="shared" si="3"/>
        <v>0</v>
      </c>
      <c r="BJ622" s="1521"/>
      <c r="BK622" s="1511">
        <f t="shared" si="4"/>
        <v>0</v>
      </c>
      <c r="BL622" s="1513"/>
      <c r="BM622" s="3"/>
      <c r="BN622" s="1507">
        <f t="shared" si="5"/>
        <v>0</v>
      </c>
      <c r="BO622" s="1508"/>
      <c r="BP622" s="1508"/>
      <c r="BQ622" s="1508"/>
      <c r="BR622" s="1509"/>
      <c r="BS622" s="1510">
        <f t="shared" si="6"/>
        <v>0</v>
      </c>
      <c r="BT622" s="1510"/>
      <c r="BU622" s="1510"/>
      <c r="BV622" s="1510"/>
      <c r="BW622" s="1510"/>
      <c r="BX622" s="1510">
        <f t="shared" si="7"/>
        <v>0</v>
      </c>
      <c r="BY622" s="1510"/>
      <c r="BZ622" s="1510"/>
      <c r="CA622" s="1510"/>
      <c r="CB622" s="1510"/>
      <c r="CC622" s="1510">
        <f t="shared" si="8"/>
        <v>0</v>
      </c>
      <c r="CD622" s="1510"/>
      <c r="CE622" s="1510"/>
      <c r="CF622" s="1510"/>
      <c r="CG622" s="1510"/>
      <c r="CH622" s="1510">
        <f t="shared" si="9"/>
        <v>0</v>
      </c>
      <c r="CI622" s="1510"/>
      <c r="CJ622" s="1510"/>
      <c r="CK622" s="1510"/>
      <c r="CL622" s="1510"/>
      <c r="CM622" s="1510">
        <f t="shared" si="10"/>
        <v>0</v>
      </c>
      <c r="CN622" s="1510"/>
      <c r="CO622" s="1510"/>
      <c r="CP622" s="1510"/>
      <c r="CQ622" s="1510"/>
      <c r="CR622" s="6"/>
      <c r="CS622" s="1518">
        <f t="shared" si="11"/>
        <v>0</v>
      </c>
      <c r="CT622" s="1518"/>
      <c r="CU622" s="1518"/>
      <c r="CV622" s="1518"/>
      <c r="CW622" s="1518"/>
      <c r="CX622" s="1518">
        <f t="shared" si="12"/>
        <v>0</v>
      </c>
      <c r="CY622" s="1518"/>
      <c r="CZ622" s="1518"/>
      <c r="DA622" s="1518"/>
      <c r="DB622" s="1518"/>
      <c r="DC622" s="1518">
        <f t="shared" si="13"/>
        <v>0</v>
      </c>
      <c r="DD622" s="1518"/>
      <c r="DE622" s="1518"/>
      <c r="DF622" s="1518"/>
      <c r="DG622" s="1518"/>
      <c r="DH622" s="1518">
        <f t="shared" si="14"/>
        <v>0</v>
      </c>
      <c r="DI622" s="1518"/>
      <c r="DJ622" s="1518"/>
      <c r="DK622" s="1518"/>
      <c r="DL622" s="1518"/>
      <c r="DM622" s="1518">
        <f t="shared" si="15"/>
        <v>0</v>
      </c>
      <c r="DN622" s="1518"/>
      <c r="DO622" s="1518"/>
      <c r="DP622" s="1518"/>
      <c r="DQ622" s="1518"/>
      <c r="DR622" s="1518">
        <f t="shared" si="16"/>
        <v>0</v>
      </c>
      <c r="DS622" s="1518"/>
      <c r="DT622" s="1518"/>
      <c r="DU622" s="1518"/>
      <c r="DV622" s="1518"/>
      <c r="DX622" s="1519" t="str">
        <f t="shared" si="17"/>
        <v/>
      </c>
      <c r="DY622" s="1520"/>
      <c r="DZ622" s="1520"/>
      <c r="EA622" s="1520"/>
      <c r="EB622" s="1521"/>
      <c r="EC622" s="1519" t="str">
        <f t="shared" si="18"/>
        <v/>
      </c>
      <c r="ED622" s="1520"/>
      <c r="EE622" s="1520"/>
      <c r="EF622" s="1520"/>
      <c r="EG622" s="1521"/>
      <c r="EH622" s="1519" t="str">
        <f t="shared" si="19"/>
        <v/>
      </c>
      <c r="EI622" s="1520"/>
      <c r="EJ622" s="1520"/>
      <c r="EK622" s="1520"/>
      <c r="EL622" s="1521"/>
      <c r="EM622" s="1519" t="str">
        <f t="shared" si="20"/>
        <v/>
      </c>
      <c r="EN622" s="1520"/>
      <c r="EO622" s="1520"/>
      <c r="EP622" s="1520"/>
      <c r="EQ622" s="1521"/>
      <c r="ER622" s="1519" t="str">
        <f t="shared" si="21"/>
        <v/>
      </c>
      <c r="ES622" s="1520"/>
      <c r="ET622" s="1520"/>
      <c r="EU622" s="1520"/>
      <c r="EV622" s="1521"/>
      <c r="EW622" s="1519" t="str">
        <f t="shared" si="22"/>
        <v/>
      </c>
      <c r="EX622" s="1520"/>
      <c r="EY622" s="1520"/>
      <c r="EZ622" s="1520"/>
      <c r="FA622" s="1521"/>
    </row>
    <row r="623" spans="1:157" ht="12.95" customHeight="1">
      <c r="B623" s="546"/>
      <c r="C623" s="2"/>
      <c r="AU623" s="3"/>
      <c r="AZ623" s="3"/>
      <c r="BA623" s="3"/>
      <c r="BB623" s="3"/>
      <c r="BC623" s="3"/>
      <c r="BD623" s="3"/>
      <c r="BE623" s="1519">
        <f t="shared" si="1"/>
        <v>0</v>
      </c>
      <c r="BF623" s="1521"/>
      <c r="BG623" s="1511">
        <f t="shared" si="2"/>
        <v>0</v>
      </c>
      <c r="BH623" s="1513"/>
      <c r="BI623" s="1519">
        <f t="shared" si="3"/>
        <v>0</v>
      </c>
      <c r="BJ623" s="1521"/>
      <c r="BK623" s="1511">
        <f t="shared" si="4"/>
        <v>0</v>
      </c>
      <c r="BL623" s="1513"/>
      <c r="BM623" s="3"/>
      <c r="BN623" s="1507">
        <f t="shared" si="5"/>
        <v>0</v>
      </c>
      <c r="BO623" s="1508"/>
      <c r="BP623" s="1508"/>
      <c r="BQ623" s="1508"/>
      <c r="BR623" s="1509"/>
      <c r="BS623" s="1510">
        <f t="shared" si="6"/>
        <v>0</v>
      </c>
      <c r="BT623" s="1510"/>
      <c r="BU623" s="1510"/>
      <c r="BV623" s="1510"/>
      <c r="BW623" s="1510"/>
      <c r="BX623" s="1510">
        <f t="shared" si="7"/>
        <v>0</v>
      </c>
      <c r="BY623" s="1510"/>
      <c r="BZ623" s="1510"/>
      <c r="CA623" s="1510"/>
      <c r="CB623" s="1510"/>
      <c r="CC623" s="1510">
        <f t="shared" si="8"/>
        <v>0</v>
      </c>
      <c r="CD623" s="1510"/>
      <c r="CE623" s="1510"/>
      <c r="CF623" s="1510"/>
      <c r="CG623" s="1510"/>
      <c r="CH623" s="1510">
        <f t="shared" si="9"/>
        <v>0</v>
      </c>
      <c r="CI623" s="1510"/>
      <c r="CJ623" s="1510"/>
      <c r="CK623" s="1510"/>
      <c r="CL623" s="1510"/>
      <c r="CM623" s="1510">
        <f t="shared" si="10"/>
        <v>0</v>
      </c>
      <c r="CN623" s="1510"/>
      <c r="CO623" s="1510"/>
      <c r="CP623" s="1510"/>
      <c r="CQ623" s="1510"/>
      <c r="CR623" s="6"/>
      <c r="CS623" s="1518">
        <f t="shared" si="11"/>
        <v>0</v>
      </c>
      <c r="CT623" s="1518"/>
      <c r="CU623" s="1518"/>
      <c r="CV623" s="1518"/>
      <c r="CW623" s="1518"/>
      <c r="CX623" s="1518">
        <f t="shared" si="12"/>
        <v>0</v>
      </c>
      <c r="CY623" s="1518"/>
      <c r="CZ623" s="1518"/>
      <c r="DA623" s="1518"/>
      <c r="DB623" s="1518"/>
      <c r="DC623" s="1518">
        <f t="shared" si="13"/>
        <v>0</v>
      </c>
      <c r="DD623" s="1518"/>
      <c r="DE623" s="1518"/>
      <c r="DF623" s="1518"/>
      <c r="DG623" s="1518"/>
      <c r="DH623" s="1518">
        <f t="shared" si="14"/>
        <v>0</v>
      </c>
      <c r="DI623" s="1518"/>
      <c r="DJ623" s="1518"/>
      <c r="DK623" s="1518"/>
      <c r="DL623" s="1518"/>
      <c r="DM623" s="1518">
        <f t="shared" si="15"/>
        <v>0</v>
      </c>
      <c r="DN623" s="1518"/>
      <c r="DO623" s="1518"/>
      <c r="DP623" s="1518"/>
      <c r="DQ623" s="1518"/>
      <c r="DR623" s="1518">
        <f t="shared" si="16"/>
        <v>0</v>
      </c>
      <c r="DS623" s="1518"/>
      <c r="DT623" s="1518"/>
      <c r="DU623" s="1518"/>
      <c r="DV623" s="1518"/>
      <c r="DX623" s="1519" t="str">
        <f t="shared" si="17"/>
        <v/>
      </c>
      <c r="DY623" s="1520"/>
      <c r="DZ623" s="1520"/>
      <c r="EA623" s="1520"/>
      <c r="EB623" s="1521"/>
      <c r="EC623" s="1519" t="str">
        <f t="shared" si="18"/>
        <v/>
      </c>
      <c r="ED623" s="1520"/>
      <c r="EE623" s="1520"/>
      <c r="EF623" s="1520"/>
      <c r="EG623" s="1521"/>
      <c r="EH623" s="1519" t="str">
        <f t="shared" si="19"/>
        <v/>
      </c>
      <c r="EI623" s="1520"/>
      <c r="EJ623" s="1520"/>
      <c r="EK623" s="1520"/>
      <c r="EL623" s="1521"/>
      <c r="EM623" s="1519" t="str">
        <f t="shared" si="20"/>
        <v/>
      </c>
      <c r="EN623" s="1520"/>
      <c r="EO623" s="1520"/>
      <c r="EP623" s="1520"/>
      <c r="EQ623" s="1521"/>
      <c r="ER623" s="1519" t="str">
        <f t="shared" si="21"/>
        <v/>
      </c>
      <c r="ES623" s="1520"/>
      <c r="ET623" s="1520"/>
      <c r="EU623" s="1520"/>
      <c r="EV623" s="1521"/>
      <c r="EW623" s="1519" t="str">
        <f t="shared" si="22"/>
        <v/>
      </c>
      <c r="EX623" s="1520"/>
      <c r="EY623" s="1520"/>
      <c r="EZ623" s="1520"/>
      <c r="FA623" s="1521"/>
    </row>
    <row r="624" spans="1:157" ht="12.95" customHeight="1">
      <c r="B624" s="1640" t="s">
        <v>2420</v>
      </c>
      <c r="C624" s="1640"/>
      <c r="D624" s="1640"/>
      <c r="E624" s="1640"/>
      <c r="F624" s="1640"/>
      <c r="G624" s="1640"/>
      <c r="H624" s="1640"/>
      <c r="I624" s="1640"/>
      <c r="J624" s="1640"/>
      <c r="K624" s="1640"/>
      <c r="L624" s="1640"/>
      <c r="M624" s="1531" t="s">
        <v>2421</v>
      </c>
      <c r="N624" s="1531"/>
      <c r="O624" s="1531"/>
      <c r="P624" s="1531"/>
      <c r="Q624" s="1531" t="s">
        <v>2042</v>
      </c>
      <c r="R624" s="1531"/>
      <c r="S624" s="1531"/>
      <c r="T624" s="1531" t="s">
        <v>2040</v>
      </c>
      <c r="U624" s="1531"/>
      <c r="V624" s="1531"/>
      <c r="W624" s="1639" t="s">
        <v>461</v>
      </c>
      <c r="X624" s="1639"/>
      <c r="Y624" s="1639"/>
      <c r="Z624" s="1525" t="s">
        <v>2450</v>
      </c>
      <c r="AA624" s="1525"/>
      <c r="AB624" s="1526"/>
      <c r="AC624" s="1715" t="s">
        <v>1863</v>
      </c>
      <c r="AD624" s="1716"/>
      <c r="AE624" s="1717"/>
      <c r="AF624" s="1693" t="s">
        <v>2229</v>
      </c>
      <c r="AG624" s="1525"/>
      <c r="AH624" s="1525"/>
      <c r="AI624" s="1525"/>
      <c r="AJ624" s="1526"/>
      <c r="AK624" s="1482" t="s">
        <v>2230</v>
      </c>
      <c r="AL624" s="1483"/>
      <c r="AM624" s="1483"/>
      <c r="AN624" s="1484"/>
      <c r="AO624" s="1531" t="s">
        <v>462</v>
      </c>
      <c r="AP624" s="1531"/>
      <c r="AQ624" s="1531"/>
      <c r="AR624" s="1531"/>
      <c r="AS624" s="1531"/>
      <c r="AU624" s="3"/>
      <c r="AZ624" s="3"/>
      <c r="BA624" s="3"/>
      <c r="BB624" s="3"/>
      <c r="BC624" s="3"/>
      <c r="BD624" s="3"/>
      <c r="BE624" s="1519">
        <f t="shared" si="1"/>
        <v>0</v>
      </c>
      <c r="BF624" s="1521"/>
      <c r="BG624" s="1511">
        <f t="shared" si="2"/>
        <v>0</v>
      </c>
      <c r="BH624" s="1513"/>
      <c r="BI624" s="1519">
        <f t="shared" si="3"/>
        <v>0</v>
      </c>
      <c r="BJ624" s="1521"/>
      <c r="BK624" s="1511">
        <f t="shared" si="4"/>
        <v>0</v>
      </c>
      <c r="BL624" s="1513"/>
      <c r="BM624" s="3"/>
      <c r="BN624" s="1507">
        <f t="shared" si="5"/>
        <v>0</v>
      </c>
      <c r="BO624" s="1508"/>
      <c r="BP624" s="1508"/>
      <c r="BQ624" s="1508"/>
      <c r="BR624" s="1509"/>
      <c r="BS624" s="1510">
        <f t="shared" si="6"/>
        <v>0</v>
      </c>
      <c r="BT624" s="1510"/>
      <c r="BU624" s="1510"/>
      <c r="BV624" s="1510"/>
      <c r="BW624" s="1510"/>
      <c r="BX624" s="1510">
        <f t="shared" si="7"/>
        <v>0</v>
      </c>
      <c r="BY624" s="1510"/>
      <c r="BZ624" s="1510"/>
      <c r="CA624" s="1510"/>
      <c r="CB624" s="1510"/>
      <c r="CC624" s="1510">
        <f t="shared" si="8"/>
        <v>0</v>
      </c>
      <c r="CD624" s="1510"/>
      <c r="CE624" s="1510"/>
      <c r="CF624" s="1510"/>
      <c r="CG624" s="1510"/>
      <c r="CH624" s="1510">
        <f t="shared" si="9"/>
        <v>0</v>
      </c>
      <c r="CI624" s="1510"/>
      <c r="CJ624" s="1510"/>
      <c r="CK624" s="1510"/>
      <c r="CL624" s="1510"/>
      <c r="CM624" s="1510">
        <f t="shared" si="10"/>
        <v>0</v>
      </c>
      <c r="CN624" s="1510"/>
      <c r="CO624" s="1510"/>
      <c r="CP624" s="1510"/>
      <c r="CQ624" s="1510"/>
      <c r="CR624" s="6"/>
      <c r="CS624" s="1518">
        <f t="shared" si="11"/>
        <v>0</v>
      </c>
      <c r="CT624" s="1518"/>
      <c r="CU624" s="1518"/>
      <c r="CV624" s="1518"/>
      <c r="CW624" s="1518"/>
      <c r="CX624" s="1518">
        <f t="shared" si="12"/>
        <v>0</v>
      </c>
      <c r="CY624" s="1518"/>
      <c r="CZ624" s="1518"/>
      <c r="DA624" s="1518"/>
      <c r="DB624" s="1518"/>
      <c r="DC624" s="1518">
        <f t="shared" si="13"/>
        <v>0</v>
      </c>
      <c r="DD624" s="1518"/>
      <c r="DE624" s="1518"/>
      <c r="DF624" s="1518"/>
      <c r="DG624" s="1518"/>
      <c r="DH624" s="1518">
        <f t="shared" si="14"/>
        <v>0</v>
      </c>
      <c r="DI624" s="1518"/>
      <c r="DJ624" s="1518"/>
      <c r="DK624" s="1518"/>
      <c r="DL624" s="1518"/>
      <c r="DM624" s="1518">
        <f t="shared" si="15"/>
        <v>0</v>
      </c>
      <c r="DN624" s="1518"/>
      <c r="DO624" s="1518"/>
      <c r="DP624" s="1518"/>
      <c r="DQ624" s="1518"/>
      <c r="DR624" s="1518">
        <f t="shared" si="16"/>
        <v>0</v>
      </c>
      <c r="DS624" s="1518"/>
      <c r="DT624" s="1518"/>
      <c r="DU624" s="1518"/>
      <c r="DV624" s="1518"/>
      <c r="DX624" s="1519" t="str">
        <f t="shared" si="17"/>
        <v/>
      </c>
      <c r="DY624" s="1520"/>
      <c r="DZ624" s="1520"/>
      <c r="EA624" s="1520"/>
      <c r="EB624" s="1521"/>
      <c r="EC624" s="1519" t="str">
        <f t="shared" si="18"/>
        <v/>
      </c>
      <c r="ED624" s="1520"/>
      <c r="EE624" s="1520"/>
      <c r="EF624" s="1520"/>
      <c r="EG624" s="1521"/>
      <c r="EH624" s="1519" t="str">
        <f t="shared" si="19"/>
        <v/>
      </c>
      <c r="EI624" s="1520"/>
      <c r="EJ624" s="1520"/>
      <c r="EK624" s="1520"/>
      <c r="EL624" s="1521"/>
      <c r="EM624" s="1519" t="str">
        <f t="shared" si="20"/>
        <v/>
      </c>
      <c r="EN624" s="1520"/>
      <c r="EO624" s="1520"/>
      <c r="EP624" s="1520"/>
      <c r="EQ624" s="1521"/>
      <c r="ER624" s="1519" t="str">
        <f t="shared" si="21"/>
        <v/>
      </c>
      <c r="ES624" s="1520"/>
      <c r="ET624" s="1520"/>
      <c r="EU624" s="1520"/>
      <c r="EV624" s="1521"/>
      <c r="EW624" s="1519" t="str">
        <f t="shared" si="22"/>
        <v/>
      </c>
      <c r="EX624" s="1520"/>
      <c r="EY624" s="1520"/>
      <c r="EZ624" s="1520"/>
      <c r="FA624" s="1521"/>
    </row>
    <row r="625" spans="2:157" ht="12.95" customHeight="1">
      <c r="B625" s="1640"/>
      <c r="C625" s="1640"/>
      <c r="D625" s="1640"/>
      <c r="E625" s="1640"/>
      <c r="F625" s="1640"/>
      <c r="G625" s="1640"/>
      <c r="H625" s="1640"/>
      <c r="I625" s="1640"/>
      <c r="J625" s="1640"/>
      <c r="K625" s="1640"/>
      <c r="L625" s="1640"/>
      <c r="M625" s="1531"/>
      <c r="N625" s="1531"/>
      <c r="O625" s="1531"/>
      <c r="P625" s="1531"/>
      <c r="Q625" s="1531"/>
      <c r="R625" s="1531"/>
      <c r="S625" s="1531"/>
      <c r="T625" s="1531"/>
      <c r="U625" s="1531"/>
      <c r="V625" s="1531"/>
      <c r="W625" s="1639"/>
      <c r="X625" s="1639"/>
      <c r="Y625" s="1639"/>
      <c r="Z625" s="1527"/>
      <c r="AA625" s="1527"/>
      <c r="AB625" s="1528"/>
      <c r="AC625" s="1718"/>
      <c r="AD625" s="1719"/>
      <c r="AE625" s="1720"/>
      <c r="AF625" s="1694"/>
      <c r="AG625" s="1527"/>
      <c r="AH625" s="1527"/>
      <c r="AI625" s="1527"/>
      <c r="AJ625" s="1528"/>
      <c r="AK625" s="1485"/>
      <c r="AL625" s="1486"/>
      <c r="AM625" s="1486"/>
      <c r="AN625" s="1487"/>
      <c r="AO625" s="1531"/>
      <c r="AP625" s="1531"/>
      <c r="AQ625" s="1531"/>
      <c r="AR625" s="1531"/>
      <c r="AS625" s="1531"/>
      <c r="AU625" s="3"/>
      <c r="AZ625" s="3"/>
      <c r="BA625" s="3"/>
      <c r="BB625" s="3"/>
      <c r="BC625" s="3"/>
      <c r="BD625" s="3"/>
      <c r="BE625" s="1519">
        <f t="shared" si="1"/>
        <v>0</v>
      </c>
      <c r="BF625" s="1521"/>
      <c r="BG625" s="1511">
        <f t="shared" si="2"/>
        <v>0</v>
      </c>
      <c r="BH625" s="1513"/>
      <c r="BI625" s="1519">
        <f t="shared" si="3"/>
        <v>0</v>
      </c>
      <c r="BJ625" s="1521"/>
      <c r="BK625" s="1511">
        <f t="shared" si="4"/>
        <v>0</v>
      </c>
      <c r="BL625" s="1513"/>
      <c r="BM625" s="3"/>
      <c r="BN625" s="1507">
        <f t="shared" si="5"/>
        <v>0</v>
      </c>
      <c r="BO625" s="1508"/>
      <c r="BP625" s="1508"/>
      <c r="BQ625" s="1508"/>
      <c r="BR625" s="1509"/>
      <c r="BS625" s="1510">
        <f t="shared" si="6"/>
        <v>0</v>
      </c>
      <c r="BT625" s="1510"/>
      <c r="BU625" s="1510"/>
      <c r="BV625" s="1510"/>
      <c r="BW625" s="1510"/>
      <c r="BX625" s="1510">
        <f t="shared" si="7"/>
        <v>0</v>
      </c>
      <c r="BY625" s="1510"/>
      <c r="BZ625" s="1510"/>
      <c r="CA625" s="1510"/>
      <c r="CB625" s="1510"/>
      <c r="CC625" s="1510">
        <f t="shared" si="8"/>
        <v>0</v>
      </c>
      <c r="CD625" s="1510"/>
      <c r="CE625" s="1510"/>
      <c r="CF625" s="1510"/>
      <c r="CG625" s="1510"/>
      <c r="CH625" s="1510">
        <f t="shared" si="9"/>
        <v>0</v>
      </c>
      <c r="CI625" s="1510"/>
      <c r="CJ625" s="1510"/>
      <c r="CK625" s="1510"/>
      <c r="CL625" s="1510"/>
      <c r="CM625" s="1510">
        <f t="shared" si="10"/>
        <v>0</v>
      </c>
      <c r="CN625" s="1510"/>
      <c r="CO625" s="1510"/>
      <c r="CP625" s="1510"/>
      <c r="CQ625" s="1510"/>
      <c r="CR625" s="6"/>
      <c r="CS625" s="1518">
        <f t="shared" si="11"/>
        <v>0</v>
      </c>
      <c r="CT625" s="1518"/>
      <c r="CU625" s="1518"/>
      <c r="CV625" s="1518"/>
      <c r="CW625" s="1518"/>
      <c r="CX625" s="1518">
        <f t="shared" si="12"/>
        <v>0</v>
      </c>
      <c r="CY625" s="1518"/>
      <c r="CZ625" s="1518"/>
      <c r="DA625" s="1518"/>
      <c r="DB625" s="1518"/>
      <c r="DC625" s="1518">
        <f t="shared" si="13"/>
        <v>0</v>
      </c>
      <c r="DD625" s="1518"/>
      <c r="DE625" s="1518"/>
      <c r="DF625" s="1518"/>
      <c r="DG625" s="1518"/>
      <c r="DH625" s="1518">
        <f t="shared" si="14"/>
        <v>0</v>
      </c>
      <c r="DI625" s="1518"/>
      <c r="DJ625" s="1518"/>
      <c r="DK625" s="1518"/>
      <c r="DL625" s="1518"/>
      <c r="DM625" s="1518">
        <f t="shared" si="15"/>
        <v>0</v>
      </c>
      <c r="DN625" s="1518"/>
      <c r="DO625" s="1518"/>
      <c r="DP625" s="1518"/>
      <c r="DQ625" s="1518"/>
      <c r="DR625" s="1518">
        <f t="shared" si="16"/>
        <v>0</v>
      </c>
      <c r="DS625" s="1518"/>
      <c r="DT625" s="1518"/>
      <c r="DU625" s="1518"/>
      <c r="DV625" s="1518"/>
      <c r="DX625" s="1519" t="str">
        <f t="shared" si="17"/>
        <v/>
      </c>
      <c r="DY625" s="1520"/>
      <c r="DZ625" s="1520"/>
      <c r="EA625" s="1520"/>
      <c r="EB625" s="1521"/>
      <c r="EC625" s="1519" t="str">
        <f t="shared" si="18"/>
        <v/>
      </c>
      <c r="ED625" s="1520"/>
      <c r="EE625" s="1520"/>
      <c r="EF625" s="1520"/>
      <c r="EG625" s="1521"/>
      <c r="EH625" s="1519" t="str">
        <f t="shared" si="19"/>
        <v/>
      </c>
      <c r="EI625" s="1520"/>
      <c r="EJ625" s="1520"/>
      <c r="EK625" s="1520"/>
      <c r="EL625" s="1521"/>
      <c r="EM625" s="1519" t="str">
        <f t="shared" si="20"/>
        <v/>
      </c>
      <c r="EN625" s="1520"/>
      <c r="EO625" s="1520"/>
      <c r="EP625" s="1520"/>
      <c r="EQ625" s="1521"/>
      <c r="ER625" s="1519" t="str">
        <f t="shared" si="21"/>
        <v/>
      </c>
      <c r="ES625" s="1520"/>
      <c r="ET625" s="1520"/>
      <c r="EU625" s="1520"/>
      <c r="EV625" s="1521"/>
      <c r="EW625" s="1519" t="str">
        <f t="shared" si="22"/>
        <v/>
      </c>
      <c r="EX625" s="1520"/>
      <c r="EY625" s="1520"/>
      <c r="EZ625" s="1520"/>
      <c r="FA625" s="1521"/>
    </row>
    <row r="626" spans="2:157" ht="12.95" customHeight="1">
      <c r="B626" s="1640"/>
      <c r="C626" s="1640"/>
      <c r="D626" s="1640"/>
      <c r="E626" s="1640"/>
      <c r="F626" s="1640"/>
      <c r="G626" s="1640"/>
      <c r="H626" s="1640"/>
      <c r="I626" s="1640"/>
      <c r="J626" s="1640"/>
      <c r="K626" s="1640"/>
      <c r="L626" s="1640"/>
      <c r="M626" s="1531"/>
      <c r="N626" s="1531"/>
      <c r="O626" s="1531"/>
      <c r="P626" s="1531"/>
      <c r="Q626" s="1531"/>
      <c r="R626" s="1531"/>
      <c r="S626" s="1531"/>
      <c r="T626" s="1531"/>
      <c r="U626" s="1531"/>
      <c r="V626" s="1531"/>
      <c r="W626" s="1639"/>
      <c r="X626" s="1639"/>
      <c r="Y626" s="1639"/>
      <c r="Z626" s="1529"/>
      <c r="AA626" s="1529"/>
      <c r="AB626" s="1530"/>
      <c r="AC626" s="1721"/>
      <c r="AD626" s="1722"/>
      <c r="AE626" s="1723"/>
      <c r="AF626" s="1695"/>
      <c r="AG626" s="1529"/>
      <c r="AH626" s="1529"/>
      <c r="AI626" s="1529"/>
      <c r="AJ626" s="1530"/>
      <c r="AK626" s="1488"/>
      <c r="AL626" s="1489"/>
      <c r="AM626" s="1489"/>
      <c r="AN626" s="1490"/>
      <c r="AO626" s="1531"/>
      <c r="AP626" s="1531"/>
      <c r="AQ626" s="1531"/>
      <c r="AR626" s="1531"/>
      <c r="AS626" s="1531"/>
      <c r="AT626" s="3"/>
      <c r="AU626" s="3"/>
      <c r="AZ626" s="3"/>
      <c r="BA626" s="3"/>
      <c r="BB626" s="3"/>
      <c r="BC626" s="3"/>
      <c r="BD626" s="3"/>
      <c r="BE626" s="1519">
        <f t="shared" si="1"/>
        <v>0</v>
      </c>
      <c r="BF626" s="1521"/>
      <c r="BG626" s="1511">
        <f t="shared" si="2"/>
        <v>0</v>
      </c>
      <c r="BH626" s="1513"/>
      <c r="BI626" s="1519">
        <f t="shared" si="3"/>
        <v>0</v>
      </c>
      <c r="BJ626" s="1521"/>
      <c r="BK626" s="1511">
        <f t="shared" si="4"/>
        <v>0</v>
      </c>
      <c r="BL626" s="1513"/>
      <c r="BM626" s="3"/>
      <c r="BN626" s="1507">
        <f t="shared" si="5"/>
        <v>0</v>
      </c>
      <c r="BO626" s="1508"/>
      <c r="BP626" s="1508"/>
      <c r="BQ626" s="1508"/>
      <c r="BR626" s="1509"/>
      <c r="BS626" s="1510">
        <f t="shared" si="6"/>
        <v>0</v>
      </c>
      <c r="BT626" s="1510"/>
      <c r="BU626" s="1510"/>
      <c r="BV626" s="1510"/>
      <c r="BW626" s="1510"/>
      <c r="BX626" s="1510">
        <f t="shared" si="7"/>
        <v>0</v>
      </c>
      <c r="BY626" s="1510"/>
      <c r="BZ626" s="1510"/>
      <c r="CA626" s="1510"/>
      <c r="CB626" s="1510"/>
      <c r="CC626" s="1510">
        <f t="shared" si="8"/>
        <v>0</v>
      </c>
      <c r="CD626" s="1510"/>
      <c r="CE626" s="1510"/>
      <c r="CF626" s="1510"/>
      <c r="CG626" s="1510"/>
      <c r="CH626" s="1510">
        <f t="shared" si="9"/>
        <v>0</v>
      </c>
      <c r="CI626" s="1510"/>
      <c r="CJ626" s="1510"/>
      <c r="CK626" s="1510"/>
      <c r="CL626" s="1510"/>
      <c r="CM626" s="1510">
        <f t="shared" si="10"/>
        <v>0</v>
      </c>
      <c r="CN626" s="1510"/>
      <c r="CO626" s="1510"/>
      <c r="CP626" s="1510"/>
      <c r="CQ626" s="1510"/>
      <c r="CR626" s="6"/>
      <c r="CS626" s="1518">
        <f t="shared" si="11"/>
        <v>0</v>
      </c>
      <c r="CT626" s="1518"/>
      <c r="CU626" s="1518"/>
      <c r="CV626" s="1518"/>
      <c r="CW626" s="1518"/>
      <c r="CX626" s="1518">
        <f t="shared" si="12"/>
        <v>0</v>
      </c>
      <c r="CY626" s="1518"/>
      <c r="CZ626" s="1518"/>
      <c r="DA626" s="1518"/>
      <c r="DB626" s="1518"/>
      <c r="DC626" s="1518">
        <f t="shared" si="13"/>
        <v>0</v>
      </c>
      <c r="DD626" s="1518"/>
      <c r="DE626" s="1518"/>
      <c r="DF626" s="1518"/>
      <c r="DG626" s="1518"/>
      <c r="DH626" s="1518">
        <f t="shared" si="14"/>
        <v>0</v>
      </c>
      <c r="DI626" s="1518"/>
      <c r="DJ626" s="1518"/>
      <c r="DK626" s="1518"/>
      <c r="DL626" s="1518"/>
      <c r="DM626" s="1518">
        <f t="shared" si="15"/>
        <v>0</v>
      </c>
      <c r="DN626" s="1518"/>
      <c r="DO626" s="1518"/>
      <c r="DP626" s="1518"/>
      <c r="DQ626" s="1518"/>
      <c r="DR626" s="1518">
        <f t="shared" si="16"/>
        <v>0</v>
      </c>
      <c r="DS626" s="1518"/>
      <c r="DT626" s="1518"/>
      <c r="DU626" s="1518"/>
      <c r="DV626" s="1518"/>
      <c r="DX626" s="1519" t="str">
        <f t="shared" si="17"/>
        <v/>
      </c>
      <c r="DY626" s="1520"/>
      <c r="DZ626" s="1520"/>
      <c r="EA626" s="1520"/>
      <c r="EB626" s="1521"/>
      <c r="EC626" s="1519" t="str">
        <f t="shared" si="18"/>
        <v/>
      </c>
      <c r="ED626" s="1520"/>
      <c r="EE626" s="1520"/>
      <c r="EF626" s="1520"/>
      <c r="EG626" s="1521"/>
      <c r="EH626" s="1519" t="str">
        <f t="shared" si="19"/>
        <v/>
      </c>
      <c r="EI626" s="1520"/>
      <c r="EJ626" s="1520"/>
      <c r="EK626" s="1520"/>
      <c r="EL626" s="1521"/>
      <c r="EM626" s="1519" t="str">
        <f t="shared" si="20"/>
        <v/>
      </c>
      <c r="EN626" s="1520"/>
      <c r="EO626" s="1520"/>
      <c r="EP626" s="1520"/>
      <c r="EQ626" s="1521"/>
      <c r="ER626" s="1519" t="str">
        <f t="shared" si="21"/>
        <v/>
      </c>
      <c r="ES626" s="1520"/>
      <c r="ET626" s="1520"/>
      <c r="EU626" s="1520"/>
      <c r="EV626" s="1521"/>
      <c r="EW626" s="1519" t="str">
        <f t="shared" si="22"/>
        <v/>
      </c>
      <c r="EX626" s="1520"/>
      <c r="EY626" s="1520"/>
      <c r="EZ626" s="1520"/>
      <c r="FA626" s="1521"/>
    </row>
    <row r="627" spans="2:157" ht="12.95" customHeight="1">
      <c r="B627" s="51" t="s">
        <v>112</v>
      </c>
      <c r="C627" s="1714" t="s">
        <v>2722</v>
      </c>
      <c r="D627" s="1714"/>
      <c r="E627" s="1714"/>
      <c r="F627" s="1714"/>
      <c r="G627" s="1714"/>
      <c r="H627" s="1714"/>
      <c r="I627" s="1714"/>
      <c r="J627" s="1714"/>
      <c r="K627" s="1714"/>
      <c r="L627" s="1714"/>
      <c r="M627" s="1481" t="s">
        <v>2437</v>
      </c>
      <c r="N627" s="1481"/>
      <c r="O627" s="1481"/>
      <c r="P627" s="1481"/>
      <c r="Q627" s="1469">
        <f>15*12</f>
        <v>180</v>
      </c>
      <c r="R627" s="1469"/>
      <c r="S627" s="1470"/>
      <c r="T627" s="1471">
        <f>40*12</f>
        <v>480</v>
      </c>
      <c r="U627" s="1469"/>
      <c r="V627" s="1470"/>
      <c r="W627" s="1478">
        <v>5.5E-2</v>
      </c>
      <c r="X627" s="1479"/>
      <c r="Y627" s="1480"/>
      <c r="Z627" s="1522" t="s">
        <v>2449</v>
      </c>
      <c r="AA627" s="1523"/>
      <c r="AB627" s="1524"/>
      <c r="AC627" s="1475">
        <v>1</v>
      </c>
      <c r="AD627" s="1476"/>
      <c r="AE627" s="1477"/>
      <c r="AF627" s="1413">
        <f>-PMT(W627,40,AO627)</f>
        <v>1841064.529863141</v>
      </c>
      <c r="AG627" s="1414"/>
      <c r="AH627" s="1414"/>
      <c r="AI627" s="1414"/>
      <c r="AJ627" s="1415"/>
      <c r="AK627" s="1419"/>
      <c r="AL627" s="1420"/>
      <c r="AM627" s="1420"/>
      <c r="AN627" s="1421"/>
      <c r="AO627" s="1532">
        <v>29541951</v>
      </c>
      <c r="AP627" s="1532"/>
      <c r="AQ627" s="1532"/>
      <c r="AR627" s="1532"/>
      <c r="AS627" s="1532"/>
      <c r="AT627" s="3"/>
      <c r="AU627" s="3"/>
      <c r="AZ627" s="3"/>
      <c r="BA627" s="3"/>
      <c r="BB627" s="3"/>
      <c r="BC627" s="3"/>
      <c r="BD627" s="3"/>
      <c r="BE627" s="1519">
        <f t="shared" si="1"/>
        <v>0</v>
      </c>
      <c r="BF627" s="1521"/>
      <c r="BG627" s="1511">
        <f t="shared" si="2"/>
        <v>0</v>
      </c>
      <c r="BH627" s="1513"/>
      <c r="BI627" s="1519">
        <f t="shared" si="3"/>
        <v>0</v>
      </c>
      <c r="BJ627" s="1521"/>
      <c r="BK627" s="1511">
        <f t="shared" si="4"/>
        <v>0</v>
      </c>
      <c r="BL627" s="1513"/>
      <c r="BM627" s="3"/>
      <c r="BN627" s="1507">
        <f t="shared" si="5"/>
        <v>0</v>
      </c>
      <c r="BO627" s="1508"/>
      <c r="BP627" s="1508"/>
      <c r="BQ627" s="1508"/>
      <c r="BR627" s="1509"/>
      <c r="BS627" s="1510">
        <f t="shared" si="6"/>
        <v>0</v>
      </c>
      <c r="BT627" s="1510"/>
      <c r="BU627" s="1510"/>
      <c r="BV627" s="1510"/>
      <c r="BW627" s="1510"/>
      <c r="BX627" s="1510">
        <f t="shared" si="7"/>
        <v>0</v>
      </c>
      <c r="BY627" s="1510"/>
      <c r="BZ627" s="1510"/>
      <c r="CA627" s="1510"/>
      <c r="CB627" s="1510"/>
      <c r="CC627" s="1510">
        <f t="shared" si="8"/>
        <v>0</v>
      </c>
      <c r="CD627" s="1510"/>
      <c r="CE627" s="1510"/>
      <c r="CF627" s="1510"/>
      <c r="CG627" s="1510"/>
      <c r="CH627" s="1510">
        <f t="shared" si="9"/>
        <v>0</v>
      </c>
      <c r="CI627" s="1510"/>
      <c r="CJ627" s="1510"/>
      <c r="CK627" s="1510"/>
      <c r="CL627" s="1510"/>
      <c r="CM627" s="1510">
        <f t="shared" si="10"/>
        <v>0</v>
      </c>
      <c r="CN627" s="1510"/>
      <c r="CO627" s="1510"/>
      <c r="CP627" s="1510"/>
      <c r="CQ627" s="1510"/>
      <c r="CR627" s="6"/>
      <c r="CS627" s="1518">
        <f t="shared" si="11"/>
        <v>0</v>
      </c>
      <c r="CT627" s="1518"/>
      <c r="CU627" s="1518"/>
      <c r="CV627" s="1518"/>
      <c r="CW627" s="1518"/>
      <c r="CX627" s="1518">
        <f t="shared" si="12"/>
        <v>0</v>
      </c>
      <c r="CY627" s="1518"/>
      <c r="CZ627" s="1518"/>
      <c r="DA627" s="1518"/>
      <c r="DB627" s="1518"/>
      <c r="DC627" s="1518">
        <f t="shared" si="13"/>
        <v>0</v>
      </c>
      <c r="DD627" s="1518"/>
      <c r="DE627" s="1518"/>
      <c r="DF627" s="1518"/>
      <c r="DG627" s="1518"/>
      <c r="DH627" s="1518">
        <f t="shared" si="14"/>
        <v>0</v>
      </c>
      <c r="DI627" s="1518"/>
      <c r="DJ627" s="1518"/>
      <c r="DK627" s="1518"/>
      <c r="DL627" s="1518"/>
      <c r="DM627" s="1518">
        <f t="shared" si="15"/>
        <v>0</v>
      </c>
      <c r="DN627" s="1518"/>
      <c r="DO627" s="1518"/>
      <c r="DP627" s="1518"/>
      <c r="DQ627" s="1518"/>
      <c r="DR627" s="1518">
        <f t="shared" si="16"/>
        <v>0</v>
      </c>
      <c r="DS627" s="1518"/>
      <c r="DT627" s="1518"/>
      <c r="DU627" s="1518"/>
      <c r="DV627" s="1518"/>
      <c r="DX627" s="1519" t="str">
        <f t="shared" si="17"/>
        <v/>
      </c>
      <c r="DY627" s="1520"/>
      <c r="DZ627" s="1520"/>
      <c r="EA627" s="1520"/>
      <c r="EB627" s="1521"/>
      <c r="EC627" s="1519" t="str">
        <f t="shared" si="18"/>
        <v/>
      </c>
      <c r="ED627" s="1520"/>
      <c r="EE627" s="1520"/>
      <c r="EF627" s="1520"/>
      <c r="EG627" s="1521"/>
      <c r="EH627" s="1519" t="str">
        <f t="shared" si="19"/>
        <v/>
      </c>
      <c r="EI627" s="1520"/>
      <c r="EJ627" s="1520"/>
      <c r="EK627" s="1520"/>
      <c r="EL627" s="1521"/>
      <c r="EM627" s="1519" t="str">
        <f t="shared" si="20"/>
        <v/>
      </c>
      <c r="EN627" s="1520"/>
      <c r="EO627" s="1520"/>
      <c r="EP627" s="1520"/>
      <c r="EQ627" s="1521"/>
      <c r="ER627" s="1519" t="str">
        <f t="shared" si="21"/>
        <v/>
      </c>
      <c r="ES627" s="1520"/>
      <c r="ET627" s="1520"/>
      <c r="EU627" s="1520"/>
      <c r="EV627" s="1521"/>
      <c r="EW627" s="1519" t="str">
        <f t="shared" si="22"/>
        <v/>
      </c>
      <c r="EX627" s="1520"/>
      <c r="EY627" s="1520"/>
      <c r="EZ627" s="1520"/>
      <c r="FA627" s="1521"/>
    </row>
    <row r="628" spans="2:157" ht="12.95" customHeight="1">
      <c r="B628" s="52" t="s">
        <v>113</v>
      </c>
      <c r="C628" s="1714" t="s">
        <v>2713</v>
      </c>
      <c r="D628" s="1714"/>
      <c r="E628" s="1714"/>
      <c r="F628" s="1714"/>
      <c r="G628" s="1714"/>
      <c r="H628" s="1714"/>
      <c r="I628" s="1714"/>
      <c r="J628" s="1714"/>
      <c r="K628" s="1714"/>
      <c r="L628" s="1714"/>
      <c r="M628" s="1481" t="s">
        <v>2434</v>
      </c>
      <c r="N628" s="1481"/>
      <c r="O628" s="1481"/>
      <c r="P628" s="1481"/>
      <c r="Q628" s="1471">
        <f>55*12</f>
        <v>660</v>
      </c>
      <c r="R628" s="1469"/>
      <c r="S628" s="1470"/>
      <c r="T628" s="1471">
        <v>660</v>
      </c>
      <c r="U628" s="1469"/>
      <c r="V628" s="1470"/>
      <c r="W628" s="1478">
        <v>4.5199999999999997E-2</v>
      </c>
      <c r="X628" s="1479"/>
      <c r="Y628" s="1480"/>
      <c r="Z628" s="1522" t="s">
        <v>466</v>
      </c>
      <c r="AA628" s="1523"/>
      <c r="AB628" s="1524"/>
      <c r="AC628" s="1475">
        <v>2</v>
      </c>
      <c r="AD628" s="1476"/>
      <c r="AE628" s="1477"/>
      <c r="AF628" s="1413"/>
      <c r="AG628" s="1414"/>
      <c r="AH628" s="1414"/>
      <c r="AI628" s="1414"/>
      <c r="AJ628" s="1415"/>
      <c r="AK628" s="1419"/>
      <c r="AL628" s="1420"/>
      <c r="AM628" s="1420"/>
      <c r="AN628" s="1421"/>
      <c r="AO628" s="1393">
        <v>4990000</v>
      </c>
      <c r="AP628" s="1394"/>
      <c r="AQ628" s="1394"/>
      <c r="AR628" s="1394"/>
      <c r="AS628" s="1395"/>
      <c r="AT628" s="1192" t="str">
        <f>IF(AND(NOT(C627=""),C628="",NOT(C629="")),"!","")</f>
        <v/>
      </c>
      <c r="AU628" s="3"/>
      <c r="AZ628" s="3"/>
      <c r="BA628" s="3"/>
      <c r="BB628" s="3"/>
      <c r="BC628" s="3"/>
      <c r="BD628" s="3"/>
      <c r="BE628" s="1519">
        <f t="shared" si="1"/>
        <v>0</v>
      </c>
      <c r="BF628" s="1521"/>
      <c r="BG628" s="1511">
        <f t="shared" si="2"/>
        <v>0</v>
      </c>
      <c r="BH628" s="1513"/>
      <c r="BI628" s="1519">
        <f t="shared" si="3"/>
        <v>0</v>
      </c>
      <c r="BJ628" s="1521"/>
      <c r="BK628" s="1511">
        <f t="shared" si="4"/>
        <v>0</v>
      </c>
      <c r="BL628" s="1513"/>
      <c r="BM628" s="3"/>
      <c r="BN628" s="1507">
        <f t="shared" si="5"/>
        <v>0</v>
      </c>
      <c r="BO628" s="1508"/>
      <c r="BP628" s="1508"/>
      <c r="BQ628" s="1508"/>
      <c r="BR628" s="1509"/>
      <c r="BS628" s="1510">
        <f t="shared" si="6"/>
        <v>0</v>
      </c>
      <c r="BT628" s="1510"/>
      <c r="BU628" s="1510"/>
      <c r="BV628" s="1510"/>
      <c r="BW628" s="1510"/>
      <c r="BX628" s="1510">
        <f t="shared" si="7"/>
        <v>0</v>
      </c>
      <c r="BY628" s="1510"/>
      <c r="BZ628" s="1510"/>
      <c r="CA628" s="1510"/>
      <c r="CB628" s="1510"/>
      <c r="CC628" s="1510">
        <f t="shared" si="8"/>
        <v>0</v>
      </c>
      <c r="CD628" s="1510"/>
      <c r="CE628" s="1510"/>
      <c r="CF628" s="1510"/>
      <c r="CG628" s="1510"/>
      <c r="CH628" s="1510">
        <f t="shared" si="9"/>
        <v>0</v>
      </c>
      <c r="CI628" s="1510"/>
      <c r="CJ628" s="1510"/>
      <c r="CK628" s="1510"/>
      <c r="CL628" s="1510"/>
      <c r="CM628" s="1510">
        <f t="shared" si="10"/>
        <v>0</v>
      </c>
      <c r="CN628" s="1510"/>
      <c r="CO628" s="1510"/>
      <c r="CP628" s="1510"/>
      <c r="CQ628" s="1510"/>
      <c r="CR628" s="6"/>
      <c r="CS628" s="1518">
        <f t="shared" si="11"/>
        <v>0</v>
      </c>
      <c r="CT628" s="1518"/>
      <c r="CU628" s="1518"/>
      <c r="CV628" s="1518"/>
      <c r="CW628" s="1518"/>
      <c r="CX628" s="1518">
        <f t="shared" si="12"/>
        <v>0</v>
      </c>
      <c r="CY628" s="1518"/>
      <c r="CZ628" s="1518"/>
      <c r="DA628" s="1518"/>
      <c r="DB628" s="1518"/>
      <c r="DC628" s="1518">
        <f t="shared" si="13"/>
        <v>0</v>
      </c>
      <c r="DD628" s="1518"/>
      <c r="DE628" s="1518"/>
      <c r="DF628" s="1518"/>
      <c r="DG628" s="1518"/>
      <c r="DH628" s="1518">
        <f t="shared" si="14"/>
        <v>0</v>
      </c>
      <c r="DI628" s="1518"/>
      <c r="DJ628" s="1518"/>
      <c r="DK628" s="1518"/>
      <c r="DL628" s="1518"/>
      <c r="DM628" s="1518">
        <f t="shared" si="15"/>
        <v>0</v>
      </c>
      <c r="DN628" s="1518"/>
      <c r="DO628" s="1518"/>
      <c r="DP628" s="1518"/>
      <c r="DQ628" s="1518"/>
      <c r="DR628" s="1518">
        <f t="shared" si="16"/>
        <v>0</v>
      </c>
      <c r="DS628" s="1518"/>
      <c r="DT628" s="1518"/>
      <c r="DU628" s="1518"/>
      <c r="DV628" s="1518"/>
      <c r="DX628" s="1519" t="str">
        <f t="shared" si="17"/>
        <v/>
      </c>
      <c r="DY628" s="1520"/>
      <c r="DZ628" s="1520"/>
      <c r="EA628" s="1520"/>
      <c r="EB628" s="1521"/>
      <c r="EC628" s="1519" t="str">
        <f t="shared" si="18"/>
        <v/>
      </c>
      <c r="ED628" s="1520"/>
      <c r="EE628" s="1520"/>
      <c r="EF628" s="1520"/>
      <c r="EG628" s="1521"/>
      <c r="EH628" s="1519" t="str">
        <f t="shared" si="19"/>
        <v/>
      </c>
      <c r="EI628" s="1520"/>
      <c r="EJ628" s="1520"/>
      <c r="EK628" s="1520"/>
      <c r="EL628" s="1521"/>
      <c r="EM628" s="1519" t="str">
        <f t="shared" si="20"/>
        <v/>
      </c>
      <c r="EN628" s="1520"/>
      <c r="EO628" s="1520"/>
      <c r="EP628" s="1520"/>
      <c r="EQ628" s="1521"/>
      <c r="ER628" s="1519" t="str">
        <f t="shared" si="21"/>
        <v/>
      </c>
      <c r="ES628" s="1520"/>
      <c r="ET628" s="1520"/>
      <c r="EU628" s="1520"/>
      <c r="EV628" s="1521"/>
      <c r="EW628" s="1519" t="str">
        <f t="shared" si="22"/>
        <v/>
      </c>
      <c r="EX628" s="1520"/>
      <c r="EY628" s="1520"/>
      <c r="EZ628" s="1520"/>
      <c r="FA628" s="1521"/>
    </row>
    <row r="629" spans="2:157" ht="12.95" customHeight="1">
      <c r="B629" s="52" t="s">
        <v>119</v>
      </c>
      <c r="C629" s="1714" t="s">
        <v>1849</v>
      </c>
      <c r="D629" s="1714"/>
      <c r="E629" s="1714"/>
      <c r="F629" s="1714"/>
      <c r="G629" s="1714"/>
      <c r="H629" s="1714"/>
      <c r="I629" s="1714"/>
      <c r="J629" s="1714"/>
      <c r="K629" s="1714"/>
      <c r="L629" s="1714"/>
      <c r="M629" s="1481" t="s">
        <v>2424</v>
      </c>
      <c r="N629" s="1481"/>
      <c r="O629" s="1481"/>
      <c r="P629" s="1481"/>
      <c r="Q629" s="1471"/>
      <c r="R629" s="1469"/>
      <c r="S629" s="1470"/>
      <c r="T629" s="1471"/>
      <c r="U629" s="1469"/>
      <c r="V629" s="1470"/>
      <c r="W629" s="1478"/>
      <c r="X629" s="1479"/>
      <c r="Y629" s="1480"/>
      <c r="Z629" s="1522" t="s">
        <v>466</v>
      </c>
      <c r="AA629" s="1523"/>
      <c r="AB629" s="1524"/>
      <c r="AC629" s="1475"/>
      <c r="AD629" s="1476"/>
      <c r="AE629" s="1477"/>
      <c r="AF629" s="1413"/>
      <c r="AG629" s="1414"/>
      <c r="AH629" s="1414"/>
      <c r="AI629" s="1414"/>
      <c r="AJ629" s="1415"/>
      <c r="AK629" s="1419"/>
      <c r="AL629" s="1420"/>
      <c r="AM629" s="1420"/>
      <c r="AN629" s="1421"/>
      <c r="AO629" s="1393">
        <v>8599302</v>
      </c>
      <c r="AP629" s="1394"/>
      <c r="AQ629" s="1394"/>
      <c r="AR629" s="1394"/>
      <c r="AS629" s="1395"/>
      <c r="AT629" s="1192" t="str">
        <f t="shared" ref="AT629:AT638" si="23">IF(AND(NOT(C628=""),C629="",NOT(C630="")),"!","")</f>
        <v/>
      </c>
      <c r="AU629" s="3"/>
      <c r="AZ629" s="3"/>
      <c r="BA629" s="3"/>
      <c r="BB629" s="3"/>
      <c r="BC629" s="3"/>
      <c r="BD629" s="3"/>
      <c r="BE629" s="1519">
        <f t="shared" si="1"/>
        <v>0</v>
      </c>
      <c r="BF629" s="1521"/>
      <c r="BG629" s="1511">
        <f t="shared" si="2"/>
        <v>0</v>
      </c>
      <c r="BH629" s="1513"/>
      <c r="BI629" s="1519">
        <f t="shared" si="3"/>
        <v>0</v>
      </c>
      <c r="BJ629" s="1521"/>
      <c r="BK629" s="1511">
        <f t="shared" si="4"/>
        <v>0</v>
      </c>
      <c r="BL629" s="1513"/>
      <c r="BM629" s="3"/>
      <c r="BN629" s="1507">
        <f t="shared" si="5"/>
        <v>0</v>
      </c>
      <c r="BO629" s="1508"/>
      <c r="BP629" s="1508"/>
      <c r="BQ629" s="1508"/>
      <c r="BR629" s="1509"/>
      <c r="BS629" s="1510">
        <f t="shared" si="6"/>
        <v>0</v>
      </c>
      <c r="BT629" s="1510"/>
      <c r="BU629" s="1510"/>
      <c r="BV629" s="1510"/>
      <c r="BW629" s="1510"/>
      <c r="BX629" s="1510">
        <f t="shared" si="7"/>
        <v>0</v>
      </c>
      <c r="BY629" s="1510"/>
      <c r="BZ629" s="1510"/>
      <c r="CA629" s="1510"/>
      <c r="CB629" s="1510"/>
      <c r="CC629" s="1510">
        <f t="shared" si="8"/>
        <v>0</v>
      </c>
      <c r="CD629" s="1510"/>
      <c r="CE629" s="1510"/>
      <c r="CF629" s="1510"/>
      <c r="CG629" s="1510"/>
      <c r="CH629" s="1510">
        <f t="shared" si="9"/>
        <v>0</v>
      </c>
      <c r="CI629" s="1510"/>
      <c r="CJ629" s="1510"/>
      <c r="CK629" s="1510"/>
      <c r="CL629" s="1510"/>
      <c r="CM629" s="1510">
        <f t="shared" si="10"/>
        <v>0</v>
      </c>
      <c r="CN629" s="1510"/>
      <c r="CO629" s="1510"/>
      <c r="CP629" s="1510"/>
      <c r="CQ629" s="1510"/>
      <c r="CR629" s="6"/>
      <c r="CS629" s="1518">
        <f t="shared" si="11"/>
        <v>0</v>
      </c>
      <c r="CT629" s="1518"/>
      <c r="CU629" s="1518"/>
      <c r="CV629" s="1518"/>
      <c r="CW629" s="1518"/>
      <c r="CX629" s="1518">
        <f t="shared" si="12"/>
        <v>0</v>
      </c>
      <c r="CY629" s="1518"/>
      <c r="CZ629" s="1518"/>
      <c r="DA629" s="1518"/>
      <c r="DB629" s="1518"/>
      <c r="DC629" s="1518">
        <f t="shared" si="13"/>
        <v>0</v>
      </c>
      <c r="DD629" s="1518"/>
      <c r="DE629" s="1518"/>
      <c r="DF629" s="1518"/>
      <c r="DG629" s="1518"/>
      <c r="DH629" s="1518">
        <f t="shared" si="14"/>
        <v>0</v>
      </c>
      <c r="DI629" s="1518"/>
      <c r="DJ629" s="1518"/>
      <c r="DK629" s="1518"/>
      <c r="DL629" s="1518"/>
      <c r="DM629" s="1518">
        <f t="shared" si="15"/>
        <v>0</v>
      </c>
      <c r="DN629" s="1518"/>
      <c r="DO629" s="1518"/>
      <c r="DP629" s="1518"/>
      <c r="DQ629" s="1518"/>
      <c r="DR629" s="1518">
        <f t="shared" si="16"/>
        <v>0</v>
      </c>
      <c r="DS629" s="1518"/>
      <c r="DT629" s="1518"/>
      <c r="DU629" s="1518"/>
      <c r="DV629" s="1518"/>
      <c r="DX629" s="1519" t="str">
        <f t="shared" si="17"/>
        <v/>
      </c>
      <c r="DY629" s="1520"/>
      <c r="DZ629" s="1520"/>
      <c r="EA629" s="1520"/>
      <c r="EB629" s="1521"/>
      <c r="EC629" s="1519" t="str">
        <f t="shared" si="18"/>
        <v/>
      </c>
      <c r="ED629" s="1520"/>
      <c r="EE629" s="1520"/>
      <c r="EF629" s="1520"/>
      <c r="EG629" s="1521"/>
      <c r="EH629" s="1519" t="str">
        <f t="shared" si="19"/>
        <v/>
      </c>
      <c r="EI629" s="1520"/>
      <c r="EJ629" s="1520"/>
      <c r="EK629" s="1520"/>
      <c r="EL629" s="1521"/>
      <c r="EM629" s="1519" t="str">
        <f t="shared" si="20"/>
        <v/>
      </c>
      <c r="EN629" s="1520"/>
      <c r="EO629" s="1520"/>
      <c r="EP629" s="1520"/>
      <c r="EQ629" s="1521"/>
      <c r="ER629" s="1519" t="str">
        <f t="shared" si="21"/>
        <v/>
      </c>
      <c r="ES629" s="1520"/>
      <c r="ET629" s="1520"/>
      <c r="EU629" s="1520"/>
      <c r="EV629" s="1521"/>
      <c r="EW629" s="1519" t="str">
        <f t="shared" si="22"/>
        <v/>
      </c>
      <c r="EX629" s="1520"/>
      <c r="EY629" s="1520"/>
      <c r="EZ629" s="1520"/>
      <c r="FA629" s="1521"/>
    </row>
    <row r="630" spans="2:157" ht="12.95" customHeight="1">
      <c r="B630" s="52" t="s">
        <v>589</v>
      </c>
      <c r="C630" s="1472"/>
      <c r="D630" s="1472"/>
      <c r="E630" s="1472"/>
      <c r="F630" s="1472"/>
      <c r="G630" s="1472"/>
      <c r="H630" s="1472"/>
      <c r="I630" s="1472"/>
      <c r="J630" s="1472"/>
      <c r="K630" s="1472"/>
      <c r="L630" s="1472"/>
      <c r="M630" s="1481" t="s">
        <v>1290</v>
      </c>
      <c r="N630" s="1481"/>
      <c r="O630" s="1481"/>
      <c r="P630" s="1481"/>
      <c r="Q630" s="1471"/>
      <c r="R630" s="1469"/>
      <c r="S630" s="1470"/>
      <c r="T630" s="1471"/>
      <c r="U630" s="1469"/>
      <c r="V630" s="1470"/>
      <c r="W630" s="1478"/>
      <c r="X630" s="1479"/>
      <c r="Y630" s="1480"/>
      <c r="Z630" s="1522" t="s">
        <v>1290</v>
      </c>
      <c r="AA630" s="1523"/>
      <c r="AB630" s="1524"/>
      <c r="AC630" s="1475"/>
      <c r="AD630" s="1476"/>
      <c r="AE630" s="1477"/>
      <c r="AF630" s="1413"/>
      <c r="AG630" s="1414"/>
      <c r="AH630" s="1414"/>
      <c r="AI630" s="1414"/>
      <c r="AJ630" s="1415"/>
      <c r="AK630" s="1419"/>
      <c r="AL630" s="1420"/>
      <c r="AM630" s="1420"/>
      <c r="AN630" s="1421"/>
      <c r="AO630" s="1393"/>
      <c r="AP630" s="1394"/>
      <c r="AQ630" s="1394"/>
      <c r="AR630" s="1394"/>
      <c r="AS630" s="1395"/>
      <c r="AT630" s="1192" t="str">
        <f t="shared" si="23"/>
        <v/>
      </c>
      <c r="AU630" s="3"/>
      <c r="AZ630" s="3"/>
      <c r="BA630" s="3"/>
      <c r="BB630" s="3"/>
      <c r="BC630" s="3"/>
      <c r="BD630" s="3"/>
      <c r="BE630" s="1519">
        <f t="shared" si="1"/>
        <v>0</v>
      </c>
      <c r="BF630" s="1521"/>
      <c r="BG630" s="1511">
        <f t="shared" si="2"/>
        <v>0</v>
      </c>
      <c r="BH630" s="1513"/>
      <c r="BI630" s="1519">
        <f t="shared" si="3"/>
        <v>0</v>
      </c>
      <c r="BJ630" s="1521"/>
      <c r="BK630" s="1511">
        <f t="shared" si="4"/>
        <v>0</v>
      </c>
      <c r="BL630" s="1513"/>
      <c r="BM630" s="3"/>
      <c r="BN630" s="1507">
        <f t="shared" si="5"/>
        <v>0</v>
      </c>
      <c r="BO630" s="1508"/>
      <c r="BP630" s="1508"/>
      <c r="BQ630" s="1508"/>
      <c r="BR630" s="1509"/>
      <c r="BS630" s="1510">
        <f t="shared" si="6"/>
        <v>0</v>
      </c>
      <c r="BT630" s="1510"/>
      <c r="BU630" s="1510"/>
      <c r="BV630" s="1510"/>
      <c r="BW630" s="1510"/>
      <c r="BX630" s="1510">
        <f t="shared" si="7"/>
        <v>0</v>
      </c>
      <c r="BY630" s="1510"/>
      <c r="BZ630" s="1510"/>
      <c r="CA630" s="1510"/>
      <c r="CB630" s="1510"/>
      <c r="CC630" s="1510">
        <f t="shared" si="8"/>
        <v>0</v>
      </c>
      <c r="CD630" s="1510"/>
      <c r="CE630" s="1510"/>
      <c r="CF630" s="1510"/>
      <c r="CG630" s="1510"/>
      <c r="CH630" s="1510">
        <f t="shared" si="9"/>
        <v>0</v>
      </c>
      <c r="CI630" s="1510"/>
      <c r="CJ630" s="1510"/>
      <c r="CK630" s="1510"/>
      <c r="CL630" s="1510"/>
      <c r="CM630" s="1510">
        <f t="shared" si="10"/>
        <v>0</v>
      </c>
      <c r="CN630" s="1510"/>
      <c r="CO630" s="1510"/>
      <c r="CP630" s="1510"/>
      <c r="CQ630" s="1510"/>
      <c r="CR630" s="6"/>
      <c r="CS630" s="1518">
        <f t="shared" si="11"/>
        <v>0</v>
      </c>
      <c r="CT630" s="1518"/>
      <c r="CU630" s="1518"/>
      <c r="CV630" s="1518"/>
      <c r="CW630" s="1518"/>
      <c r="CX630" s="1518">
        <f t="shared" si="12"/>
        <v>0</v>
      </c>
      <c r="CY630" s="1518"/>
      <c r="CZ630" s="1518"/>
      <c r="DA630" s="1518"/>
      <c r="DB630" s="1518"/>
      <c r="DC630" s="1518">
        <f t="shared" si="13"/>
        <v>0</v>
      </c>
      <c r="DD630" s="1518"/>
      <c r="DE630" s="1518"/>
      <c r="DF630" s="1518"/>
      <c r="DG630" s="1518"/>
      <c r="DH630" s="1518">
        <f t="shared" si="14"/>
        <v>0</v>
      </c>
      <c r="DI630" s="1518"/>
      <c r="DJ630" s="1518"/>
      <c r="DK630" s="1518"/>
      <c r="DL630" s="1518"/>
      <c r="DM630" s="1518">
        <f t="shared" si="15"/>
        <v>0</v>
      </c>
      <c r="DN630" s="1518"/>
      <c r="DO630" s="1518"/>
      <c r="DP630" s="1518"/>
      <c r="DQ630" s="1518"/>
      <c r="DR630" s="1518">
        <f t="shared" si="16"/>
        <v>0</v>
      </c>
      <c r="DS630" s="1518"/>
      <c r="DT630" s="1518"/>
      <c r="DU630" s="1518"/>
      <c r="DV630" s="1518"/>
      <c r="DX630" s="1519" t="str">
        <f t="shared" si="17"/>
        <v/>
      </c>
      <c r="DY630" s="1520"/>
      <c r="DZ630" s="1520"/>
      <c r="EA630" s="1520"/>
      <c r="EB630" s="1521"/>
      <c r="EC630" s="1519" t="str">
        <f t="shared" si="18"/>
        <v/>
      </c>
      <c r="ED630" s="1520"/>
      <c r="EE630" s="1520"/>
      <c r="EF630" s="1520"/>
      <c r="EG630" s="1521"/>
      <c r="EH630" s="1519" t="str">
        <f t="shared" si="19"/>
        <v/>
      </c>
      <c r="EI630" s="1520"/>
      <c r="EJ630" s="1520"/>
      <c r="EK630" s="1520"/>
      <c r="EL630" s="1521"/>
      <c r="EM630" s="1519" t="str">
        <f t="shared" si="20"/>
        <v/>
      </c>
      <c r="EN630" s="1520"/>
      <c r="EO630" s="1520"/>
      <c r="EP630" s="1520"/>
      <c r="EQ630" s="1521"/>
      <c r="ER630" s="1519" t="str">
        <f t="shared" si="21"/>
        <v/>
      </c>
      <c r="ES630" s="1520"/>
      <c r="ET630" s="1520"/>
      <c r="EU630" s="1520"/>
      <c r="EV630" s="1521"/>
      <c r="EW630" s="1519" t="str">
        <f t="shared" si="22"/>
        <v/>
      </c>
      <c r="EX630" s="1520"/>
      <c r="EY630" s="1520"/>
      <c r="EZ630" s="1520"/>
      <c r="FA630" s="1521"/>
    </row>
    <row r="631" spans="2:157" ht="12.95" customHeight="1">
      <c r="B631" s="52" t="s">
        <v>772</v>
      </c>
      <c r="C631" s="1472"/>
      <c r="D631" s="1472"/>
      <c r="E631" s="1472"/>
      <c r="F631" s="1472"/>
      <c r="G631" s="1472"/>
      <c r="H631" s="1472"/>
      <c r="I631" s="1472"/>
      <c r="J631" s="1472"/>
      <c r="K631" s="1472"/>
      <c r="L631" s="1472"/>
      <c r="M631" s="1481" t="s">
        <v>1290</v>
      </c>
      <c r="N631" s="1481"/>
      <c r="O631" s="1481"/>
      <c r="P631" s="1481"/>
      <c r="Q631" s="1471"/>
      <c r="R631" s="1469"/>
      <c r="S631" s="1470"/>
      <c r="T631" s="1471"/>
      <c r="U631" s="1469"/>
      <c r="V631" s="1470"/>
      <c r="W631" s="1478"/>
      <c r="X631" s="1479"/>
      <c r="Y631" s="1480"/>
      <c r="Z631" s="1522" t="s">
        <v>1290</v>
      </c>
      <c r="AA631" s="1523"/>
      <c r="AB631" s="1524"/>
      <c r="AC631" s="1475"/>
      <c r="AD631" s="1476"/>
      <c r="AE631" s="1477"/>
      <c r="AF631" s="1413"/>
      <c r="AG631" s="1414"/>
      <c r="AH631" s="1414"/>
      <c r="AI631" s="1414"/>
      <c r="AJ631" s="1415"/>
      <c r="AK631" s="1419"/>
      <c r="AL631" s="1420"/>
      <c r="AM631" s="1420"/>
      <c r="AN631" s="1421"/>
      <c r="AO631" s="1393"/>
      <c r="AP631" s="1394"/>
      <c r="AQ631" s="1394"/>
      <c r="AR631" s="1394"/>
      <c r="AS631" s="1395"/>
      <c r="AT631" s="1192" t="str">
        <f t="shared" si="23"/>
        <v/>
      </c>
      <c r="AU631" s="3"/>
      <c r="AZ631" s="3"/>
      <c r="BA631" s="3"/>
      <c r="BB631" s="3"/>
      <c r="BC631" s="3"/>
      <c r="BD631" s="3"/>
      <c r="BE631" s="1519">
        <f t="shared" si="1"/>
        <v>0</v>
      </c>
      <c r="BF631" s="1521"/>
      <c r="BG631" s="1511">
        <f t="shared" si="2"/>
        <v>0</v>
      </c>
      <c r="BH631" s="1513"/>
      <c r="BI631" s="1519">
        <f t="shared" si="3"/>
        <v>0</v>
      </c>
      <c r="BJ631" s="1521"/>
      <c r="BK631" s="1511">
        <f t="shared" si="4"/>
        <v>0</v>
      </c>
      <c r="BL631" s="1513"/>
      <c r="BM631" s="3"/>
      <c r="BN631" s="1507">
        <f t="shared" si="5"/>
        <v>0</v>
      </c>
      <c r="BO631" s="1508"/>
      <c r="BP631" s="1508"/>
      <c r="BQ631" s="1508"/>
      <c r="BR631" s="1509"/>
      <c r="BS631" s="1510">
        <f t="shared" si="6"/>
        <v>0</v>
      </c>
      <c r="BT631" s="1510"/>
      <c r="BU631" s="1510"/>
      <c r="BV631" s="1510"/>
      <c r="BW631" s="1510"/>
      <c r="BX631" s="1510">
        <f t="shared" si="7"/>
        <v>0</v>
      </c>
      <c r="BY631" s="1510"/>
      <c r="BZ631" s="1510"/>
      <c r="CA631" s="1510"/>
      <c r="CB631" s="1510"/>
      <c r="CC631" s="1510">
        <f t="shared" si="8"/>
        <v>0</v>
      </c>
      <c r="CD631" s="1510"/>
      <c r="CE631" s="1510"/>
      <c r="CF631" s="1510"/>
      <c r="CG631" s="1510"/>
      <c r="CH631" s="1510">
        <f t="shared" si="9"/>
        <v>0</v>
      </c>
      <c r="CI631" s="1510"/>
      <c r="CJ631" s="1510"/>
      <c r="CK631" s="1510"/>
      <c r="CL631" s="1510"/>
      <c r="CM631" s="1510">
        <f t="shared" si="10"/>
        <v>0</v>
      </c>
      <c r="CN631" s="1510"/>
      <c r="CO631" s="1510"/>
      <c r="CP631" s="1510"/>
      <c r="CQ631" s="1510"/>
      <c r="CR631" s="6"/>
      <c r="CS631" s="1518">
        <f t="shared" si="11"/>
        <v>0</v>
      </c>
      <c r="CT631" s="1518"/>
      <c r="CU631" s="1518"/>
      <c r="CV631" s="1518"/>
      <c r="CW631" s="1518"/>
      <c r="CX631" s="1518">
        <f t="shared" si="12"/>
        <v>0</v>
      </c>
      <c r="CY631" s="1518"/>
      <c r="CZ631" s="1518"/>
      <c r="DA631" s="1518"/>
      <c r="DB631" s="1518"/>
      <c r="DC631" s="1518">
        <f t="shared" si="13"/>
        <v>0</v>
      </c>
      <c r="DD631" s="1518"/>
      <c r="DE631" s="1518"/>
      <c r="DF631" s="1518"/>
      <c r="DG631" s="1518"/>
      <c r="DH631" s="1518">
        <f t="shared" si="14"/>
        <v>0</v>
      </c>
      <c r="DI631" s="1518"/>
      <c r="DJ631" s="1518"/>
      <c r="DK631" s="1518"/>
      <c r="DL631" s="1518"/>
      <c r="DM631" s="1518">
        <f t="shared" si="15"/>
        <v>0</v>
      </c>
      <c r="DN631" s="1518"/>
      <c r="DO631" s="1518"/>
      <c r="DP631" s="1518"/>
      <c r="DQ631" s="1518"/>
      <c r="DR631" s="1518">
        <f t="shared" si="16"/>
        <v>0</v>
      </c>
      <c r="DS631" s="1518"/>
      <c r="DT631" s="1518"/>
      <c r="DU631" s="1518"/>
      <c r="DV631" s="1518"/>
      <c r="DX631" s="1519" t="str">
        <f t="shared" si="17"/>
        <v/>
      </c>
      <c r="DY631" s="1520"/>
      <c r="DZ631" s="1520"/>
      <c r="EA631" s="1520"/>
      <c r="EB631" s="1521"/>
      <c r="EC631" s="1519" t="str">
        <f t="shared" si="18"/>
        <v/>
      </c>
      <c r="ED631" s="1520"/>
      <c r="EE631" s="1520"/>
      <c r="EF631" s="1520"/>
      <c r="EG631" s="1521"/>
      <c r="EH631" s="1519" t="str">
        <f t="shared" si="19"/>
        <v/>
      </c>
      <c r="EI631" s="1520"/>
      <c r="EJ631" s="1520"/>
      <c r="EK631" s="1520"/>
      <c r="EL631" s="1521"/>
      <c r="EM631" s="1519" t="str">
        <f t="shared" si="20"/>
        <v/>
      </c>
      <c r="EN631" s="1520"/>
      <c r="EO631" s="1520"/>
      <c r="EP631" s="1520"/>
      <c r="EQ631" s="1521"/>
      <c r="ER631" s="1519" t="str">
        <f t="shared" si="21"/>
        <v/>
      </c>
      <c r="ES631" s="1520"/>
      <c r="ET631" s="1520"/>
      <c r="EU631" s="1520"/>
      <c r="EV631" s="1521"/>
      <c r="EW631" s="1519" t="str">
        <f t="shared" si="22"/>
        <v/>
      </c>
      <c r="EX631" s="1520"/>
      <c r="EY631" s="1520"/>
      <c r="EZ631" s="1520"/>
      <c r="FA631" s="1521"/>
    </row>
    <row r="632" spans="2:157" ht="12.95" customHeight="1">
      <c r="B632" s="52" t="s">
        <v>592</v>
      </c>
      <c r="C632" s="1472"/>
      <c r="D632" s="1472"/>
      <c r="E632" s="1472"/>
      <c r="F632" s="1472"/>
      <c r="G632" s="1472"/>
      <c r="H632" s="1472"/>
      <c r="I632" s="1472"/>
      <c r="J632" s="1472"/>
      <c r="K632" s="1472"/>
      <c r="L632" s="1472"/>
      <c r="M632" s="1481" t="s">
        <v>1290</v>
      </c>
      <c r="N632" s="1481"/>
      <c r="O632" s="1481"/>
      <c r="P632" s="1481"/>
      <c r="Q632" s="1471"/>
      <c r="R632" s="1469"/>
      <c r="S632" s="1470"/>
      <c r="T632" s="1471"/>
      <c r="U632" s="1469"/>
      <c r="V632" s="1470"/>
      <c r="W632" s="1478"/>
      <c r="X632" s="1479"/>
      <c r="Y632" s="1480"/>
      <c r="Z632" s="1522" t="s">
        <v>1290</v>
      </c>
      <c r="AA632" s="1523"/>
      <c r="AB632" s="1524"/>
      <c r="AC632" s="1475"/>
      <c r="AD632" s="1476"/>
      <c r="AE632" s="1477"/>
      <c r="AF632" s="1413"/>
      <c r="AG632" s="1414"/>
      <c r="AH632" s="1414"/>
      <c r="AI632" s="1414"/>
      <c r="AJ632" s="1415"/>
      <c r="AK632" s="1419"/>
      <c r="AL632" s="1420"/>
      <c r="AM632" s="1420"/>
      <c r="AN632" s="1421"/>
      <c r="AO632" s="1393"/>
      <c r="AP632" s="1394"/>
      <c r="AQ632" s="1394"/>
      <c r="AR632" s="1394"/>
      <c r="AS632" s="1395"/>
      <c r="AT632" s="1192" t="str">
        <f t="shared" si="23"/>
        <v/>
      </c>
      <c r="AU632" s="3"/>
      <c r="AZ632" s="3"/>
      <c r="BA632" s="3"/>
      <c r="BB632" s="3"/>
      <c r="BC632" s="3"/>
      <c r="BD632" s="3"/>
      <c r="BE632" s="3"/>
      <c r="BF632" s="3"/>
      <c r="BG632" s="1519">
        <f>SUM(BG597:BH631)</f>
        <v>0</v>
      </c>
      <c r="BH632" s="1521"/>
      <c r="BI632" s="3"/>
      <c r="BJ632" s="3"/>
      <c r="BK632" s="1519">
        <f>SUM(BK597:BL631)</f>
        <v>58</v>
      </c>
      <c r="BL632" s="1521"/>
      <c r="BM632" s="3"/>
      <c r="BN632" s="1519">
        <f>SUM(BN597:BR631)</f>
        <v>45</v>
      </c>
      <c r="BO632" s="1520"/>
      <c r="BP632" s="1520"/>
      <c r="BQ632" s="1520"/>
      <c r="BR632" s="1521"/>
      <c r="BS632" s="1517">
        <f>SUM(BS597:BW631)</f>
        <v>71</v>
      </c>
      <c r="BT632" s="1517"/>
      <c r="BU632" s="1517"/>
      <c r="BV632" s="1517"/>
      <c r="BW632" s="1517"/>
      <c r="BX632" s="1517">
        <f>SUM(BX597:CB631)</f>
        <v>0</v>
      </c>
      <c r="BY632" s="1517"/>
      <c r="BZ632" s="1517"/>
      <c r="CA632" s="1517"/>
      <c r="CB632" s="1517"/>
      <c r="CC632" s="1517">
        <f>SUM(CC597:CG631)</f>
        <v>0</v>
      </c>
      <c r="CD632" s="1517"/>
      <c r="CE632" s="1517"/>
      <c r="CF632" s="1517"/>
      <c r="CG632" s="1517"/>
      <c r="CH632" s="1517">
        <f>SUM(CH597:CL631)</f>
        <v>0</v>
      </c>
      <c r="CI632" s="1517"/>
      <c r="CJ632" s="1517"/>
      <c r="CK632" s="1517"/>
      <c r="CL632" s="1517"/>
      <c r="CM632" s="1517">
        <f>SUM(CM597:CQ631)</f>
        <v>0</v>
      </c>
      <c r="CN632" s="1517"/>
      <c r="CO632" s="1517"/>
      <c r="CP632" s="1517"/>
      <c r="CQ632" s="1517"/>
      <c r="CR632" s="385"/>
      <c r="CS632" s="1517">
        <f>SUM(CS597:CW631)</f>
        <v>9</v>
      </c>
      <c r="CT632" s="1517"/>
      <c r="CU632" s="1517"/>
      <c r="CV632" s="1517"/>
      <c r="CW632" s="1517"/>
      <c r="CX632" s="1517">
        <f>SUM(CX597:DB631)</f>
        <v>49</v>
      </c>
      <c r="CY632" s="1517"/>
      <c r="CZ632" s="1517"/>
      <c r="DA632" s="1517"/>
      <c r="DB632" s="1517"/>
      <c r="DC632" s="1517">
        <f>SUM(DC597:DG631)</f>
        <v>0</v>
      </c>
      <c r="DD632" s="1517"/>
      <c r="DE632" s="1517"/>
      <c r="DF632" s="1517"/>
      <c r="DG632" s="1517"/>
      <c r="DH632" s="1517">
        <f>SUM(DH597:DL631)</f>
        <v>0</v>
      </c>
      <c r="DI632" s="1517"/>
      <c r="DJ632" s="1517"/>
      <c r="DK632" s="1517"/>
      <c r="DL632" s="1517"/>
      <c r="DM632" s="1517">
        <f>SUM(DM597:DQ631)</f>
        <v>0</v>
      </c>
      <c r="DN632" s="1517"/>
      <c r="DO632" s="1517"/>
      <c r="DP632" s="1517"/>
      <c r="DQ632" s="1517"/>
      <c r="DR632" s="1517">
        <f>SUM(DR597:DV631)</f>
        <v>0</v>
      </c>
      <c r="DS632" s="1517"/>
      <c r="DT632" s="1517"/>
      <c r="DU632" s="1517"/>
      <c r="DV632" s="1517"/>
      <c r="DX632" s="1517">
        <f>SUM(DX597:EB631)</f>
        <v>3796</v>
      </c>
      <c r="DY632" s="1517"/>
      <c r="DZ632" s="1517"/>
      <c r="EA632" s="1517"/>
      <c r="EB632" s="1517"/>
      <c r="EC632" s="1517">
        <f>SUM(EC597:EG631)</f>
        <v>2478</v>
      </c>
      <c r="ED632" s="1517"/>
      <c r="EE632" s="1517"/>
      <c r="EF632" s="1517"/>
      <c r="EG632" s="1517"/>
      <c r="EH632" s="1517">
        <f>SUM(EH597:EL631)</f>
        <v>0</v>
      </c>
      <c r="EI632" s="1517"/>
      <c r="EJ632" s="1517"/>
      <c r="EK632" s="1517"/>
      <c r="EL632" s="1517"/>
      <c r="EM632" s="1517">
        <f>SUM(EM597:EQ631)</f>
        <v>0</v>
      </c>
      <c r="EN632" s="1517"/>
      <c r="EO632" s="1517"/>
      <c r="EP632" s="1517"/>
      <c r="EQ632" s="1517"/>
      <c r="ER632" s="1517">
        <f>SUM(ER597:EV631)</f>
        <v>0</v>
      </c>
      <c r="ES632" s="1517"/>
      <c r="ET632" s="1517"/>
      <c r="EU632" s="1517"/>
      <c r="EV632" s="1517"/>
      <c r="EW632" s="1517">
        <f>SUM(EW597:FA631)</f>
        <v>0</v>
      </c>
      <c r="EX632" s="1517"/>
      <c r="EY632" s="1517"/>
      <c r="EZ632" s="1517"/>
      <c r="FA632" s="1517"/>
    </row>
    <row r="633" spans="2:157" ht="12.95" customHeight="1">
      <c r="B633" s="52" t="s">
        <v>463</v>
      </c>
      <c r="C633" s="1472"/>
      <c r="D633" s="1472"/>
      <c r="E633" s="1472"/>
      <c r="F633" s="1472"/>
      <c r="G633" s="1472"/>
      <c r="H633" s="1472"/>
      <c r="I633" s="1472"/>
      <c r="J633" s="1472"/>
      <c r="K633" s="1472"/>
      <c r="L633" s="1472"/>
      <c r="M633" s="1481" t="s">
        <v>1290</v>
      </c>
      <c r="N633" s="1481"/>
      <c r="O633" s="1481"/>
      <c r="P633" s="1481"/>
      <c r="Q633" s="1471"/>
      <c r="R633" s="1469"/>
      <c r="S633" s="1470"/>
      <c r="T633" s="1471"/>
      <c r="U633" s="1469"/>
      <c r="V633" s="1470"/>
      <c r="W633" s="1478"/>
      <c r="X633" s="1479"/>
      <c r="Y633" s="1480"/>
      <c r="Z633" s="1522" t="s">
        <v>1290</v>
      </c>
      <c r="AA633" s="1523"/>
      <c r="AB633" s="1524"/>
      <c r="AC633" s="1475"/>
      <c r="AD633" s="1476"/>
      <c r="AE633" s="1477"/>
      <c r="AF633" s="1413"/>
      <c r="AG633" s="1414"/>
      <c r="AH633" s="1414"/>
      <c r="AI633" s="1414"/>
      <c r="AJ633" s="1415"/>
      <c r="AK633" s="1419"/>
      <c r="AL633" s="1420"/>
      <c r="AM633" s="1420"/>
      <c r="AN633" s="1421"/>
      <c r="AO633" s="1393"/>
      <c r="AP633" s="1394"/>
      <c r="AQ633" s="1394"/>
      <c r="AR633" s="1394"/>
      <c r="AS633" s="139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519">
        <f>BN632+BS632+BX632+CC632+CH632+CM632</f>
        <v>116</v>
      </c>
      <c r="CN633" s="1520"/>
      <c r="CO633" s="1520"/>
      <c r="CP633" s="1520"/>
      <c r="CQ633" s="1521"/>
      <c r="CR633" s="385"/>
      <c r="CS633" s="3"/>
      <c r="CT633" s="3"/>
      <c r="CU633" s="3"/>
      <c r="CV633" s="3"/>
      <c r="CW633" s="3"/>
      <c r="CX633" s="3"/>
      <c r="CY633" s="3"/>
      <c r="CZ633" s="3"/>
      <c r="DA633" s="3"/>
      <c r="DB633" s="3"/>
      <c r="DC633" s="3"/>
      <c r="DD633" s="3"/>
      <c r="DE633" s="3"/>
      <c r="DF633" s="3"/>
    </row>
    <row r="634" spans="2:157" ht="12.95" customHeight="1">
      <c r="B634" s="52" t="s">
        <v>464</v>
      </c>
      <c r="C634" s="1472"/>
      <c r="D634" s="1472"/>
      <c r="E634" s="1472"/>
      <c r="F634" s="1472"/>
      <c r="G634" s="1472"/>
      <c r="H634" s="1472"/>
      <c r="I634" s="1472"/>
      <c r="J634" s="1472"/>
      <c r="K634" s="1472"/>
      <c r="L634" s="1472"/>
      <c r="M634" s="1481" t="s">
        <v>1290</v>
      </c>
      <c r="N634" s="1481"/>
      <c r="O634" s="1481"/>
      <c r="P634" s="1481"/>
      <c r="Q634" s="1471"/>
      <c r="R634" s="1469"/>
      <c r="S634" s="1470"/>
      <c r="T634" s="1471"/>
      <c r="U634" s="1469"/>
      <c r="V634" s="1470"/>
      <c r="W634" s="1478"/>
      <c r="X634" s="1479"/>
      <c r="Y634" s="1480"/>
      <c r="Z634" s="1522" t="s">
        <v>1290</v>
      </c>
      <c r="AA634" s="1523"/>
      <c r="AB634" s="1524"/>
      <c r="AC634" s="1475"/>
      <c r="AD634" s="1476"/>
      <c r="AE634" s="1477"/>
      <c r="AF634" s="1413"/>
      <c r="AG634" s="1414"/>
      <c r="AH634" s="1414"/>
      <c r="AI634" s="1414"/>
      <c r="AJ634" s="1415"/>
      <c r="AK634" s="1419"/>
      <c r="AL634" s="1420"/>
      <c r="AM634" s="1420"/>
      <c r="AN634" s="1421"/>
      <c r="AO634" s="1393"/>
      <c r="AP634" s="1394"/>
      <c r="AQ634" s="1394"/>
      <c r="AR634" s="1394"/>
      <c r="AS634" s="139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45</v>
      </c>
      <c r="BS634" s="3"/>
      <c r="BT634" s="3"/>
      <c r="BU634" s="3"/>
      <c r="BV634" s="3"/>
      <c r="BW634" s="895">
        <f>BS632*1</f>
        <v>71</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116</v>
      </c>
      <c r="CT634" s="57" t="s">
        <v>2052</v>
      </c>
      <c r="CU634" s="3"/>
      <c r="CV634" s="3"/>
      <c r="CW634" s="3"/>
      <c r="CX634" s="3"/>
      <c r="CY634" s="3"/>
      <c r="CZ634" s="3"/>
      <c r="DA634" s="3"/>
      <c r="DB634" s="3"/>
      <c r="DC634" s="3"/>
      <c r="DD634" s="3"/>
      <c r="DE634" s="3"/>
      <c r="DF634" s="3"/>
    </row>
    <row r="635" spans="2:157" ht="12.95" customHeight="1">
      <c r="B635" s="52" t="s">
        <v>469</v>
      </c>
      <c r="C635" s="1472"/>
      <c r="D635" s="1472"/>
      <c r="E635" s="1472"/>
      <c r="F635" s="1472"/>
      <c r="G635" s="1472"/>
      <c r="H635" s="1472"/>
      <c r="I635" s="1472"/>
      <c r="J635" s="1472"/>
      <c r="K635" s="1472"/>
      <c r="L635" s="1472"/>
      <c r="M635" s="1481" t="s">
        <v>1290</v>
      </c>
      <c r="N635" s="1481"/>
      <c r="O635" s="1481"/>
      <c r="P635" s="1481"/>
      <c r="Q635" s="1471"/>
      <c r="R635" s="1469"/>
      <c r="S635" s="1470"/>
      <c r="T635" s="1471"/>
      <c r="U635" s="1469"/>
      <c r="V635" s="1470"/>
      <c r="W635" s="1478"/>
      <c r="X635" s="1479"/>
      <c r="Y635" s="1480"/>
      <c r="Z635" s="1522" t="s">
        <v>1290</v>
      </c>
      <c r="AA635" s="1523"/>
      <c r="AB635" s="1524"/>
      <c r="AC635" s="1475"/>
      <c r="AD635" s="1476"/>
      <c r="AE635" s="1477"/>
      <c r="AF635" s="1413"/>
      <c r="AG635" s="1414"/>
      <c r="AH635" s="1414"/>
      <c r="AI635" s="1414"/>
      <c r="AJ635" s="1415"/>
      <c r="AK635" s="1419"/>
      <c r="AL635" s="1420"/>
      <c r="AM635" s="1420"/>
      <c r="AN635" s="1421"/>
      <c r="AO635" s="1393"/>
      <c r="AP635" s="1394"/>
      <c r="AQ635" s="1394"/>
      <c r="AR635" s="1394"/>
      <c r="AS635" s="1395"/>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3">
        <f>DX597*(BN597/$BN$632)</f>
        <v>139.80000000000001</v>
      </c>
      <c r="DY635" s="1493"/>
      <c r="DZ635" s="1493"/>
      <c r="EA635" s="1493"/>
      <c r="EB635" s="1493"/>
      <c r="EC635" s="1493" t="e">
        <f t="shared" ref="EC635:EC657" si="24">EC597*(BS597/$BS$632)</f>
        <v>#VALUE!</v>
      </c>
      <c r="ED635" s="1493"/>
      <c r="EE635" s="1493"/>
      <c r="EF635" s="1493"/>
      <c r="EG635" s="1493"/>
      <c r="EH635" s="1493" t="e">
        <f t="shared" ref="EH635:EH657" si="25">EH597*(BX597/$BX$632)</f>
        <v>#VALUE!</v>
      </c>
      <c r="EI635" s="1493"/>
      <c r="EJ635" s="1493"/>
      <c r="EK635" s="1493"/>
      <c r="EL635" s="1493"/>
      <c r="EM635" s="1493" t="e">
        <f t="shared" ref="EM635:EM657" si="26">EM597*(CC597/$CC$632)</f>
        <v>#VALUE!</v>
      </c>
      <c r="EN635" s="1493"/>
      <c r="EO635" s="1493"/>
      <c r="EP635" s="1493"/>
      <c r="EQ635" s="1493"/>
      <c r="ER635" s="1493" t="e">
        <f t="shared" ref="ER635:ER657" si="27">ER597*(CH597/$CH$632)</f>
        <v>#VALUE!</v>
      </c>
      <c r="ES635" s="1493"/>
      <c r="ET635" s="1493"/>
      <c r="EU635" s="1493"/>
      <c r="EV635" s="1493"/>
      <c r="EW635" s="1493" t="e">
        <f t="shared" ref="EW635:EW657" si="28">EW597*(CM597/$CM$632)</f>
        <v>#VALUE!</v>
      </c>
      <c r="EX635" s="1493"/>
      <c r="EY635" s="1493"/>
      <c r="EZ635" s="1493"/>
      <c r="FA635" s="1493"/>
    </row>
    <row r="636" spans="2:157" ht="12.95" customHeight="1">
      <c r="B636" s="52" t="s">
        <v>654</v>
      </c>
      <c r="C636" s="1472"/>
      <c r="D636" s="1472"/>
      <c r="E636" s="1472"/>
      <c r="F636" s="1472"/>
      <c r="G636" s="1472"/>
      <c r="H636" s="1472"/>
      <c r="I636" s="1472"/>
      <c r="J636" s="1472"/>
      <c r="K636" s="1472"/>
      <c r="L636" s="1472"/>
      <c r="M636" s="1481" t="s">
        <v>1290</v>
      </c>
      <c r="N636" s="1481"/>
      <c r="O636" s="1481"/>
      <c r="P636" s="1481"/>
      <c r="Q636" s="1471"/>
      <c r="R636" s="1469"/>
      <c r="S636" s="1470"/>
      <c r="T636" s="1471"/>
      <c r="U636" s="1469"/>
      <c r="V636" s="1470"/>
      <c r="W636" s="1478"/>
      <c r="X636" s="1479"/>
      <c r="Y636" s="1480"/>
      <c r="Z636" s="1522" t="s">
        <v>1290</v>
      </c>
      <c r="AA636" s="1523"/>
      <c r="AB636" s="1524"/>
      <c r="AC636" s="1475"/>
      <c r="AD636" s="1476"/>
      <c r="AE636" s="1477"/>
      <c r="AF636" s="1413"/>
      <c r="AG636" s="1414"/>
      <c r="AH636" s="1414"/>
      <c r="AI636" s="1414"/>
      <c r="AJ636" s="1415"/>
      <c r="AK636" s="1419"/>
      <c r="AL636" s="1420"/>
      <c r="AM636" s="1420"/>
      <c r="AN636" s="1421"/>
      <c r="AO636" s="1393"/>
      <c r="AP636" s="1394"/>
      <c r="AQ636" s="1394"/>
      <c r="AR636" s="1394"/>
      <c r="AS636" s="1395"/>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3">
        <f t="shared" ref="DX636:DX657" si="29">DX598*(BN598/$BN$632)</f>
        <v>539.08888888888885</v>
      </c>
      <c r="DY636" s="1493"/>
      <c r="DZ636" s="1493"/>
      <c r="EA636" s="1493"/>
      <c r="EB636" s="1493"/>
      <c r="EC636" s="1493" t="e">
        <f t="shared" si="24"/>
        <v>#VALUE!</v>
      </c>
      <c r="ED636" s="1493"/>
      <c r="EE636" s="1493"/>
      <c r="EF636" s="1493"/>
      <c r="EG636" s="1493"/>
      <c r="EH636" s="1493" t="e">
        <f t="shared" si="25"/>
        <v>#VALUE!</v>
      </c>
      <c r="EI636" s="1493"/>
      <c r="EJ636" s="1493"/>
      <c r="EK636" s="1493"/>
      <c r="EL636" s="1493"/>
      <c r="EM636" s="1493" t="e">
        <f t="shared" si="26"/>
        <v>#VALUE!</v>
      </c>
      <c r="EN636" s="1493"/>
      <c r="EO636" s="1493"/>
      <c r="EP636" s="1493"/>
      <c r="EQ636" s="1493"/>
      <c r="ER636" s="1493" t="e">
        <f t="shared" si="27"/>
        <v>#VALUE!</v>
      </c>
      <c r="ES636" s="1493"/>
      <c r="ET636" s="1493"/>
      <c r="EU636" s="1493"/>
      <c r="EV636" s="1493"/>
      <c r="EW636" s="1493" t="e">
        <f t="shared" si="28"/>
        <v>#VALUE!</v>
      </c>
      <c r="EX636" s="1493"/>
      <c r="EY636" s="1493"/>
      <c r="EZ636" s="1493"/>
      <c r="FA636" s="1493"/>
    </row>
    <row r="637" spans="2:157" ht="12.95" customHeight="1">
      <c r="B637" s="52" t="s">
        <v>363</v>
      </c>
      <c r="C637" s="1472"/>
      <c r="D637" s="1472"/>
      <c r="E637" s="1472"/>
      <c r="F637" s="1472"/>
      <c r="G637" s="1472"/>
      <c r="H637" s="1472"/>
      <c r="I637" s="1472"/>
      <c r="J637" s="1472"/>
      <c r="K637" s="1472"/>
      <c r="L637" s="1472"/>
      <c r="M637" s="1481" t="s">
        <v>1290</v>
      </c>
      <c r="N637" s="1481"/>
      <c r="O637" s="1481"/>
      <c r="P637" s="1481"/>
      <c r="Q637" s="1471"/>
      <c r="R637" s="1469"/>
      <c r="S637" s="1470"/>
      <c r="T637" s="1471"/>
      <c r="U637" s="1469"/>
      <c r="V637" s="1470"/>
      <c r="W637" s="1478"/>
      <c r="X637" s="1479"/>
      <c r="Y637" s="1480"/>
      <c r="Z637" s="1522" t="s">
        <v>1290</v>
      </c>
      <c r="AA637" s="1523"/>
      <c r="AB637" s="1524"/>
      <c r="AC637" s="1475"/>
      <c r="AD637" s="1476"/>
      <c r="AE637" s="1477"/>
      <c r="AF637" s="1413"/>
      <c r="AG637" s="1414"/>
      <c r="AH637" s="1414"/>
      <c r="AI637" s="1414"/>
      <c r="AJ637" s="1415"/>
      <c r="AK637" s="1419"/>
      <c r="AL637" s="1420"/>
      <c r="AM637" s="1420"/>
      <c r="AN637" s="1421"/>
      <c r="AO637" s="1393"/>
      <c r="AP637" s="1394"/>
      <c r="AQ637" s="1394"/>
      <c r="AR637" s="1394"/>
      <c r="AS637" s="1395"/>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507">
        <f>IF(J773="SRO/Studio",O773,0)</f>
        <v>0</v>
      </c>
      <c r="BO637" s="1508"/>
      <c r="BP637" s="1508"/>
      <c r="BQ637" s="1508"/>
      <c r="BR637" s="1509"/>
      <c r="BS637" s="1510">
        <f>IF(J773="1 Bedroom",O773,0)</f>
        <v>0</v>
      </c>
      <c r="BT637" s="1510"/>
      <c r="BU637" s="1510"/>
      <c r="BV637" s="1510"/>
      <c r="BW637" s="1510"/>
      <c r="BX637" s="1510">
        <f>IF(J773="2 Bedrooms",O773,0)</f>
        <v>1</v>
      </c>
      <c r="BY637" s="1510"/>
      <c r="BZ637" s="1510"/>
      <c r="CA637" s="1510"/>
      <c r="CB637" s="1510"/>
      <c r="CC637" s="1510">
        <f>IF(J773="3 Bedrooms",O773,0)</f>
        <v>0</v>
      </c>
      <c r="CD637" s="1510"/>
      <c r="CE637" s="1510"/>
      <c r="CF637" s="1510"/>
      <c r="CG637" s="1510"/>
      <c r="CH637" s="1510">
        <f>IF(J773="4 Bedrooms",O773,0)</f>
        <v>0</v>
      </c>
      <c r="CI637" s="1510"/>
      <c r="CJ637" s="1510"/>
      <c r="CK637" s="1510"/>
      <c r="CL637" s="1510"/>
      <c r="CM637" s="1510">
        <f>IF(J773="5 Bedrooms",O773,0)</f>
        <v>0</v>
      </c>
      <c r="CN637" s="1510"/>
      <c r="CO637" s="1510"/>
      <c r="CP637" s="1510"/>
      <c r="CQ637" s="1510"/>
      <c r="CR637" s="6"/>
      <c r="CS637" s="3"/>
      <c r="CT637" s="3"/>
      <c r="CU637" s="3"/>
      <c r="CV637" s="3"/>
      <c r="CW637" s="3"/>
      <c r="CX637" s="3"/>
      <c r="CY637" s="3"/>
      <c r="CZ637" s="3"/>
      <c r="DA637" s="3"/>
      <c r="DB637" s="3"/>
      <c r="DC637" s="3"/>
      <c r="DD637" s="3"/>
      <c r="DE637" s="3"/>
      <c r="DF637" s="3"/>
      <c r="DX637" s="1493">
        <f t="shared" si="29"/>
        <v>705.11111111111109</v>
      </c>
      <c r="DY637" s="1493"/>
      <c r="DZ637" s="1493"/>
      <c r="EA637" s="1493"/>
      <c r="EB637" s="1493"/>
      <c r="EC637" s="1493" t="e">
        <f t="shared" si="24"/>
        <v>#VALUE!</v>
      </c>
      <c r="ED637" s="1493"/>
      <c r="EE637" s="1493"/>
      <c r="EF637" s="1493"/>
      <c r="EG637" s="1493"/>
      <c r="EH637" s="1493" t="e">
        <f t="shared" si="25"/>
        <v>#VALUE!</v>
      </c>
      <c r="EI637" s="1493"/>
      <c r="EJ637" s="1493"/>
      <c r="EK637" s="1493"/>
      <c r="EL637" s="1493"/>
      <c r="EM637" s="1493" t="e">
        <f t="shared" si="26"/>
        <v>#VALUE!</v>
      </c>
      <c r="EN637" s="1493"/>
      <c r="EO637" s="1493"/>
      <c r="EP637" s="1493"/>
      <c r="EQ637" s="1493"/>
      <c r="ER637" s="1493" t="e">
        <f t="shared" si="27"/>
        <v>#VALUE!</v>
      </c>
      <c r="ES637" s="1493"/>
      <c r="ET637" s="1493"/>
      <c r="EU637" s="1493"/>
      <c r="EV637" s="1493"/>
      <c r="EW637" s="1493" t="e">
        <f t="shared" si="28"/>
        <v>#VALUE!</v>
      </c>
      <c r="EX637" s="1493"/>
      <c r="EY637" s="1493"/>
      <c r="EZ637" s="1493"/>
      <c r="FA637" s="1493"/>
    </row>
    <row r="638" spans="2:157" ht="12.95" customHeight="1">
      <c r="B638" s="52" t="s">
        <v>364</v>
      </c>
      <c r="C638" s="1472"/>
      <c r="D638" s="1472"/>
      <c r="E638" s="1472"/>
      <c r="F638" s="1472"/>
      <c r="G638" s="1472"/>
      <c r="H638" s="1472"/>
      <c r="I638" s="1472"/>
      <c r="J638" s="1472"/>
      <c r="K638" s="1472"/>
      <c r="L638" s="1472"/>
      <c r="M638" s="1481" t="s">
        <v>1290</v>
      </c>
      <c r="N638" s="1481"/>
      <c r="O638" s="1481"/>
      <c r="P638" s="1481"/>
      <c r="Q638" s="1471"/>
      <c r="R638" s="1469"/>
      <c r="S638" s="1470"/>
      <c r="T638" s="1471"/>
      <c r="U638" s="1469"/>
      <c r="V638" s="1470"/>
      <c r="W638" s="1478"/>
      <c r="X638" s="1479"/>
      <c r="Y638" s="1480"/>
      <c r="Z638" s="1522" t="s">
        <v>1290</v>
      </c>
      <c r="AA638" s="1523"/>
      <c r="AB638" s="1524"/>
      <c r="AC638" s="1475"/>
      <c r="AD638" s="1476"/>
      <c r="AE638" s="1477"/>
      <c r="AF638" s="1413"/>
      <c r="AG638" s="1414"/>
      <c r="AH638" s="1414"/>
      <c r="AI638" s="1414"/>
      <c r="AJ638" s="1415"/>
      <c r="AK638" s="1419"/>
      <c r="AL638" s="1420"/>
      <c r="AM638" s="1420"/>
      <c r="AN638" s="1421"/>
      <c r="AO638" s="1393"/>
      <c r="AP638" s="1394"/>
      <c r="AQ638" s="1394"/>
      <c r="AR638" s="1394"/>
      <c r="AS638" s="139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507">
        <f>IF(J774="SRO/Studio",O774,0)</f>
        <v>0</v>
      </c>
      <c r="BO638" s="1508"/>
      <c r="BP638" s="1508"/>
      <c r="BQ638" s="1508"/>
      <c r="BR638" s="1509"/>
      <c r="BS638" s="1510">
        <f>IF(J774="1 Bedroom",O774,0)</f>
        <v>0</v>
      </c>
      <c r="BT638" s="1510"/>
      <c r="BU638" s="1510"/>
      <c r="BV638" s="1510"/>
      <c r="BW638" s="1510"/>
      <c r="BX638" s="1510">
        <f>IF(J774="2 Bedrooms",O774,0)</f>
        <v>0</v>
      </c>
      <c r="BY638" s="1510"/>
      <c r="BZ638" s="1510"/>
      <c r="CA638" s="1510"/>
      <c r="CB638" s="1510"/>
      <c r="CC638" s="1510">
        <f>IF(J774="3 Bedrooms",O774,0)</f>
        <v>0</v>
      </c>
      <c r="CD638" s="1510"/>
      <c r="CE638" s="1510"/>
      <c r="CF638" s="1510"/>
      <c r="CG638" s="1510"/>
      <c r="CH638" s="1510">
        <f>IF(J774="4 Bedrooms",O774,0)</f>
        <v>0</v>
      </c>
      <c r="CI638" s="1510"/>
      <c r="CJ638" s="1510"/>
      <c r="CK638" s="1510"/>
      <c r="CL638" s="1510"/>
      <c r="CM638" s="1510">
        <f>IF(J774="5 Bedrooms",O774,0)</f>
        <v>0</v>
      </c>
      <c r="CN638" s="1510"/>
      <c r="CO638" s="1510"/>
      <c r="CP638" s="1510"/>
      <c r="CQ638" s="1510"/>
      <c r="CR638" s="6"/>
      <c r="CS638" s="3"/>
      <c r="CT638" s="3"/>
      <c r="CU638" s="3"/>
      <c r="CV638" s="3"/>
      <c r="CW638" s="3"/>
      <c r="CX638" s="3"/>
      <c r="CY638" s="3"/>
      <c r="CZ638" s="3"/>
      <c r="DA638" s="3"/>
      <c r="DB638" s="3"/>
      <c r="DC638" s="3"/>
      <c r="DD638" s="3"/>
      <c r="DE638" s="3"/>
      <c r="DF638" s="3"/>
      <c r="DX638" s="1493" t="e">
        <f t="shared" si="29"/>
        <v>#VALUE!</v>
      </c>
      <c r="DY638" s="1493"/>
      <c r="DZ638" s="1493"/>
      <c r="EA638" s="1493"/>
      <c r="EB638" s="1493"/>
      <c r="EC638" s="1493">
        <f t="shared" si="24"/>
        <v>510.01408450704224</v>
      </c>
      <c r="ED638" s="1493"/>
      <c r="EE638" s="1493"/>
      <c r="EF638" s="1493"/>
      <c r="EG638" s="1493"/>
      <c r="EH638" s="1493" t="e">
        <f t="shared" si="25"/>
        <v>#VALUE!</v>
      </c>
      <c r="EI638" s="1493"/>
      <c r="EJ638" s="1493"/>
      <c r="EK638" s="1493"/>
      <c r="EL638" s="1493"/>
      <c r="EM638" s="1493" t="e">
        <f t="shared" si="26"/>
        <v>#VALUE!</v>
      </c>
      <c r="EN638" s="1493"/>
      <c r="EO638" s="1493"/>
      <c r="EP638" s="1493"/>
      <c r="EQ638" s="1493"/>
      <c r="ER638" s="1493" t="e">
        <f t="shared" si="27"/>
        <v>#VALUE!</v>
      </c>
      <c r="ES638" s="1493"/>
      <c r="ET638" s="1493"/>
      <c r="EU638" s="1493"/>
      <c r="EV638" s="1493"/>
      <c r="EW638" s="1493" t="e">
        <f t="shared" si="28"/>
        <v>#VALUE!</v>
      </c>
      <c r="EX638" s="1493"/>
      <c r="EY638" s="1493"/>
      <c r="EZ638" s="1493"/>
      <c r="FA638" s="1493"/>
    </row>
    <row r="639" spans="2:157" ht="12.95" customHeight="1">
      <c r="B639" s="1500" t="s">
        <v>128</v>
      </c>
      <c r="C639" s="1501"/>
      <c r="D639" s="1501"/>
      <c r="E639" s="1501"/>
      <c r="F639" s="1501"/>
      <c r="G639" s="1501"/>
      <c r="H639" s="1501"/>
      <c r="I639" s="1501"/>
      <c r="J639" s="1501"/>
      <c r="K639" s="1501"/>
      <c r="L639" s="1501"/>
      <c r="M639" s="1501"/>
      <c r="N639" s="1501"/>
      <c r="O639" s="1501"/>
      <c r="P639" s="1501"/>
      <c r="Q639" s="1501"/>
      <c r="R639" s="1501"/>
      <c r="S639" s="1501"/>
      <c r="T639" s="1501"/>
      <c r="U639" s="1501"/>
      <c r="V639" s="1501"/>
      <c r="W639" s="1501"/>
      <c r="X639" s="1501"/>
      <c r="Y639" s="1501"/>
      <c r="Z639" s="1501"/>
      <c r="AA639" s="1501"/>
      <c r="AB639" s="1501"/>
      <c r="AC639" s="1501"/>
      <c r="AD639" s="1501"/>
      <c r="AE639" s="1501"/>
      <c r="AF639" s="1501"/>
      <c r="AG639" s="1501"/>
      <c r="AH639" s="1501"/>
      <c r="AI639" s="1501"/>
      <c r="AJ639" s="1501"/>
      <c r="AK639" s="1501"/>
      <c r="AL639" s="1501"/>
      <c r="AM639" s="1501"/>
      <c r="AN639" s="1502"/>
      <c r="AO639" s="1389">
        <f>SUM(AO627:AR638)</f>
        <v>43131253</v>
      </c>
      <c r="AP639" s="1390"/>
      <c r="AQ639" s="1390"/>
      <c r="AR639" s="1390"/>
      <c r="AS639" s="1391"/>
      <c r="AV639" s="3"/>
      <c r="AW639" s="3"/>
      <c r="AX639" s="3"/>
      <c r="AY639" s="3"/>
      <c r="AZ639" s="34"/>
      <c r="BA639" s="34"/>
      <c r="BB639" s="34"/>
      <c r="BC639" s="34"/>
      <c r="BD639" s="34"/>
      <c r="BE639" s="34"/>
      <c r="BF639" s="34"/>
      <c r="BG639" s="34"/>
      <c r="BH639" s="34"/>
      <c r="BI639" s="34"/>
      <c r="BJ639" s="34"/>
      <c r="BK639" s="34"/>
      <c r="BL639" s="34"/>
      <c r="BM639" s="34"/>
      <c r="BN639" s="1507">
        <f>IF(J775="SRO/Studio",O775,0)</f>
        <v>0</v>
      </c>
      <c r="BO639" s="1508"/>
      <c r="BP639" s="1508"/>
      <c r="BQ639" s="1508"/>
      <c r="BR639" s="1509"/>
      <c r="BS639" s="1510">
        <f>IF(J775="1 Bedroom",O775,0)</f>
        <v>0</v>
      </c>
      <c r="BT639" s="1510"/>
      <c r="BU639" s="1510"/>
      <c r="BV639" s="1510"/>
      <c r="BW639" s="1510"/>
      <c r="BX639" s="1510">
        <f>IF(J775="2 Bedrooms",O775,0)</f>
        <v>0</v>
      </c>
      <c r="BY639" s="1510"/>
      <c r="BZ639" s="1510"/>
      <c r="CA639" s="1510"/>
      <c r="CB639" s="1510"/>
      <c r="CC639" s="1510">
        <f>IF(J775="3 Bedrooms",O775,0)</f>
        <v>0</v>
      </c>
      <c r="CD639" s="1510"/>
      <c r="CE639" s="1510"/>
      <c r="CF639" s="1510"/>
      <c r="CG639" s="1510"/>
      <c r="CH639" s="1510">
        <f>IF(J775="4 Bedrooms",O775,0)</f>
        <v>0</v>
      </c>
      <c r="CI639" s="1510"/>
      <c r="CJ639" s="1510"/>
      <c r="CK639" s="1510"/>
      <c r="CL639" s="1510"/>
      <c r="CM639" s="1510">
        <f>IF(J775="5 Bedrooms",O775,0)</f>
        <v>0</v>
      </c>
      <c r="CN639" s="1510"/>
      <c r="CO639" s="1510"/>
      <c r="CP639" s="1510"/>
      <c r="CQ639" s="1510"/>
      <c r="CR639" s="1047"/>
      <c r="CV639" s="3"/>
      <c r="CW639" s="3"/>
      <c r="CX639" s="3"/>
      <c r="CY639" s="3"/>
      <c r="CZ639" s="3"/>
      <c r="DA639" s="3"/>
      <c r="DB639" s="3"/>
      <c r="DC639" s="3"/>
      <c r="DD639" s="3"/>
      <c r="DE639" s="3"/>
      <c r="DF639" s="3"/>
      <c r="DX639" s="1493" t="e">
        <f t="shared" si="29"/>
        <v>#VALUE!</v>
      </c>
      <c r="DY639" s="1493"/>
      <c r="DZ639" s="1493"/>
      <c r="EA639" s="1493"/>
      <c r="EB639" s="1493"/>
      <c r="EC639" s="1493">
        <f t="shared" si="24"/>
        <v>538.84507042253517</v>
      </c>
      <c r="ED639" s="1493"/>
      <c r="EE639" s="1493"/>
      <c r="EF639" s="1493"/>
      <c r="EG639" s="1493"/>
      <c r="EH639" s="1493" t="e">
        <f t="shared" si="25"/>
        <v>#VALUE!</v>
      </c>
      <c r="EI639" s="1493"/>
      <c r="EJ639" s="1493"/>
      <c r="EK639" s="1493"/>
      <c r="EL639" s="1493"/>
      <c r="EM639" s="1493" t="e">
        <f t="shared" si="26"/>
        <v>#VALUE!</v>
      </c>
      <c r="EN639" s="1493"/>
      <c r="EO639" s="1493"/>
      <c r="EP639" s="1493"/>
      <c r="EQ639" s="1493"/>
      <c r="ER639" s="1493" t="e">
        <f t="shared" si="27"/>
        <v>#VALUE!</v>
      </c>
      <c r="ES639" s="1493"/>
      <c r="ET639" s="1493"/>
      <c r="EU639" s="1493"/>
      <c r="EV639" s="1493"/>
      <c r="EW639" s="1493" t="e">
        <f t="shared" si="28"/>
        <v>#VALUE!</v>
      </c>
      <c r="EX639" s="1493"/>
      <c r="EY639" s="1493"/>
      <c r="EZ639" s="1493"/>
      <c r="FA639" s="1493"/>
    </row>
    <row r="640" spans="2:157" ht="12.95" customHeight="1">
      <c r="B640" s="1500" t="s">
        <v>268</v>
      </c>
      <c r="C640" s="1501"/>
      <c r="D640" s="1501"/>
      <c r="E640" s="1501"/>
      <c r="F640" s="1501"/>
      <c r="G640" s="1501"/>
      <c r="H640" s="1501"/>
      <c r="I640" s="1501"/>
      <c r="J640" s="1501"/>
      <c r="K640" s="1501"/>
      <c r="L640" s="1501"/>
      <c r="M640" s="1501"/>
      <c r="N640" s="1501"/>
      <c r="O640" s="1501"/>
      <c r="P640" s="1501"/>
      <c r="Q640" s="1501"/>
      <c r="R640" s="1501"/>
      <c r="S640" s="1501"/>
      <c r="T640" s="1501"/>
      <c r="U640" s="1501"/>
      <c r="V640" s="1501"/>
      <c r="W640" s="1501"/>
      <c r="X640" s="1501"/>
      <c r="Y640" s="1501"/>
      <c r="Z640" s="1501"/>
      <c r="AA640" s="1501"/>
      <c r="AB640" s="1501"/>
      <c r="AC640" s="1501"/>
      <c r="AD640" s="1501"/>
      <c r="AE640" s="1501"/>
      <c r="AF640" s="1501"/>
      <c r="AG640" s="1501"/>
      <c r="AH640" s="1501"/>
      <c r="AI640" s="1501"/>
      <c r="AJ640" s="1501"/>
      <c r="AK640" s="1501"/>
      <c r="AL640" s="1501"/>
      <c r="AM640" s="1501"/>
      <c r="AN640" s="1502"/>
      <c r="AO640" s="1393">
        <v>32112697</v>
      </c>
      <c r="AP640" s="1394"/>
      <c r="AQ640" s="1394"/>
      <c r="AR640" s="1394"/>
      <c r="AS640" s="1395"/>
      <c r="AV640" s="3"/>
      <c r="AW640" s="3"/>
      <c r="AX640" s="3"/>
      <c r="AY640" s="3"/>
      <c r="AZ640" s="34"/>
      <c r="BA640" s="34"/>
      <c r="BB640" s="34"/>
      <c r="BC640" s="34"/>
      <c r="BD640" s="34"/>
      <c r="BE640" s="34"/>
      <c r="BF640" s="34"/>
      <c r="BG640" s="34"/>
      <c r="BH640" s="34"/>
      <c r="BI640" s="34"/>
      <c r="BJ640" s="34"/>
      <c r="BK640" s="34"/>
      <c r="BL640" s="34"/>
      <c r="BM640" s="34"/>
      <c r="BN640" s="1507">
        <f>IF(J776="SRO/Studio",O776,0)</f>
        <v>0</v>
      </c>
      <c r="BO640" s="1508"/>
      <c r="BP640" s="1508"/>
      <c r="BQ640" s="1508"/>
      <c r="BR640" s="1509"/>
      <c r="BS640" s="1510">
        <f>IF(J776="1 Bedroom",O776,0)</f>
        <v>0</v>
      </c>
      <c r="BT640" s="1510"/>
      <c r="BU640" s="1510"/>
      <c r="BV640" s="1510"/>
      <c r="BW640" s="1510"/>
      <c r="BX640" s="1510">
        <f>IF(J776="2 Bedrooms",O776,0)</f>
        <v>0</v>
      </c>
      <c r="BY640" s="1510"/>
      <c r="BZ640" s="1510"/>
      <c r="CA640" s="1510"/>
      <c r="CB640" s="1510"/>
      <c r="CC640" s="1510">
        <f>IF(J776="3 Bedrooms",O776,0)</f>
        <v>0</v>
      </c>
      <c r="CD640" s="1510"/>
      <c r="CE640" s="1510"/>
      <c r="CF640" s="1510"/>
      <c r="CG640" s="1510"/>
      <c r="CH640" s="1510">
        <f>IF(J776="4 Bedrooms",O776,0)</f>
        <v>0</v>
      </c>
      <c r="CI640" s="1510"/>
      <c r="CJ640" s="1510"/>
      <c r="CK640" s="1510"/>
      <c r="CL640" s="1510"/>
      <c r="CM640" s="1510">
        <f>IF(J776="5 Bedrooms",O776,0)</f>
        <v>0</v>
      </c>
      <c r="CN640" s="1510"/>
      <c r="CO640" s="1510"/>
      <c r="CP640" s="1510"/>
      <c r="CQ640" s="1510"/>
      <c r="CV640" s="3"/>
      <c r="CW640" s="3"/>
      <c r="CX640" s="3"/>
      <c r="CY640" s="3"/>
      <c r="CZ640" s="3"/>
      <c r="DA640" s="3"/>
      <c r="DB640" s="3"/>
      <c r="DC640" s="3"/>
      <c r="DD640" s="3"/>
      <c r="DE640" s="3"/>
      <c r="DF640" s="3"/>
      <c r="DX640" s="1493" t="e">
        <f t="shared" si="29"/>
        <v>#VALUE!</v>
      </c>
      <c r="DY640" s="1493"/>
      <c r="DZ640" s="1493"/>
      <c r="EA640" s="1493"/>
      <c r="EB640" s="1493"/>
      <c r="EC640" s="1493" t="e">
        <f t="shared" si="24"/>
        <v>#VALUE!</v>
      </c>
      <c r="ED640" s="1493"/>
      <c r="EE640" s="1493"/>
      <c r="EF640" s="1493"/>
      <c r="EG640" s="1493"/>
      <c r="EH640" s="1493" t="e">
        <f t="shared" si="25"/>
        <v>#VALUE!</v>
      </c>
      <c r="EI640" s="1493"/>
      <c r="EJ640" s="1493"/>
      <c r="EK640" s="1493"/>
      <c r="EL640" s="1493"/>
      <c r="EM640" s="1493" t="e">
        <f t="shared" si="26"/>
        <v>#VALUE!</v>
      </c>
      <c r="EN640" s="1493"/>
      <c r="EO640" s="1493"/>
      <c r="EP640" s="1493"/>
      <c r="EQ640" s="1493"/>
      <c r="ER640" s="1493" t="e">
        <f t="shared" si="27"/>
        <v>#VALUE!</v>
      </c>
      <c r="ES640" s="1493"/>
      <c r="ET640" s="1493"/>
      <c r="EU640" s="1493"/>
      <c r="EV640" s="1493"/>
      <c r="EW640" s="1493" t="e">
        <f t="shared" si="28"/>
        <v>#VALUE!</v>
      </c>
      <c r="EX640" s="1493"/>
      <c r="EY640" s="1493"/>
      <c r="EZ640" s="1493"/>
      <c r="FA640" s="1493"/>
    </row>
    <row r="641" spans="1:157" ht="12.95" customHeight="1">
      <c r="B641" s="1503" t="s">
        <v>269</v>
      </c>
      <c r="C641" s="1504"/>
      <c r="D641" s="1504"/>
      <c r="E641" s="1504"/>
      <c r="F641" s="1504"/>
      <c r="G641" s="1504"/>
      <c r="H641" s="1504"/>
      <c r="I641" s="1504"/>
      <c r="J641" s="1504"/>
      <c r="K641" s="1504"/>
      <c r="L641" s="1504"/>
      <c r="M641" s="1504"/>
      <c r="N641" s="1504"/>
      <c r="O641" s="1504"/>
      <c r="P641" s="1504"/>
      <c r="Q641" s="1504"/>
      <c r="R641" s="1504"/>
      <c r="S641" s="1504"/>
      <c r="T641" s="1504"/>
      <c r="U641" s="1504"/>
      <c r="V641" s="1504"/>
      <c r="W641" s="1504"/>
      <c r="X641" s="1504"/>
      <c r="Y641" s="1504"/>
      <c r="Z641" s="1504"/>
      <c r="AA641" s="1504"/>
      <c r="AB641" s="1504"/>
      <c r="AC641" s="1504"/>
      <c r="AD641" s="1504"/>
      <c r="AE641" s="1504"/>
      <c r="AF641" s="1504"/>
      <c r="AG641" s="1504"/>
      <c r="AH641" s="1504"/>
      <c r="AI641" s="1504"/>
      <c r="AJ641" s="1504"/>
      <c r="AK641" s="1504"/>
      <c r="AL641" s="1504"/>
      <c r="AM641" s="1504"/>
      <c r="AN641" s="1505"/>
      <c r="AO641" s="1389">
        <f>AO639+AO640</f>
        <v>75243950</v>
      </c>
      <c r="AP641" s="1390"/>
      <c r="AQ641" s="1390"/>
      <c r="AR641" s="1390"/>
      <c r="AS641" s="1391"/>
      <c r="AV641" s="3"/>
      <c r="AW641" s="3"/>
      <c r="AX641" s="3"/>
      <c r="AY641" s="3"/>
      <c r="AZ641" s="34"/>
      <c r="BA641" s="34"/>
      <c r="BB641" s="34"/>
      <c r="BC641" s="34"/>
      <c r="BD641" s="34"/>
      <c r="BE641" s="34"/>
      <c r="BF641" s="34"/>
      <c r="BG641" s="34"/>
      <c r="BH641" s="34"/>
      <c r="BI641" s="34"/>
      <c r="BJ641" s="34"/>
      <c r="BK641" s="34"/>
      <c r="BL641" s="34"/>
      <c r="BM641" s="34"/>
      <c r="BN641" s="1511">
        <f>SUM(BN637:BR640)</f>
        <v>0</v>
      </c>
      <c r="BO641" s="1512"/>
      <c r="BP641" s="1512"/>
      <c r="BQ641" s="1512"/>
      <c r="BR641" s="1513"/>
      <c r="BS641" s="1514">
        <f>SUM(BS637:BW640)</f>
        <v>0</v>
      </c>
      <c r="BT641" s="1515"/>
      <c r="BU641" s="1515"/>
      <c r="BV641" s="1515"/>
      <c r="BW641" s="1516"/>
      <c r="BX641" s="1514">
        <f>SUM(BX637:CB640)</f>
        <v>1</v>
      </c>
      <c r="BY641" s="1515"/>
      <c r="BZ641" s="1515"/>
      <c r="CA641" s="1515"/>
      <c r="CB641" s="1516"/>
      <c r="CC641" s="1514">
        <f>SUM(CC637:CG640)</f>
        <v>0</v>
      </c>
      <c r="CD641" s="1515"/>
      <c r="CE641" s="1515"/>
      <c r="CF641" s="1515"/>
      <c r="CG641" s="1516"/>
      <c r="CH641" s="1514">
        <f>SUM(CH637:CL640)</f>
        <v>0</v>
      </c>
      <c r="CI641" s="1515"/>
      <c r="CJ641" s="1515"/>
      <c r="CK641" s="1515"/>
      <c r="CL641" s="1516"/>
      <c r="CM641" s="1514">
        <f>SUM(CM637:CQ640)</f>
        <v>0</v>
      </c>
      <c r="CN641" s="1515"/>
      <c r="CO641" s="1515"/>
      <c r="CP641" s="1515"/>
      <c r="CQ641" s="1516"/>
      <c r="CS641" s="895">
        <f>BN641+BS641+BX641+CC641+CH641+CM641</f>
        <v>1</v>
      </c>
      <c r="CT641" s="57" t="s">
        <v>2049</v>
      </c>
      <c r="CU641" s="3"/>
      <c r="CV641" s="3"/>
      <c r="CW641" s="3"/>
      <c r="CX641" s="3"/>
      <c r="CY641" s="3"/>
      <c r="CZ641" s="3"/>
      <c r="DA641" s="3"/>
      <c r="DB641" s="3"/>
      <c r="DC641" s="3"/>
      <c r="DD641" s="3"/>
      <c r="DE641" s="3"/>
      <c r="DF641" s="3"/>
      <c r="DX641" s="1493" t="e">
        <f t="shared" si="29"/>
        <v>#VALUE!</v>
      </c>
      <c r="DY641" s="1493"/>
      <c r="DZ641" s="1493"/>
      <c r="EA641" s="1493"/>
      <c r="EB641" s="1493"/>
      <c r="EC641" s="1493" t="e">
        <f t="shared" si="24"/>
        <v>#VALUE!</v>
      </c>
      <c r="ED641" s="1493"/>
      <c r="EE641" s="1493"/>
      <c r="EF641" s="1493"/>
      <c r="EG641" s="1493"/>
      <c r="EH641" s="1493" t="e">
        <f t="shared" si="25"/>
        <v>#VALUE!</v>
      </c>
      <c r="EI641" s="1493"/>
      <c r="EJ641" s="1493"/>
      <c r="EK641" s="1493"/>
      <c r="EL641" s="1493"/>
      <c r="EM641" s="1493" t="e">
        <f t="shared" si="26"/>
        <v>#VALUE!</v>
      </c>
      <c r="EN641" s="1493"/>
      <c r="EO641" s="1493"/>
      <c r="EP641" s="1493"/>
      <c r="EQ641" s="1493"/>
      <c r="ER641" s="1493" t="e">
        <f t="shared" si="27"/>
        <v>#VALUE!</v>
      </c>
      <c r="ES641" s="1493"/>
      <c r="ET641" s="1493"/>
      <c r="EU641" s="1493"/>
      <c r="EV641" s="1493"/>
      <c r="EW641" s="1493" t="e">
        <f t="shared" si="28"/>
        <v>#VALUE!</v>
      </c>
      <c r="EX641" s="1493"/>
      <c r="EY641" s="1493"/>
      <c r="EZ641" s="1493"/>
      <c r="FA641" s="149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93" t="e">
        <f t="shared" si="29"/>
        <v>#VALUE!</v>
      </c>
      <c r="DY642" s="1493"/>
      <c r="DZ642" s="1493"/>
      <c r="EA642" s="1493"/>
      <c r="EB642" s="1493"/>
      <c r="EC642" s="1493" t="e">
        <f t="shared" si="24"/>
        <v>#VALUE!</v>
      </c>
      <c r="ED642" s="1493"/>
      <c r="EE642" s="1493"/>
      <c r="EF642" s="1493"/>
      <c r="EG642" s="1493"/>
      <c r="EH642" s="1493" t="e">
        <f t="shared" si="25"/>
        <v>#VALUE!</v>
      </c>
      <c r="EI642" s="1493"/>
      <c r="EJ642" s="1493"/>
      <c r="EK642" s="1493"/>
      <c r="EL642" s="1493"/>
      <c r="EM642" s="1493" t="e">
        <f t="shared" si="26"/>
        <v>#VALUE!</v>
      </c>
      <c r="EN642" s="1493"/>
      <c r="EO642" s="1493"/>
      <c r="EP642" s="1493"/>
      <c r="EQ642" s="1493"/>
      <c r="ER642" s="1493" t="e">
        <f t="shared" si="27"/>
        <v>#VALUE!</v>
      </c>
      <c r="ES642" s="1493"/>
      <c r="ET642" s="1493"/>
      <c r="EU642" s="1493"/>
      <c r="EV642" s="1493"/>
      <c r="EW642" s="1493" t="e">
        <f t="shared" si="28"/>
        <v>#VALUE!</v>
      </c>
      <c r="EX642" s="1493"/>
      <c r="EY642" s="1493"/>
      <c r="EZ642" s="1493"/>
      <c r="FA642" s="1493"/>
    </row>
    <row r="643" spans="1:157" ht="12.95" customHeight="1">
      <c r="A643" s="55" t="s">
        <v>112</v>
      </c>
      <c r="B643" t="s">
        <v>471</v>
      </c>
      <c r="G643" s="1474" t="str">
        <f>C627</f>
        <v>Citibank, N.A. - Tax Exempt</v>
      </c>
      <c r="H643" s="1474"/>
      <c r="I643" s="1474"/>
      <c r="J643" s="1474"/>
      <c r="K643" s="1474"/>
      <c r="L643" s="1474"/>
      <c r="M643" s="1474"/>
      <c r="N643" s="1474"/>
      <c r="O643" s="1474"/>
      <c r="P643" s="1474"/>
      <c r="Q643" s="1474"/>
      <c r="R643" s="1474"/>
      <c r="S643" s="8"/>
      <c r="T643" s="55" t="s">
        <v>113</v>
      </c>
      <c r="U643" t="s">
        <v>471</v>
      </c>
      <c r="Z643" s="1474" t="str">
        <f>C628</f>
        <v>5435 Balboa LLC Seller Note</v>
      </c>
      <c r="AA643" s="1474"/>
      <c r="AB643" s="1474"/>
      <c r="AC643" s="1474"/>
      <c r="AD643" s="1474"/>
      <c r="AE643" s="1474"/>
      <c r="AF643" s="1474"/>
      <c r="AG643" s="1474"/>
      <c r="AH643" s="1474"/>
      <c r="AI643" s="1474"/>
      <c r="AJ643" s="1474"/>
      <c r="AK643" s="147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3" t="e">
        <f t="shared" si="29"/>
        <v>#VALUE!</v>
      </c>
      <c r="DY643" s="1493"/>
      <c r="DZ643" s="1493"/>
      <c r="EA643" s="1493"/>
      <c r="EB643" s="1493"/>
      <c r="EC643" s="1493" t="e">
        <f t="shared" si="24"/>
        <v>#VALUE!</v>
      </c>
      <c r="ED643" s="1493"/>
      <c r="EE643" s="1493"/>
      <c r="EF643" s="1493"/>
      <c r="EG643" s="1493"/>
      <c r="EH643" s="1493" t="e">
        <f t="shared" si="25"/>
        <v>#VALUE!</v>
      </c>
      <c r="EI643" s="1493"/>
      <c r="EJ643" s="1493"/>
      <c r="EK643" s="1493"/>
      <c r="EL643" s="1493"/>
      <c r="EM643" s="1493" t="e">
        <f t="shared" si="26"/>
        <v>#VALUE!</v>
      </c>
      <c r="EN643" s="1493"/>
      <c r="EO643" s="1493"/>
      <c r="EP643" s="1493"/>
      <c r="EQ643" s="1493"/>
      <c r="ER643" s="1493" t="e">
        <f t="shared" si="27"/>
        <v>#VALUE!</v>
      </c>
      <c r="ES643" s="1493"/>
      <c r="ET643" s="1493"/>
      <c r="EU643" s="1493"/>
      <c r="EV643" s="1493"/>
      <c r="EW643" s="1493" t="e">
        <f t="shared" si="28"/>
        <v>#VALUE!</v>
      </c>
      <c r="EX643" s="1493"/>
      <c r="EY643" s="1493"/>
      <c r="EZ643" s="1493"/>
      <c r="FA643" s="1493"/>
    </row>
    <row r="644" spans="1:157" ht="12.95" customHeight="1">
      <c r="A644" s="22"/>
      <c r="B644" t="s">
        <v>85</v>
      </c>
      <c r="G644" s="1408" t="s">
        <v>2757</v>
      </c>
      <c r="H644" s="1408"/>
      <c r="I644" s="1408"/>
      <c r="J644" s="1408"/>
      <c r="K644" s="1408"/>
      <c r="L644" s="1408"/>
      <c r="M644" s="1408"/>
      <c r="N644" s="1408"/>
      <c r="O644" s="1408"/>
      <c r="P644" s="1408"/>
      <c r="Q644" s="1408"/>
      <c r="R644" s="1408"/>
      <c r="S644" s="8"/>
      <c r="T644" s="22"/>
      <c r="U644" t="s">
        <v>85</v>
      </c>
      <c r="Z644" s="1408" t="s">
        <v>2755</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93" t="e">
        <f t="shared" si="29"/>
        <v>#VALUE!</v>
      </c>
      <c r="DY644" s="1493"/>
      <c r="DZ644" s="1493"/>
      <c r="EA644" s="1493"/>
      <c r="EB644" s="1493"/>
      <c r="EC644" s="1493" t="e">
        <f t="shared" si="24"/>
        <v>#VALUE!</v>
      </c>
      <c r="ED644" s="1493"/>
      <c r="EE644" s="1493"/>
      <c r="EF644" s="1493"/>
      <c r="EG644" s="1493"/>
      <c r="EH644" s="1493" t="e">
        <f t="shared" si="25"/>
        <v>#VALUE!</v>
      </c>
      <c r="EI644" s="1493"/>
      <c r="EJ644" s="1493"/>
      <c r="EK644" s="1493"/>
      <c r="EL644" s="1493"/>
      <c r="EM644" s="1493" t="e">
        <f t="shared" si="26"/>
        <v>#VALUE!</v>
      </c>
      <c r="EN644" s="1493"/>
      <c r="EO644" s="1493"/>
      <c r="EP644" s="1493"/>
      <c r="EQ644" s="1493"/>
      <c r="ER644" s="1493" t="e">
        <f t="shared" si="27"/>
        <v>#VALUE!</v>
      </c>
      <c r="ES644" s="1493"/>
      <c r="ET644" s="1493"/>
      <c r="EU644" s="1493"/>
      <c r="EV644" s="1493"/>
      <c r="EW644" s="1493" t="e">
        <f t="shared" si="28"/>
        <v>#VALUE!</v>
      </c>
      <c r="EX644" s="1493"/>
      <c r="EY644" s="1493"/>
      <c r="EZ644" s="1493"/>
      <c r="FA644" s="1493"/>
    </row>
    <row r="645" spans="1:157" ht="12.95" customHeight="1">
      <c r="A645" s="22"/>
      <c r="B645" t="s">
        <v>588</v>
      </c>
      <c r="G645" s="1408" t="s">
        <v>2758</v>
      </c>
      <c r="H645" s="1408"/>
      <c r="I645" s="1408"/>
      <c r="J645" s="1408"/>
      <c r="K645" s="1408"/>
      <c r="L645" s="1408"/>
      <c r="M645" s="1408"/>
      <c r="N645" s="1408"/>
      <c r="O645" s="1408"/>
      <c r="P645" s="1408"/>
      <c r="Q645" s="1408"/>
      <c r="R645" s="1408"/>
      <c r="T645" s="22"/>
      <c r="U645" t="s">
        <v>588</v>
      </c>
      <c r="Z645" s="1417" t="s">
        <v>2756</v>
      </c>
      <c r="AA645" s="1417"/>
      <c r="AB645" s="1417"/>
      <c r="AC645" s="1417"/>
      <c r="AD645" s="1417"/>
      <c r="AE645" s="1417"/>
      <c r="AF645" s="1417"/>
      <c r="AG645" s="1417"/>
      <c r="AH645" s="1417"/>
      <c r="AI645" s="1417"/>
      <c r="AJ645" s="1417"/>
      <c r="AK645" s="1417"/>
      <c r="AV645" s="3"/>
      <c r="AW645" s="3"/>
      <c r="AX645" s="3"/>
      <c r="AY645" s="3"/>
      <c r="AZ645" s="3"/>
      <c r="BA645" s="3"/>
      <c r="BB645" s="3"/>
      <c r="BC645" s="3"/>
      <c r="BD645" s="3"/>
      <c r="BE645" s="3"/>
      <c r="BF645" s="3"/>
      <c r="BG645" s="3"/>
      <c r="BH645" s="3"/>
      <c r="BI645" s="3"/>
      <c r="BJ645" s="3"/>
      <c r="BK645" s="3"/>
      <c r="BL645" s="3"/>
      <c r="BM645" s="3"/>
      <c r="BN645" s="1507">
        <f t="shared" ref="BN645:BN654" si="30">IF(J787="SRO/Studio",O787,0)</f>
        <v>0</v>
      </c>
      <c r="BO645" s="1508"/>
      <c r="BP645" s="1508"/>
      <c r="BQ645" s="1508"/>
      <c r="BR645" s="1509"/>
      <c r="BS645" s="1510">
        <f t="shared" ref="BS645:BS654" si="31">IF(J787="1 Bedroom",O787,0)</f>
        <v>0</v>
      </c>
      <c r="BT645" s="1510"/>
      <c r="BU645" s="1510"/>
      <c r="BV645" s="1510"/>
      <c r="BW645" s="1510"/>
      <c r="BX645" s="1510">
        <f t="shared" ref="BX645:BX654" si="32">IF(J787="2 Bedrooms",O787,0)</f>
        <v>0</v>
      </c>
      <c r="BY645" s="1510"/>
      <c r="BZ645" s="1510"/>
      <c r="CA645" s="1510"/>
      <c r="CB645" s="1510"/>
      <c r="CC645" s="1510">
        <f t="shared" ref="CC645:CC654" si="33">IF(J787="3 Bedrooms",O787,0)</f>
        <v>0</v>
      </c>
      <c r="CD645" s="1510"/>
      <c r="CE645" s="1510"/>
      <c r="CF645" s="1510"/>
      <c r="CG645" s="1510"/>
      <c r="CH645" s="1510">
        <f t="shared" ref="CH645:CH654" si="34">IF(J787="4 Bedrooms",O787,0)</f>
        <v>0</v>
      </c>
      <c r="CI645" s="1510"/>
      <c r="CJ645" s="1510"/>
      <c r="CK645" s="1510"/>
      <c r="CL645" s="1510"/>
      <c r="CM645" s="1510">
        <f t="shared" ref="CM645:CM654" si="35">IF(J787="5 Bedrooms",O787,0)</f>
        <v>0</v>
      </c>
      <c r="CN645" s="1510"/>
      <c r="CO645" s="1510"/>
      <c r="CP645" s="1510"/>
      <c r="CQ645" s="1510"/>
      <c r="CR645" s="6"/>
      <c r="CS645" s="1507">
        <f t="shared" ref="CS645:CS654" si="36">IF(AND(BN645&gt;=1,AH787&gt;=0.1,AH787&lt;=1),O787,0)</f>
        <v>0</v>
      </c>
      <c r="CT645" s="1508"/>
      <c r="CU645" s="1508"/>
      <c r="CV645" s="1508"/>
      <c r="CW645" s="1509"/>
      <c r="CX645" s="1507">
        <f t="shared" ref="CX645:CX654" si="37">IF(AND(BS645&gt;=1,AH787&gt;=0.1,AH787&lt;=1),O787,0)</f>
        <v>0</v>
      </c>
      <c r="CY645" s="1508"/>
      <c r="CZ645" s="1508"/>
      <c r="DA645" s="1508"/>
      <c r="DB645" s="1509"/>
      <c r="DC645" s="1507">
        <f t="shared" ref="DC645:DC654" si="38">IF(AND(BX645&gt;=1,AH787&gt;=0.1,AH787&lt;=1),O787,0)</f>
        <v>0</v>
      </c>
      <c r="DD645" s="1508"/>
      <c r="DE645" s="1508"/>
      <c r="DF645" s="1508"/>
      <c r="DG645" s="1509"/>
      <c r="DH645" s="1507">
        <f t="shared" ref="DH645:DH654" si="39">IF(AND(CC645&gt;=1,AH787&gt;=0.1,AH787&lt;=1),O787,0)</f>
        <v>0</v>
      </c>
      <c r="DI645" s="1508"/>
      <c r="DJ645" s="1508"/>
      <c r="DK645" s="1508"/>
      <c r="DL645" s="1509"/>
      <c r="DM645" s="1507">
        <f t="shared" ref="DM645:DM654" si="40">IF(AND(CH645&gt;=1,AH787&gt;=0.1,AH787&lt;=1),O787,0)</f>
        <v>0</v>
      </c>
      <c r="DN645" s="1508"/>
      <c r="DO645" s="1508"/>
      <c r="DP645" s="1508"/>
      <c r="DQ645" s="1509"/>
      <c r="DR645" s="1507">
        <f t="shared" ref="DR645:DR654" si="41">IF(AND(CM645&gt;=1,AH787&gt;=0.1,AH787&lt;=1),O787,0)</f>
        <v>0</v>
      </c>
      <c r="DS645" s="1508"/>
      <c r="DT645" s="1508"/>
      <c r="DU645" s="1508"/>
      <c r="DV645" s="1509"/>
      <c r="DX645" s="1493" t="e">
        <f t="shared" si="29"/>
        <v>#VALUE!</v>
      </c>
      <c r="DY645" s="1493"/>
      <c r="DZ645" s="1493"/>
      <c r="EA645" s="1493"/>
      <c r="EB645" s="1493"/>
      <c r="EC645" s="1493" t="e">
        <f t="shared" si="24"/>
        <v>#VALUE!</v>
      </c>
      <c r="ED645" s="1493"/>
      <c r="EE645" s="1493"/>
      <c r="EF645" s="1493"/>
      <c r="EG645" s="1493"/>
      <c r="EH645" s="1493" t="e">
        <f t="shared" si="25"/>
        <v>#VALUE!</v>
      </c>
      <c r="EI645" s="1493"/>
      <c r="EJ645" s="1493"/>
      <c r="EK645" s="1493"/>
      <c r="EL645" s="1493"/>
      <c r="EM645" s="1493" t="e">
        <f t="shared" si="26"/>
        <v>#VALUE!</v>
      </c>
      <c r="EN645" s="1493"/>
      <c r="EO645" s="1493"/>
      <c r="EP645" s="1493"/>
      <c r="EQ645" s="1493"/>
      <c r="ER645" s="1493" t="e">
        <f t="shared" si="27"/>
        <v>#VALUE!</v>
      </c>
      <c r="ES645" s="1493"/>
      <c r="ET645" s="1493"/>
      <c r="EU645" s="1493"/>
      <c r="EV645" s="1493"/>
      <c r="EW645" s="1493" t="e">
        <f t="shared" si="28"/>
        <v>#VALUE!</v>
      </c>
      <c r="EX645" s="1493"/>
      <c r="EY645" s="1493"/>
      <c r="EZ645" s="1493"/>
      <c r="FA645" s="1493"/>
    </row>
    <row r="646" spans="1:157" ht="12.95" customHeight="1">
      <c r="A646" s="22"/>
      <c r="B646" t="s">
        <v>17</v>
      </c>
      <c r="G646" s="1407" t="s">
        <v>2714</v>
      </c>
      <c r="H646" s="1408"/>
      <c r="I646" s="1408"/>
      <c r="J646" s="1408"/>
      <c r="K646" s="1408"/>
      <c r="L646" s="1408"/>
      <c r="M646" s="1408"/>
      <c r="N646" s="1408"/>
      <c r="O646" s="1408"/>
      <c r="P646" s="1408"/>
      <c r="Q646" s="1408"/>
      <c r="R646" s="1408"/>
      <c r="S646" s="8"/>
      <c r="T646" s="22"/>
      <c r="U646" t="s">
        <v>17</v>
      </c>
      <c r="Z646" s="1506" t="s">
        <v>2702</v>
      </c>
      <c r="AA646" s="1417"/>
      <c r="AB646" s="1417"/>
      <c r="AC646" s="1417"/>
      <c r="AD646" s="1417"/>
      <c r="AE646" s="1417"/>
      <c r="AF646" s="1417"/>
      <c r="AG646" s="1417"/>
      <c r="AH646" s="1417"/>
      <c r="AI646" s="1417"/>
      <c r="AJ646" s="1417"/>
      <c r="AK646" s="1417"/>
      <c r="AZ646" s="3"/>
      <c r="BA646" s="3"/>
      <c r="BB646" s="3"/>
      <c r="BC646" s="3"/>
      <c r="BD646" s="3"/>
      <c r="BE646" s="3"/>
      <c r="BF646" s="3"/>
      <c r="BG646" s="3"/>
      <c r="BH646" s="3"/>
      <c r="BI646" s="3"/>
      <c r="BJ646" s="3"/>
      <c r="BK646" s="3"/>
      <c r="BL646" s="3"/>
      <c r="BM646" s="3"/>
      <c r="BN646" s="1507">
        <f t="shared" si="30"/>
        <v>0</v>
      </c>
      <c r="BO646" s="1508"/>
      <c r="BP646" s="1508"/>
      <c r="BQ646" s="1508"/>
      <c r="BR646" s="1509"/>
      <c r="BS646" s="1510">
        <f t="shared" si="31"/>
        <v>0</v>
      </c>
      <c r="BT646" s="1510"/>
      <c r="BU646" s="1510"/>
      <c r="BV646" s="1510"/>
      <c r="BW646" s="1510"/>
      <c r="BX646" s="1510">
        <f t="shared" si="32"/>
        <v>0</v>
      </c>
      <c r="BY646" s="1510"/>
      <c r="BZ646" s="1510"/>
      <c r="CA646" s="1510"/>
      <c r="CB646" s="1510"/>
      <c r="CC646" s="1510">
        <f t="shared" si="33"/>
        <v>0</v>
      </c>
      <c r="CD646" s="1510"/>
      <c r="CE646" s="1510"/>
      <c r="CF646" s="1510"/>
      <c r="CG646" s="1510"/>
      <c r="CH646" s="1510">
        <f t="shared" si="34"/>
        <v>0</v>
      </c>
      <c r="CI646" s="1510"/>
      <c r="CJ646" s="1510"/>
      <c r="CK646" s="1510"/>
      <c r="CL646" s="1510"/>
      <c r="CM646" s="1510">
        <f t="shared" si="35"/>
        <v>0</v>
      </c>
      <c r="CN646" s="1510"/>
      <c r="CO646" s="1510"/>
      <c r="CP646" s="1510"/>
      <c r="CQ646" s="1510"/>
      <c r="CR646" s="6"/>
      <c r="CS646" s="1507">
        <f t="shared" si="36"/>
        <v>0</v>
      </c>
      <c r="CT646" s="1508"/>
      <c r="CU646" s="1508"/>
      <c r="CV646" s="1508"/>
      <c r="CW646" s="1509"/>
      <c r="CX646" s="1507">
        <f t="shared" si="37"/>
        <v>0</v>
      </c>
      <c r="CY646" s="1508"/>
      <c r="CZ646" s="1508"/>
      <c r="DA646" s="1508"/>
      <c r="DB646" s="1509"/>
      <c r="DC646" s="1507">
        <f t="shared" si="38"/>
        <v>0</v>
      </c>
      <c r="DD646" s="1508"/>
      <c r="DE646" s="1508"/>
      <c r="DF646" s="1508"/>
      <c r="DG646" s="1509"/>
      <c r="DH646" s="1507">
        <f t="shared" si="39"/>
        <v>0</v>
      </c>
      <c r="DI646" s="1508"/>
      <c r="DJ646" s="1508"/>
      <c r="DK646" s="1508"/>
      <c r="DL646" s="1509"/>
      <c r="DM646" s="1507">
        <f t="shared" si="40"/>
        <v>0</v>
      </c>
      <c r="DN646" s="1508"/>
      <c r="DO646" s="1508"/>
      <c r="DP646" s="1508"/>
      <c r="DQ646" s="1509"/>
      <c r="DR646" s="1507">
        <f t="shared" si="41"/>
        <v>0</v>
      </c>
      <c r="DS646" s="1508"/>
      <c r="DT646" s="1508"/>
      <c r="DU646" s="1508"/>
      <c r="DV646" s="1509"/>
      <c r="DX646" s="1493" t="e">
        <f t="shared" si="29"/>
        <v>#VALUE!</v>
      </c>
      <c r="DY646" s="1493"/>
      <c r="DZ646" s="1493"/>
      <c r="EA646" s="1493"/>
      <c r="EB646" s="1493"/>
      <c r="EC646" s="1493" t="e">
        <f t="shared" si="24"/>
        <v>#VALUE!</v>
      </c>
      <c r="ED646" s="1493"/>
      <c r="EE646" s="1493"/>
      <c r="EF646" s="1493"/>
      <c r="EG646" s="1493"/>
      <c r="EH646" s="1493" t="e">
        <f t="shared" si="25"/>
        <v>#VALUE!</v>
      </c>
      <c r="EI646" s="1493"/>
      <c r="EJ646" s="1493"/>
      <c r="EK646" s="1493"/>
      <c r="EL646" s="1493"/>
      <c r="EM646" s="1493" t="e">
        <f t="shared" si="26"/>
        <v>#VALUE!</v>
      </c>
      <c r="EN646" s="1493"/>
      <c r="EO646" s="1493"/>
      <c r="EP646" s="1493"/>
      <c r="EQ646" s="1493"/>
      <c r="ER646" s="1493" t="e">
        <f t="shared" si="27"/>
        <v>#VALUE!</v>
      </c>
      <c r="ES646" s="1493"/>
      <c r="ET646" s="1493"/>
      <c r="EU646" s="1493"/>
      <c r="EV646" s="1493"/>
      <c r="EW646" s="1493" t="e">
        <f t="shared" si="28"/>
        <v>#VALUE!</v>
      </c>
      <c r="EX646" s="1493"/>
      <c r="EY646" s="1493"/>
      <c r="EZ646" s="1493"/>
      <c r="FA646" s="1493"/>
    </row>
    <row r="647" spans="1:157" ht="12.95" customHeight="1">
      <c r="A647" s="22"/>
      <c r="B647" t="s">
        <v>317</v>
      </c>
      <c r="G647" s="1406" t="s">
        <v>2759</v>
      </c>
      <c r="H647" s="1406"/>
      <c r="I647" s="1406"/>
      <c r="J647" s="1406"/>
      <c r="K647" s="1406"/>
      <c r="L647" s="1406"/>
      <c r="O647" s="33" t="s">
        <v>207</v>
      </c>
      <c r="P647" s="1473"/>
      <c r="Q647" s="1473"/>
      <c r="R647" s="1473"/>
      <c r="S647" s="10"/>
      <c r="T647" s="22"/>
      <c r="U647" t="s">
        <v>317</v>
      </c>
      <c r="Z647" s="1406" t="s">
        <v>2763</v>
      </c>
      <c r="AA647" s="1406"/>
      <c r="AB647" s="1406"/>
      <c r="AC647" s="1406"/>
      <c r="AD647" s="1406"/>
      <c r="AE647" s="1406"/>
      <c r="AH647" s="33" t="s">
        <v>207</v>
      </c>
      <c r="AI647" s="1473"/>
      <c r="AJ647" s="1473"/>
      <c r="AK647" s="1473"/>
      <c r="AZ647" s="34"/>
      <c r="BA647" s="34"/>
      <c r="BB647" s="34"/>
      <c r="BC647" s="34"/>
      <c r="BD647" s="34"/>
      <c r="BE647" s="34"/>
      <c r="BF647" s="34"/>
      <c r="BG647" s="34"/>
      <c r="BH647" s="34"/>
      <c r="BI647" s="34"/>
      <c r="BJ647" s="34"/>
      <c r="BK647" s="34"/>
      <c r="BL647" s="34"/>
      <c r="BM647" s="34"/>
      <c r="BN647" s="1507">
        <f t="shared" si="30"/>
        <v>0</v>
      </c>
      <c r="BO647" s="1508"/>
      <c r="BP647" s="1508"/>
      <c r="BQ647" s="1508"/>
      <c r="BR647" s="1509"/>
      <c r="BS647" s="1510">
        <f t="shared" si="31"/>
        <v>0</v>
      </c>
      <c r="BT647" s="1510"/>
      <c r="BU647" s="1510"/>
      <c r="BV647" s="1510"/>
      <c r="BW647" s="1510"/>
      <c r="BX647" s="1510">
        <f t="shared" si="32"/>
        <v>0</v>
      </c>
      <c r="BY647" s="1510"/>
      <c r="BZ647" s="1510"/>
      <c r="CA647" s="1510"/>
      <c r="CB647" s="1510"/>
      <c r="CC647" s="1510">
        <f t="shared" si="33"/>
        <v>0</v>
      </c>
      <c r="CD647" s="1510"/>
      <c r="CE647" s="1510"/>
      <c r="CF647" s="1510"/>
      <c r="CG647" s="1510"/>
      <c r="CH647" s="1510">
        <f t="shared" si="34"/>
        <v>0</v>
      </c>
      <c r="CI647" s="1510"/>
      <c r="CJ647" s="1510"/>
      <c r="CK647" s="1510"/>
      <c r="CL647" s="1510"/>
      <c r="CM647" s="1510">
        <f t="shared" si="35"/>
        <v>0</v>
      </c>
      <c r="CN647" s="1510"/>
      <c r="CO647" s="1510"/>
      <c r="CP647" s="1510"/>
      <c r="CQ647" s="1510"/>
      <c r="CR647" s="6"/>
      <c r="CS647" s="1507">
        <f t="shared" si="36"/>
        <v>0</v>
      </c>
      <c r="CT647" s="1508"/>
      <c r="CU647" s="1508"/>
      <c r="CV647" s="1508"/>
      <c r="CW647" s="1509"/>
      <c r="CX647" s="1507">
        <f t="shared" si="37"/>
        <v>0</v>
      </c>
      <c r="CY647" s="1508"/>
      <c r="CZ647" s="1508"/>
      <c r="DA647" s="1508"/>
      <c r="DB647" s="1509"/>
      <c r="DC647" s="1507">
        <f t="shared" si="38"/>
        <v>0</v>
      </c>
      <c r="DD647" s="1508"/>
      <c r="DE647" s="1508"/>
      <c r="DF647" s="1508"/>
      <c r="DG647" s="1509"/>
      <c r="DH647" s="1507">
        <f t="shared" si="39"/>
        <v>0</v>
      </c>
      <c r="DI647" s="1508"/>
      <c r="DJ647" s="1508"/>
      <c r="DK647" s="1508"/>
      <c r="DL647" s="1509"/>
      <c r="DM647" s="1507">
        <f t="shared" si="40"/>
        <v>0</v>
      </c>
      <c r="DN647" s="1508"/>
      <c r="DO647" s="1508"/>
      <c r="DP647" s="1508"/>
      <c r="DQ647" s="1509"/>
      <c r="DR647" s="1507">
        <f t="shared" si="41"/>
        <v>0</v>
      </c>
      <c r="DS647" s="1508"/>
      <c r="DT647" s="1508"/>
      <c r="DU647" s="1508"/>
      <c r="DV647" s="1509"/>
      <c r="DX647" s="1493" t="e">
        <f t="shared" si="29"/>
        <v>#VALUE!</v>
      </c>
      <c r="DY647" s="1493"/>
      <c r="DZ647" s="1493"/>
      <c r="EA647" s="1493"/>
      <c r="EB647" s="1493"/>
      <c r="EC647" s="1493" t="e">
        <f t="shared" si="24"/>
        <v>#VALUE!</v>
      </c>
      <c r="ED647" s="1493"/>
      <c r="EE647" s="1493"/>
      <c r="EF647" s="1493"/>
      <c r="EG647" s="1493"/>
      <c r="EH647" s="1493" t="e">
        <f t="shared" si="25"/>
        <v>#VALUE!</v>
      </c>
      <c r="EI647" s="1493"/>
      <c r="EJ647" s="1493"/>
      <c r="EK647" s="1493"/>
      <c r="EL647" s="1493"/>
      <c r="EM647" s="1493" t="e">
        <f t="shared" si="26"/>
        <v>#VALUE!</v>
      </c>
      <c r="EN647" s="1493"/>
      <c r="EO647" s="1493"/>
      <c r="EP647" s="1493"/>
      <c r="EQ647" s="1493"/>
      <c r="ER647" s="1493" t="e">
        <f t="shared" si="27"/>
        <v>#VALUE!</v>
      </c>
      <c r="ES647" s="1493"/>
      <c r="ET647" s="1493"/>
      <c r="EU647" s="1493"/>
      <c r="EV647" s="1493"/>
      <c r="EW647" s="1493" t="e">
        <f t="shared" si="28"/>
        <v>#VALUE!</v>
      </c>
      <c r="EX647" s="1493"/>
      <c r="EY647" s="1493"/>
      <c r="EZ647" s="1493"/>
      <c r="FA647" s="1493"/>
    </row>
    <row r="648" spans="1:157" ht="12.95" customHeight="1">
      <c r="A648" s="22"/>
      <c r="B648" t="s">
        <v>18</v>
      </c>
      <c r="H648" s="1407" t="s">
        <v>2764</v>
      </c>
      <c r="I648" s="1408"/>
      <c r="J648" s="1408"/>
      <c r="K648" s="1408"/>
      <c r="L648" s="1408"/>
      <c r="M648" s="1408"/>
      <c r="N648" s="1408"/>
      <c r="O648" s="1408"/>
      <c r="P648" s="1408"/>
      <c r="Q648" s="1408"/>
      <c r="R648" s="1408"/>
      <c r="S648" s="8"/>
      <c r="T648" s="22"/>
      <c r="U648" t="s">
        <v>18</v>
      </c>
      <c r="AA648" s="1408" t="s">
        <v>2721</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BN648" s="1507">
        <f t="shared" si="30"/>
        <v>0</v>
      </c>
      <c r="BO648" s="1508"/>
      <c r="BP648" s="1508"/>
      <c r="BQ648" s="1508"/>
      <c r="BR648" s="1509"/>
      <c r="BS648" s="1510">
        <f t="shared" si="31"/>
        <v>0</v>
      </c>
      <c r="BT648" s="1510"/>
      <c r="BU648" s="1510"/>
      <c r="BV648" s="1510"/>
      <c r="BW648" s="1510"/>
      <c r="BX648" s="1510">
        <f t="shared" si="32"/>
        <v>0</v>
      </c>
      <c r="BY648" s="1510"/>
      <c r="BZ648" s="1510"/>
      <c r="CA648" s="1510"/>
      <c r="CB648" s="1510"/>
      <c r="CC648" s="1510">
        <f t="shared" si="33"/>
        <v>0</v>
      </c>
      <c r="CD648" s="1510"/>
      <c r="CE648" s="1510"/>
      <c r="CF648" s="1510"/>
      <c r="CG648" s="1510"/>
      <c r="CH648" s="1510">
        <f t="shared" si="34"/>
        <v>0</v>
      </c>
      <c r="CI648" s="1510"/>
      <c r="CJ648" s="1510"/>
      <c r="CK648" s="1510"/>
      <c r="CL648" s="1510"/>
      <c r="CM648" s="1510">
        <f t="shared" si="35"/>
        <v>0</v>
      </c>
      <c r="CN648" s="1510"/>
      <c r="CO648" s="1510"/>
      <c r="CP648" s="1510"/>
      <c r="CQ648" s="1510"/>
      <c r="CR648" s="6"/>
      <c r="CS648" s="1507">
        <f t="shared" si="36"/>
        <v>0</v>
      </c>
      <c r="CT648" s="1508"/>
      <c r="CU648" s="1508"/>
      <c r="CV648" s="1508"/>
      <c r="CW648" s="1509"/>
      <c r="CX648" s="1507">
        <f t="shared" si="37"/>
        <v>0</v>
      </c>
      <c r="CY648" s="1508"/>
      <c r="CZ648" s="1508"/>
      <c r="DA648" s="1508"/>
      <c r="DB648" s="1509"/>
      <c r="DC648" s="1507">
        <f t="shared" si="38"/>
        <v>0</v>
      </c>
      <c r="DD648" s="1508"/>
      <c r="DE648" s="1508"/>
      <c r="DF648" s="1508"/>
      <c r="DG648" s="1509"/>
      <c r="DH648" s="1507">
        <f t="shared" si="39"/>
        <v>0</v>
      </c>
      <c r="DI648" s="1508"/>
      <c r="DJ648" s="1508"/>
      <c r="DK648" s="1508"/>
      <c r="DL648" s="1509"/>
      <c r="DM648" s="1507">
        <f t="shared" si="40"/>
        <v>0</v>
      </c>
      <c r="DN648" s="1508"/>
      <c r="DO648" s="1508"/>
      <c r="DP648" s="1508"/>
      <c r="DQ648" s="1509"/>
      <c r="DR648" s="1507">
        <f t="shared" si="41"/>
        <v>0</v>
      </c>
      <c r="DS648" s="1508"/>
      <c r="DT648" s="1508"/>
      <c r="DU648" s="1508"/>
      <c r="DV648" s="1509"/>
      <c r="DX648" s="1493" t="e">
        <f t="shared" si="29"/>
        <v>#VALUE!</v>
      </c>
      <c r="DY648" s="1493"/>
      <c r="DZ648" s="1493"/>
      <c r="EA648" s="1493"/>
      <c r="EB648" s="1493"/>
      <c r="EC648" s="1493" t="e">
        <f t="shared" si="24"/>
        <v>#VALUE!</v>
      </c>
      <c r="ED648" s="1493"/>
      <c r="EE648" s="1493"/>
      <c r="EF648" s="1493"/>
      <c r="EG648" s="1493"/>
      <c r="EH648" s="1493" t="e">
        <f t="shared" si="25"/>
        <v>#VALUE!</v>
      </c>
      <c r="EI648" s="1493"/>
      <c r="EJ648" s="1493"/>
      <c r="EK648" s="1493"/>
      <c r="EL648" s="1493"/>
      <c r="EM648" s="1493" t="e">
        <f t="shared" si="26"/>
        <v>#VALUE!</v>
      </c>
      <c r="EN648" s="1493"/>
      <c r="EO648" s="1493"/>
      <c r="EP648" s="1493"/>
      <c r="EQ648" s="1493"/>
      <c r="ER648" s="1493" t="e">
        <f t="shared" si="27"/>
        <v>#VALUE!</v>
      </c>
      <c r="ES648" s="1493"/>
      <c r="ET648" s="1493"/>
      <c r="EU648" s="1493"/>
      <c r="EV648" s="1493"/>
      <c r="EW648" s="1493" t="e">
        <f t="shared" si="28"/>
        <v>#VALUE!</v>
      </c>
      <c r="EX648" s="1493"/>
      <c r="EY648" s="1493"/>
      <c r="EZ648" s="1493"/>
      <c r="FA648" s="1493"/>
    </row>
    <row r="649" spans="1:157" ht="12.95" customHeight="1">
      <c r="A649" s="22"/>
      <c r="B649" t="s">
        <v>20</v>
      </c>
      <c r="N649" s="1416" t="s">
        <v>553</v>
      </c>
      <c r="O649" s="1416"/>
      <c r="T649" s="22"/>
      <c r="U649" t="s">
        <v>20</v>
      </c>
      <c r="AG649" s="1416" t="s">
        <v>553</v>
      </c>
      <c r="AH649" s="1416"/>
      <c r="AZ649" s="34"/>
      <c r="BA649" s="34"/>
      <c r="BB649" s="34"/>
      <c r="BC649" s="34"/>
      <c r="BD649" s="34"/>
      <c r="BE649" s="34"/>
      <c r="BF649" s="34"/>
      <c r="BG649" s="34"/>
      <c r="BH649" s="34"/>
      <c r="BI649" s="34"/>
      <c r="BJ649" s="34"/>
      <c r="BK649" s="34"/>
      <c r="BL649" s="34"/>
      <c r="BM649" s="34"/>
      <c r="BN649" s="1507">
        <f t="shared" si="30"/>
        <v>0</v>
      </c>
      <c r="BO649" s="1508"/>
      <c r="BP649" s="1508"/>
      <c r="BQ649" s="1508"/>
      <c r="BR649" s="1509"/>
      <c r="BS649" s="1510">
        <f t="shared" si="31"/>
        <v>0</v>
      </c>
      <c r="BT649" s="1510"/>
      <c r="BU649" s="1510"/>
      <c r="BV649" s="1510"/>
      <c r="BW649" s="1510"/>
      <c r="BX649" s="1510">
        <f t="shared" si="32"/>
        <v>0</v>
      </c>
      <c r="BY649" s="1510"/>
      <c r="BZ649" s="1510"/>
      <c r="CA649" s="1510"/>
      <c r="CB649" s="1510"/>
      <c r="CC649" s="1510">
        <f t="shared" si="33"/>
        <v>0</v>
      </c>
      <c r="CD649" s="1510"/>
      <c r="CE649" s="1510"/>
      <c r="CF649" s="1510"/>
      <c r="CG649" s="1510"/>
      <c r="CH649" s="1510">
        <f t="shared" si="34"/>
        <v>0</v>
      </c>
      <c r="CI649" s="1510"/>
      <c r="CJ649" s="1510"/>
      <c r="CK649" s="1510"/>
      <c r="CL649" s="1510"/>
      <c r="CM649" s="1510">
        <f t="shared" si="35"/>
        <v>0</v>
      </c>
      <c r="CN649" s="1510"/>
      <c r="CO649" s="1510"/>
      <c r="CP649" s="1510"/>
      <c r="CQ649" s="1510"/>
      <c r="CR649" s="6"/>
      <c r="CS649" s="1507">
        <f t="shared" si="36"/>
        <v>0</v>
      </c>
      <c r="CT649" s="1508"/>
      <c r="CU649" s="1508"/>
      <c r="CV649" s="1508"/>
      <c r="CW649" s="1509"/>
      <c r="CX649" s="1507">
        <f t="shared" si="37"/>
        <v>0</v>
      </c>
      <c r="CY649" s="1508"/>
      <c r="CZ649" s="1508"/>
      <c r="DA649" s="1508"/>
      <c r="DB649" s="1509"/>
      <c r="DC649" s="1507">
        <f t="shared" si="38"/>
        <v>0</v>
      </c>
      <c r="DD649" s="1508"/>
      <c r="DE649" s="1508"/>
      <c r="DF649" s="1508"/>
      <c r="DG649" s="1509"/>
      <c r="DH649" s="1507">
        <f t="shared" si="39"/>
        <v>0</v>
      </c>
      <c r="DI649" s="1508"/>
      <c r="DJ649" s="1508"/>
      <c r="DK649" s="1508"/>
      <c r="DL649" s="1509"/>
      <c r="DM649" s="1507">
        <f t="shared" si="40"/>
        <v>0</v>
      </c>
      <c r="DN649" s="1508"/>
      <c r="DO649" s="1508"/>
      <c r="DP649" s="1508"/>
      <c r="DQ649" s="1509"/>
      <c r="DR649" s="1507">
        <f t="shared" si="41"/>
        <v>0</v>
      </c>
      <c r="DS649" s="1508"/>
      <c r="DT649" s="1508"/>
      <c r="DU649" s="1508"/>
      <c r="DV649" s="1509"/>
      <c r="DX649" s="1493" t="e">
        <f t="shared" si="29"/>
        <v>#VALUE!</v>
      </c>
      <c r="DY649" s="1493"/>
      <c r="DZ649" s="1493"/>
      <c r="EA649" s="1493"/>
      <c r="EB649" s="1493"/>
      <c r="EC649" s="1493" t="e">
        <f t="shared" si="24"/>
        <v>#VALUE!</v>
      </c>
      <c r="ED649" s="1493"/>
      <c r="EE649" s="1493"/>
      <c r="EF649" s="1493"/>
      <c r="EG649" s="1493"/>
      <c r="EH649" s="1493" t="e">
        <f t="shared" si="25"/>
        <v>#VALUE!</v>
      </c>
      <c r="EI649" s="1493"/>
      <c r="EJ649" s="1493"/>
      <c r="EK649" s="1493"/>
      <c r="EL649" s="1493"/>
      <c r="EM649" s="1493" t="e">
        <f t="shared" si="26"/>
        <v>#VALUE!</v>
      </c>
      <c r="EN649" s="1493"/>
      <c r="EO649" s="1493"/>
      <c r="EP649" s="1493"/>
      <c r="EQ649" s="1493"/>
      <c r="ER649" s="1493" t="e">
        <f t="shared" si="27"/>
        <v>#VALUE!</v>
      </c>
      <c r="ES649" s="1493"/>
      <c r="ET649" s="1493"/>
      <c r="EU649" s="1493"/>
      <c r="EV649" s="1493"/>
      <c r="EW649" s="1493" t="e">
        <f t="shared" si="28"/>
        <v>#VALUE!</v>
      </c>
      <c r="EX649" s="1493"/>
      <c r="EY649" s="1493"/>
      <c r="EZ649" s="1493"/>
      <c r="FA649" s="1493"/>
    </row>
    <row r="650" spans="1:157" ht="12.95" customHeight="1">
      <c r="A650" s="22"/>
      <c r="T650" s="22"/>
      <c r="AZ650" s="34"/>
      <c r="BA650" s="34"/>
      <c r="BB650" s="34"/>
      <c r="BC650" s="34"/>
      <c r="BD650" s="34"/>
      <c r="BE650" s="34"/>
      <c r="BF650" s="34"/>
      <c r="BG650" s="34"/>
      <c r="BH650" s="34"/>
      <c r="BI650" s="34"/>
      <c r="BJ650" s="34"/>
      <c r="BK650" s="34"/>
      <c r="BL650" s="34"/>
      <c r="BM650" s="34"/>
      <c r="BN650" s="1507">
        <f t="shared" si="30"/>
        <v>0</v>
      </c>
      <c r="BO650" s="1508"/>
      <c r="BP650" s="1508"/>
      <c r="BQ650" s="1508"/>
      <c r="BR650" s="1509"/>
      <c r="BS650" s="1510">
        <f t="shared" si="31"/>
        <v>0</v>
      </c>
      <c r="BT650" s="1510"/>
      <c r="BU650" s="1510"/>
      <c r="BV650" s="1510"/>
      <c r="BW650" s="1510"/>
      <c r="BX650" s="1510">
        <f t="shared" si="32"/>
        <v>0</v>
      </c>
      <c r="BY650" s="1510"/>
      <c r="BZ650" s="1510"/>
      <c r="CA650" s="1510"/>
      <c r="CB650" s="1510"/>
      <c r="CC650" s="1510">
        <f t="shared" si="33"/>
        <v>0</v>
      </c>
      <c r="CD650" s="1510"/>
      <c r="CE650" s="1510"/>
      <c r="CF650" s="1510"/>
      <c r="CG650" s="1510"/>
      <c r="CH650" s="1510">
        <f t="shared" si="34"/>
        <v>0</v>
      </c>
      <c r="CI650" s="1510"/>
      <c r="CJ650" s="1510"/>
      <c r="CK650" s="1510"/>
      <c r="CL650" s="1510"/>
      <c r="CM650" s="1510">
        <f t="shared" si="35"/>
        <v>0</v>
      </c>
      <c r="CN650" s="1510"/>
      <c r="CO650" s="1510"/>
      <c r="CP650" s="1510"/>
      <c r="CQ650" s="1510"/>
      <c r="CR650" s="6"/>
      <c r="CS650" s="1507">
        <f t="shared" si="36"/>
        <v>0</v>
      </c>
      <c r="CT650" s="1508"/>
      <c r="CU650" s="1508"/>
      <c r="CV650" s="1508"/>
      <c r="CW650" s="1509"/>
      <c r="CX650" s="1507">
        <f t="shared" si="37"/>
        <v>0</v>
      </c>
      <c r="CY650" s="1508"/>
      <c r="CZ650" s="1508"/>
      <c r="DA650" s="1508"/>
      <c r="DB650" s="1509"/>
      <c r="DC650" s="1507">
        <f t="shared" si="38"/>
        <v>0</v>
      </c>
      <c r="DD650" s="1508"/>
      <c r="DE650" s="1508"/>
      <c r="DF650" s="1508"/>
      <c r="DG650" s="1509"/>
      <c r="DH650" s="1507">
        <f t="shared" si="39"/>
        <v>0</v>
      </c>
      <c r="DI650" s="1508"/>
      <c r="DJ650" s="1508"/>
      <c r="DK650" s="1508"/>
      <c r="DL650" s="1509"/>
      <c r="DM650" s="1507">
        <f t="shared" si="40"/>
        <v>0</v>
      </c>
      <c r="DN650" s="1508"/>
      <c r="DO650" s="1508"/>
      <c r="DP650" s="1508"/>
      <c r="DQ650" s="1509"/>
      <c r="DR650" s="1507">
        <f t="shared" si="41"/>
        <v>0</v>
      </c>
      <c r="DS650" s="1508"/>
      <c r="DT650" s="1508"/>
      <c r="DU650" s="1508"/>
      <c r="DV650" s="1509"/>
      <c r="DX650" s="1493" t="e">
        <f t="shared" si="29"/>
        <v>#VALUE!</v>
      </c>
      <c r="DY650" s="1493"/>
      <c r="DZ650" s="1493"/>
      <c r="EA650" s="1493"/>
      <c r="EB650" s="1493"/>
      <c r="EC650" s="1493" t="e">
        <f t="shared" si="24"/>
        <v>#VALUE!</v>
      </c>
      <c r="ED650" s="1493"/>
      <c r="EE650" s="1493"/>
      <c r="EF650" s="1493"/>
      <c r="EG650" s="1493"/>
      <c r="EH650" s="1493" t="e">
        <f t="shared" si="25"/>
        <v>#VALUE!</v>
      </c>
      <c r="EI650" s="1493"/>
      <c r="EJ650" s="1493"/>
      <c r="EK650" s="1493"/>
      <c r="EL650" s="1493"/>
      <c r="EM650" s="1493" t="e">
        <f t="shared" si="26"/>
        <v>#VALUE!</v>
      </c>
      <c r="EN650" s="1493"/>
      <c r="EO650" s="1493"/>
      <c r="EP650" s="1493"/>
      <c r="EQ650" s="1493"/>
      <c r="ER650" s="1493" t="e">
        <f t="shared" si="27"/>
        <v>#VALUE!</v>
      </c>
      <c r="ES650" s="1493"/>
      <c r="ET650" s="1493"/>
      <c r="EU650" s="1493"/>
      <c r="EV650" s="1493"/>
      <c r="EW650" s="1493" t="e">
        <f t="shared" si="28"/>
        <v>#VALUE!</v>
      </c>
      <c r="EX650" s="1493"/>
      <c r="EY650" s="1493"/>
      <c r="EZ650" s="1493"/>
      <c r="FA650" s="1493"/>
    </row>
    <row r="651" spans="1:157" ht="12.95" customHeight="1">
      <c r="A651" s="55" t="s">
        <v>119</v>
      </c>
      <c r="B651" t="s">
        <v>471</v>
      </c>
      <c r="G651" s="1474" t="str">
        <f>C629</f>
        <v>Deferred Developer Fee</v>
      </c>
      <c r="H651" s="1474"/>
      <c r="I651" s="1474"/>
      <c r="J651" s="1474"/>
      <c r="K651" s="1474"/>
      <c r="L651" s="1474"/>
      <c r="M651" s="1474"/>
      <c r="N651" s="1474"/>
      <c r="O651" s="1474"/>
      <c r="P651" s="1474"/>
      <c r="Q651" s="1474"/>
      <c r="R651" s="1474"/>
      <c r="T651" s="55" t="s">
        <v>589</v>
      </c>
      <c r="U651" t="s">
        <v>471</v>
      </c>
      <c r="Z651" s="1474">
        <f>C630</f>
        <v>0</v>
      </c>
      <c r="AA651" s="1474"/>
      <c r="AB651" s="1474"/>
      <c r="AC651" s="1474"/>
      <c r="AD651" s="1474"/>
      <c r="AE651" s="1474"/>
      <c r="AF651" s="1474"/>
      <c r="AG651" s="1474"/>
      <c r="AH651" s="1474"/>
      <c r="AI651" s="1474"/>
      <c r="AJ651" s="1474"/>
      <c r="AK651" s="1474"/>
      <c r="AZ651" s="34"/>
      <c r="BA651" s="34"/>
      <c r="BB651" s="34"/>
      <c r="BC651" s="34"/>
      <c r="BD651" s="34"/>
      <c r="BE651" s="34"/>
      <c r="BF651" s="34"/>
      <c r="BG651" s="34"/>
      <c r="BH651" s="34"/>
      <c r="BI651" s="34"/>
      <c r="BJ651" s="34"/>
      <c r="BK651" s="34"/>
      <c r="BL651" s="34"/>
      <c r="BM651" s="34"/>
      <c r="BN651" s="1507">
        <f t="shared" si="30"/>
        <v>0</v>
      </c>
      <c r="BO651" s="1508"/>
      <c r="BP651" s="1508"/>
      <c r="BQ651" s="1508"/>
      <c r="BR651" s="1509"/>
      <c r="BS651" s="1510">
        <f t="shared" si="31"/>
        <v>0</v>
      </c>
      <c r="BT651" s="1510"/>
      <c r="BU651" s="1510"/>
      <c r="BV651" s="1510"/>
      <c r="BW651" s="1510"/>
      <c r="BX651" s="1510">
        <f t="shared" si="32"/>
        <v>0</v>
      </c>
      <c r="BY651" s="1510"/>
      <c r="BZ651" s="1510"/>
      <c r="CA651" s="1510"/>
      <c r="CB651" s="1510"/>
      <c r="CC651" s="1510">
        <f t="shared" si="33"/>
        <v>0</v>
      </c>
      <c r="CD651" s="1510"/>
      <c r="CE651" s="1510"/>
      <c r="CF651" s="1510"/>
      <c r="CG651" s="1510"/>
      <c r="CH651" s="1510">
        <f t="shared" si="34"/>
        <v>0</v>
      </c>
      <c r="CI651" s="1510"/>
      <c r="CJ651" s="1510"/>
      <c r="CK651" s="1510"/>
      <c r="CL651" s="1510"/>
      <c r="CM651" s="1510">
        <f t="shared" si="35"/>
        <v>0</v>
      </c>
      <c r="CN651" s="1510"/>
      <c r="CO651" s="1510"/>
      <c r="CP651" s="1510"/>
      <c r="CQ651" s="1510"/>
      <c r="CR651" s="6"/>
      <c r="CS651" s="1507">
        <f t="shared" si="36"/>
        <v>0</v>
      </c>
      <c r="CT651" s="1508"/>
      <c r="CU651" s="1508"/>
      <c r="CV651" s="1508"/>
      <c r="CW651" s="1509"/>
      <c r="CX651" s="1507">
        <f t="shared" si="37"/>
        <v>0</v>
      </c>
      <c r="CY651" s="1508"/>
      <c r="CZ651" s="1508"/>
      <c r="DA651" s="1508"/>
      <c r="DB651" s="1509"/>
      <c r="DC651" s="1507">
        <f t="shared" si="38"/>
        <v>0</v>
      </c>
      <c r="DD651" s="1508"/>
      <c r="DE651" s="1508"/>
      <c r="DF651" s="1508"/>
      <c r="DG651" s="1509"/>
      <c r="DH651" s="1507">
        <f t="shared" si="39"/>
        <v>0</v>
      </c>
      <c r="DI651" s="1508"/>
      <c r="DJ651" s="1508"/>
      <c r="DK651" s="1508"/>
      <c r="DL651" s="1509"/>
      <c r="DM651" s="1507">
        <f t="shared" si="40"/>
        <v>0</v>
      </c>
      <c r="DN651" s="1508"/>
      <c r="DO651" s="1508"/>
      <c r="DP651" s="1508"/>
      <c r="DQ651" s="1509"/>
      <c r="DR651" s="1507">
        <f t="shared" si="41"/>
        <v>0</v>
      </c>
      <c r="DS651" s="1508"/>
      <c r="DT651" s="1508"/>
      <c r="DU651" s="1508"/>
      <c r="DV651" s="1509"/>
      <c r="DX651" s="1493" t="e">
        <f t="shared" si="29"/>
        <v>#VALUE!</v>
      </c>
      <c r="DY651" s="1493"/>
      <c r="DZ651" s="1493"/>
      <c r="EA651" s="1493"/>
      <c r="EB651" s="1493"/>
      <c r="EC651" s="1493" t="e">
        <f t="shared" si="24"/>
        <v>#VALUE!</v>
      </c>
      <c r="ED651" s="1493"/>
      <c r="EE651" s="1493"/>
      <c r="EF651" s="1493"/>
      <c r="EG651" s="1493"/>
      <c r="EH651" s="1493" t="e">
        <f t="shared" si="25"/>
        <v>#VALUE!</v>
      </c>
      <c r="EI651" s="1493"/>
      <c r="EJ651" s="1493"/>
      <c r="EK651" s="1493"/>
      <c r="EL651" s="1493"/>
      <c r="EM651" s="1493" t="e">
        <f t="shared" si="26"/>
        <v>#VALUE!</v>
      </c>
      <c r="EN651" s="1493"/>
      <c r="EO651" s="1493"/>
      <c r="EP651" s="1493"/>
      <c r="EQ651" s="1493"/>
      <c r="ER651" s="1493" t="e">
        <f t="shared" si="27"/>
        <v>#VALUE!</v>
      </c>
      <c r="ES651" s="1493"/>
      <c r="ET651" s="1493"/>
      <c r="EU651" s="1493"/>
      <c r="EV651" s="1493"/>
      <c r="EW651" s="1493" t="e">
        <f t="shared" si="28"/>
        <v>#VALUE!</v>
      </c>
      <c r="EX651" s="1493"/>
      <c r="EY651" s="1493"/>
      <c r="EZ651" s="1493"/>
      <c r="FA651" s="1493"/>
    </row>
    <row r="652" spans="1:157" ht="12.95" customHeight="1">
      <c r="A652" s="22"/>
      <c r="B652" t="s">
        <v>85</v>
      </c>
      <c r="G652" s="1407" t="s">
        <v>2768</v>
      </c>
      <c r="H652" s="1408"/>
      <c r="I652" s="1408"/>
      <c r="J652" s="1408"/>
      <c r="K652" s="1408"/>
      <c r="L652" s="1408"/>
      <c r="M652" s="1408"/>
      <c r="N652" s="1408"/>
      <c r="O652" s="1408"/>
      <c r="P652" s="1408"/>
      <c r="Q652" s="1408"/>
      <c r="R652" s="1408"/>
      <c r="T652" s="22"/>
      <c r="U652" t="s">
        <v>85</v>
      </c>
      <c r="Z652" s="1408"/>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BN652" s="1507">
        <f t="shared" si="30"/>
        <v>0</v>
      </c>
      <c r="BO652" s="1508"/>
      <c r="BP652" s="1508"/>
      <c r="BQ652" s="1508"/>
      <c r="BR652" s="1509"/>
      <c r="BS652" s="1510">
        <f t="shared" si="31"/>
        <v>0</v>
      </c>
      <c r="BT652" s="1510"/>
      <c r="BU652" s="1510"/>
      <c r="BV652" s="1510"/>
      <c r="BW652" s="1510"/>
      <c r="BX652" s="1510">
        <f t="shared" si="32"/>
        <v>0</v>
      </c>
      <c r="BY652" s="1510"/>
      <c r="BZ652" s="1510"/>
      <c r="CA652" s="1510"/>
      <c r="CB652" s="1510"/>
      <c r="CC652" s="1510">
        <f t="shared" si="33"/>
        <v>0</v>
      </c>
      <c r="CD652" s="1510"/>
      <c r="CE652" s="1510"/>
      <c r="CF652" s="1510"/>
      <c r="CG652" s="1510"/>
      <c r="CH652" s="1510">
        <f t="shared" si="34"/>
        <v>0</v>
      </c>
      <c r="CI652" s="1510"/>
      <c r="CJ652" s="1510"/>
      <c r="CK652" s="1510"/>
      <c r="CL652" s="1510"/>
      <c r="CM652" s="1510">
        <f t="shared" si="35"/>
        <v>0</v>
      </c>
      <c r="CN652" s="1510"/>
      <c r="CO652" s="1510"/>
      <c r="CP652" s="1510"/>
      <c r="CQ652" s="1510"/>
      <c r="CR652" s="6"/>
      <c r="CS652" s="1507">
        <f t="shared" si="36"/>
        <v>0</v>
      </c>
      <c r="CT652" s="1508"/>
      <c r="CU652" s="1508"/>
      <c r="CV652" s="1508"/>
      <c r="CW652" s="1509"/>
      <c r="CX652" s="1507">
        <f t="shared" si="37"/>
        <v>0</v>
      </c>
      <c r="CY652" s="1508"/>
      <c r="CZ652" s="1508"/>
      <c r="DA652" s="1508"/>
      <c r="DB652" s="1509"/>
      <c r="DC652" s="1507">
        <f t="shared" si="38"/>
        <v>0</v>
      </c>
      <c r="DD652" s="1508"/>
      <c r="DE652" s="1508"/>
      <c r="DF652" s="1508"/>
      <c r="DG652" s="1509"/>
      <c r="DH652" s="1507">
        <f t="shared" si="39"/>
        <v>0</v>
      </c>
      <c r="DI652" s="1508"/>
      <c r="DJ652" s="1508"/>
      <c r="DK652" s="1508"/>
      <c r="DL652" s="1509"/>
      <c r="DM652" s="1507">
        <f t="shared" si="40"/>
        <v>0</v>
      </c>
      <c r="DN652" s="1508"/>
      <c r="DO652" s="1508"/>
      <c r="DP652" s="1508"/>
      <c r="DQ652" s="1509"/>
      <c r="DR652" s="1507">
        <f t="shared" si="41"/>
        <v>0</v>
      </c>
      <c r="DS652" s="1508"/>
      <c r="DT652" s="1508"/>
      <c r="DU652" s="1508"/>
      <c r="DV652" s="1509"/>
      <c r="DX652" s="1493" t="e">
        <f t="shared" si="29"/>
        <v>#VALUE!</v>
      </c>
      <c r="DY652" s="1493"/>
      <c r="DZ652" s="1493"/>
      <c r="EA652" s="1493"/>
      <c r="EB652" s="1493"/>
      <c r="EC652" s="1493" t="e">
        <f t="shared" si="24"/>
        <v>#VALUE!</v>
      </c>
      <c r="ED652" s="1493"/>
      <c r="EE652" s="1493"/>
      <c r="EF652" s="1493"/>
      <c r="EG652" s="1493"/>
      <c r="EH652" s="1493" t="e">
        <f t="shared" si="25"/>
        <v>#VALUE!</v>
      </c>
      <c r="EI652" s="1493"/>
      <c r="EJ652" s="1493"/>
      <c r="EK652" s="1493"/>
      <c r="EL652" s="1493"/>
      <c r="EM652" s="1493" t="e">
        <f t="shared" si="26"/>
        <v>#VALUE!</v>
      </c>
      <c r="EN652" s="1493"/>
      <c r="EO652" s="1493"/>
      <c r="EP652" s="1493"/>
      <c r="EQ652" s="1493"/>
      <c r="ER652" s="1493" t="e">
        <f t="shared" si="27"/>
        <v>#VALUE!</v>
      </c>
      <c r="ES652" s="1493"/>
      <c r="ET652" s="1493"/>
      <c r="EU652" s="1493"/>
      <c r="EV652" s="1493"/>
      <c r="EW652" s="1493" t="e">
        <f t="shared" si="28"/>
        <v>#VALUE!</v>
      </c>
      <c r="EX652" s="1493"/>
      <c r="EY652" s="1493"/>
      <c r="EZ652" s="1493"/>
      <c r="FA652" s="1493"/>
    </row>
    <row r="653" spans="1:157" ht="12.95" customHeight="1">
      <c r="A653" s="22"/>
      <c r="B653" t="s">
        <v>588</v>
      </c>
      <c r="G653" s="1506" t="s">
        <v>2656</v>
      </c>
      <c r="H653" s="1417"/>
      <c r="I653" s="1417"/>
      <c r="J653" s="1417"/>
      <c r="K653" s="1417"/>
      <c r="L653" s="1417"/>
      <c r="M653" s="1417"/>
      <c r="N653" s="1417"/>
      <c r="O653" s="1417"/>
      <c r="P653" s="1417"/>
      <c r="Q653" s="1417"/>
      <c r="R653" s="1417"/>
      <c r="T653" s="22"/>
      <c r="U653" t="s">
        <v>588</v>
      </c>
      <c r="Z653" s="1417"/>
      <c r="AA653" s="1417"/>
      <c r="AB653" s="1417"/>
      <c r="AC653" s="1417"/>
      <c r="AD653" s="1417"/>
      <c r="AE653" s="1417"/>
      <c r="AF653" s="1417"/>
      <c r="AG653" s="1417"/>
      <c r="AH653" s="1417"/>
      <c r="AI653" s="1417"/>
      <c r="AJ653" s="1417"/>
      <c r="AK653" s="1417"/>
      <c r="AZ653" s="34"/>
      <c r="BA653" s="34"/>
      <c r="BB653" s="34"/>
      <c r="BC653" s="34"/>
      <c r="BD653" s="34"/>
      <c r="BE653" s="34"/>
      <c r="BF653" s="34"/>
      <c r="BG653" s="34"/>
      <c r="BH653" s="34"/>
      <c r="BI653" s="34"/>
      <c r="BJ653" s="34"/>
      <c r="BK653" s="34"/>
      <c r="BL653" s="34"/>
      <c r="BM653" s="34"/>
      <c r="BN653" s="1507">
        <f t="shared" si="30"/>
        <v>0</v>
      </c>
      <c r="BO653" s="1508"/>
      <c r="BP653" s="1508"/>
      <c r="BQ653" s="1508"/>
      <c r="BR653" s="1509"/>
      <c r="BS653" s="1510">
        <f t="shared" si="31"/>
        <v>0</v>
      </c>
      <c r="BT653" s="1510"/>
      <c r="BU653" s="1510"/>
      <c r="BV653" s="1510"/>
      <c r="BW653" s="1510"/>
      <c r="BX653" s="1510">
        <f t="shared" si="32"/>
        <v>0</v>
      </c>
      <c r="BY653" s="1510"/>
      <c r="BZ653" s="1510"/>
      <c r="CA653" s="1510"/>
      <c r="CB653" s="1510"/>
      <c r="CC653" s="1510">
        <f t="shared" si="33"/>
        <v>0</v>
      </c>
      <c r="CD653" s="1510"/>
      <c r="CE653" s="1510"/>
      <c r="CF653" s="1510"/>
      <c r="CG653" s="1510"/>
      <c r="CH653" s="1510">
        <f t="shared" si="34"/>
        <v>0</v>
      </c>
      <c r="CI653" s="1510"/>
      <c r="CJ653" s="1510"/>
      <c r="CK653" s="1510"/>
      <c r="CL653" s="1510"/>
      <c r="CM653" s="1510">
        <f t="shared" si="35"/>
        <v>0</v>
      </c>
      <c r="CN653" s="1510"/>
      <c r="CO653" s="1510"/>
      <c r="CP653" s="1510"/>
      <c r="CQ653" s="1510"/>
      <c r="CR653" s="6"/>
      <c r="CS653" s="1507">
        <f t="shared" si="36"/>
        <v>0</v>
      </c>
      <c r="CT653" s="1508"/>
      <c r="CU653" s="1508"/>
      <c r="CV653" s="1508"/>
      <c r="CW653" s="1509"/>
      <c r="CX653" s="1507">
        <f t="shared" si="37"/>
        <v>0</v>
      </c>
      <c r="CY653" s="1508"/>
      <c r="CZ653" s="1508"/>
      <c r="DA653" s="1508"/>
      <c r="DB653" s="1509"/>
      <c r="DC653" s="1507">
        <f t="shared" si="38"/>
        <v>0</v>
      </c>
      <c r="DD653" s="1508"/>
      <c r="DE653" s="1508"/>
      <c r="DF653" s="1508"/>
      <c r="DG653" s="1509"/>
      <c r="DH653" s="1507">
        <f t="shared" si="39"/>
        <v>0</v>
      </c>
      <c r="DI653" s="1508"/>
      <c r="DJ653" s="1508"/>
      <c r="DK653" s="1508"/>
      <c r="DL653" s="1509"/>
      <c r="DM653" s="1507">
        <f t="shared" si="40"/>
        <v>0</v>
      </c>
      <c r="DN653" s="1508"/>
      <c r="DO653" s="1508"/>
      <c r="DP653" s="1508"/>
      <c r="DQ653" s="1509"/>
      <c r="DR653" s="1507">
        <f t="shared" si="41"/>
        <v>0</v>
      </c>
      <c r="DS653" s="1508"/>
      <c r="DT653" s="1508"/>
      <c r="DU653" s="1508"/>
      <c r="DV653" s="1509"/>
      <c r="DX653" s="1493" t="e">
        <f t="shared" si="29"/>
        <v>#VALUE!</v>
      </c>
      <c r="DY653" s="1493"/>
      <c r="DZ653" s="1493"/>
      <c r="EA653" s="1493"/>
      <c r="EB653" s="1493"/>
      <c r="EC653" s="1493" t="e">
        <f t="shared" si="24"/>
        <v>#VALUE!</v>
      </c>
      <c r="ED653" s="1493"/>
      <c r="EE653" s="1493"/>
      <c r="EF653" s="1493"/>
      <c r="EG653" s="1493"/>
      <c r="EH653" s="1493" t="e">
        <f t="shared" si="25"/>
        <v>#VALUE!</v>
      </c>
      <c r="EI653" s="1493"/>
      <c r="EJ653" s="1493"/>
      <c r="EK653" s="1493"/>
      <c r="EL653" s="1493"/>
      <c r="EM653" s="1493" t="e">
        <f t="shared" si="26"/>
        <v>#VALUE!</v>
      </c>
      <c r="EN653" s="1493"/>
      <c r="EO653" s="1493"/>
      <c r="EP653" s="1493"/>
      <c r="EQ653" s="1493"/>
      <c r="ER653" s="1493" t="e">
        <f t="shared" si="27"/>
        <v>#VALUE!</v>
      </c>
      <c r="ES653" s="1493"/>
      <c r="ET653" s="1493"/>
      <c r="EU653" s="1493"/>
      <c r="EV653" s="1493"/>
      <c r="EW653" s="1493" t="e">
        <f t="shared" si="28"/>
        <v>#VALUE!</v>
      </c>
      <c r="EX653" s="1493"/>
      <c r="EY653" s="1493"/>
      <c r="EZ653" s="1493"/>
      <c r="FA653" s="1493"/>
    </row>
    <row r="654" spans="1:157" ht="12.95" customHeight="1">
      <c r="A654" s="22"/>
      <c r="B654" t="s">
        <v>17</v>
      </c>
      <c r="G654" s="1506" t="s">
        <v>2694</v>
      </c>
      <c r="H654" s="1417"/>
      <c r="I654" s="1417"/>
      <c r="J654" s="1417"/>
      <c r="K654" s="1417"/>
      <c r="L654" s="1417"/>
      <c r="M654" s="1417"/>
      <c r="N654" s="1417"/>
      <c r="O654" s="1417"/>
      <c r="P654" s="1417"/>
      <c r="Q654" s="1417"/>
      <c r="R654" s="1417"/>
      <c r="T654" s="22"/>
      <c r="U654" t="s">
        <v>17</v>
      </c>
      <c r="Z654" s="1417"/>
      <c r="AA654" s="1417"/>
      <c r="AB654" s="1417"/>
      <c r="AC654" s="1417"/>
      <c r="AD654" s="1417"/>
      <c r="AE654" s="1417"/>
      <c r="AF654" s="1417"/>
      <c r="AG654" s="1417"/>
      <c r="AH654" s="1417"/>
      <c r="AI654" s="1417"/>
      <c r="AJ654" s="1417"/>
      <c r="AK654" s="1417"/>
      <c r="AZ654" s="34"/>
      <c r="BA654" s="34"/>
      <c r="BB654" s="34"/>
      <c r="BC654" s="34"/>
      <c r="BD654" s="34"/>
      <c r="BE654" s="34"/>
      <c r="BF654" s="34"/>
      <c r="BG654" s="34"/>
      <c r="BH654" s="34"/>
      <c r="BI654" s="34"/>
      <c r="BJ654" s="34"/>
      <c r="BK654" s="34"/>
      <c r="BL654" s="34"/>
      <c r="BM654" s="34"/>
      <c r="BN654" s="1507">
        <f t="shared" si="30"/>
        <v>0</v>
      </c>
      <c r="BO654" s="1508"/>
      <c r="BP654" s="1508"/>
      <c r="BQ654" s="1508"/>
      <c r="BR654" s="1509"/>
      <c r="BS654" s="1510">
        <f t="shared" si="31"/>
        <v>0</v>
      </c>
      <c r="BT654" s="1510"/>
      <c r="BU654" s="1510"/>
      <c r="BV654" s="1510"/>
      <c r="BW654" s="1510"/>
      <c r="BX654" s="1510">
        <f t="shared" si="32"/>
        <v>0</v>
      </c>
      <c r="BY654" s="1510"/>
      <c r="BZ654" s="1510"/>
      <c r="CA654" s="1510"/>
      <c r="CB654" s="1510"/>
      <c r="CC654" s="1510">
        <f t="shared" si="33"/>
        <v>0</v>
      </c>
      <c r="CD654" s="1510"/>
      <c r="CE654" s="1510"/>
      <c r="CF654" s="1510"/>
      <c r="CG654" s="1510"/>
      <c r="CH654" s="1510">
        <f t="shared" si="34"/>
        <v>0</v>
      </c>
      <c r="CI654" s="1510"/>
      <c r="CJ654" s="1510"/>
      <c r="CK654" s="1510"/>
      <c r="CL654" s="1510"/>
      <c r="CM654" s="1510">
        <f t="shared" si="35"/>
        <v>0</v>
      </c>
      <c r="CN654" s="1510"/>
      <c r="CO654" s="1510"/>
      <c r="CP654" s="1510"/>
      <c r="CQ654" s="1510"/>
      <c r="CR654" s="6"/>
      <c r="CS654" s="1507">
        <f t="shared" si="36"/>
        <v>0</v>
      </c>
      <c r="CT654" s="1508"/>
      <c r="CU654" s="1508"/>
      <c r="CV654" s="1508"/>
      <c r="CW654" s="1509"/>
      <c r="CX654" s="1507">
        <f t="shared" si="37"/>
        <v>0</v>
      </c>
      <c r="CY654" s="1508"/>
      <c r="CZ654" s="1508"/>
      <c r="DA654" s="1508"/>
      <c r="DB654" s="1509"/>
      <c r="DC654" s="1507">
        <f t="shared" si="38"/>
        <v>0</v>
      </c>
      <c r="DD654" s="1508"/>
      <c r="DE654" s="1508"/>
      <c r="DF654" s="1508"/>
      <c r="DG654" s="1509"/>
      <c r="DH654" s="1507">
        <f t="shared" si="39"/>
        <v>0</v>
      </c>
      <c r="DI654" s="1508"/>
      <c r="DJ654" s="1508"/>
      <c r="DK654" s="1508"/>
      <c r="DL654" s="1509"/>
      <c r="DM654" s="1507">
        <f t="shared" si="40"/>
        <v>0</v>
      </c>
      <c r="DN654" s="1508"/>
      <c r="DO654" s="1508"/>
      <c r="DP654" s="1508"/>
      <c r="DQ654" s="1509"/>
      <c r="DR654" s="1507">
        <f t="shared" si="41"/>
        <v>0</v>
      </c>
      <c r="DS654" s="1508"/>
      <c r="DT654" s="1508"/>
      <c r="DU654" s="1508"/>
      <c r="DV654" s="1509"/>
      <c r="DX654" s="1493" t="e">
        <f t="shared" si="29"/>
        <v>#VALUE!</v>
      </c>
      <c r="DY654" s="1493"/>
      <c r="DZ654" s="1493"/>
      <c r="EA654" s="1493"/>
      <c r="EB654" s="1493"/>
      <c r="EC654" s="1493" t="e">
        <f t="shared" si="24"/>
        <v>#VALUE!</v>
      </c>
      <c r="ED654" s="1493"/>
      <c r="EE654" s="1493"/>
      <c r="EF654" s="1493"/>
      <c r="EG654" s="1493"/>
      <c r="EH654" s="1493" t="e">
        <f t="shared" si="25"/>
        <v>#VALUE!</v>
      </c>
      <c r="EI654" s="1493"/>
      <c r="EJ654" s="1493"/>
      <c r="EK654" s="1493"/>
      <c r="EL654" s="1493"/>
      <c r="EM654" s="1493" t="e">
        <f t="shared" si="26"/>
        <v>#VALUE!</v>
      </c>
      <c r="EN654" s="1493"/>
      <c r="EO654" s="1493"/>
      <c r="EP654" s="1493"/>
      <c r="EQ654" s="1493"/>
      <c r="ER654" s="1493" t="e">
        <f t="shared" si="27"/>
        <v>#VALUE!</v>
      </c>
      <c r="ES654" s="1493"/>
      <c r="ET654" s="1493"/>
      <c r="EU654" s="1493"/>
      <c r="EV654" s="1493"/>
      <c r="EW654" s="1493" t="e">
        <f t="shared" si="28"/>
        <v>#VALUE!</v>
      </c>
      <c r="EX654" s="1493"/>
      <c r="EY654" s="1493"/>
      <c r="EZ654" s="1493"/>
      <c r="FA654" s="1493"/>
    </row>
    <row r="655" spans="1:157" ht="12.95" customHeight="1">
      <c r="A655" s="22"/>
      <c r="B655" t="s">
        <v>317</v>
      </c>
      <c r="G655" s="1405" t="s">
        <v>2695</v>
      </c>
      <c r="H655" s="1406"/>
      <c r="I655" s="1406"/>
      <c r="J655" s="1406"/>
      <c r="K655" s="1406"/>
      <c r="L655" s="1406"/>
      <c r="O655" s="33" t="s">
        <v>207</v>
      </c>
      <c r="P655" s="1473"/>
      <c r="Q655" s="1473"/>
      <c r="R655" s="1473"/>
      <c r="T655" s="22"/>
      <c r="U655" t="s">
        <v>317</v>
      </c>
      <c r="Z655" s="1406"/>
      <c r="AA655" s="1406"/>
      <c r="AB655" s="1406"/>
      <c r="AC655" s="1406"/>
      <c r="AD655" s="1406"/>
      <c r="AE655" s="1406"/>
      <c r="AH655" s="33" t="s">
        <v>207</v>
      </c>
      <c r="AI655" s="1473"/>
      <c r="AJ655" s="1473"/>
      <c r="AK655" s="1473"/>
      <c r="AZ655" s="34"/>
      <c r="BA655" s="34"/>
      <c r="BB655" s="34"/>
      <c r="BC655" s="34"/>
      <c r="BD655" s="34"/>
      <c r="BE655" s="34"/>
      <c r="BF655" s="34"/>
      <c r="BG655" s="34"/>
      <c r="BH655" s="34"/>
      <c r="BI655" s="34"/>
      <c r="BJ655" s="34"/>
      <c r="BK655" s="34"/>
      <c r="BL655" s="34"/>
      <c r="BM655" s="34"/>
      <c r="BN655" s="1511">
        <f>SUM(BN645:BR654)</f>
        <v>0</v>
      </c>
      <c r="BO655" s="1512"/>
      <c r="BP655" s="1512"/>
      <c r="BQ655" s="1512"/>
      <c r="BR655" s="1513"/>
      <c r="BS655" s="1514">
        <f>SUM(BS645:BW654)</f>
        <v>0</v>
      </c>
      <c r="BT655" s="1515"/>
      <c r="BU655" s="1515"/>
      <c r="BV655" s="1515"/>
      <c r="BW655" s="1516"/>
      <c r="BX655" s="1514">
        <f>SUM(BX645:CB654)</f>
        <v>0</v>
      </c>
      <c r="BY655" s="1515"/>
      <c r="BZ655" s="1515"/>
      <c r="CA655" s="1515"/>
      <c r="CB655" s="1516"/>
      <c r="CC655" s="1514">
        <f>SUM(CC645:CG654)</f>
        <v>0</v>
      </c>
      <c r="CD655" s="1515"/>
      <c r="CE655" s="1515"/>
      <c r="CF655" s="1515"/>
      <c r="CG655" s="1516"/>
      <c r="CH655" s="1514">
        <f>SUM(CH645:CL654)</f>
        <v>0</v>
      </c>
      <c r="CI655" s="1515"/>
      <c r="CJ655" s="1515"/>
      <c r="CK655" s="1515"/>
      <c r="CL655" s="1516"/>
      <c r="CM655" s="1514">
        <f>SUM(CM645:CQ654)</f>
        <v>0</v>
      </c>
      <c r="CN655" s="1515"/>
      <c r="CO655" s="1515"/>
      <c r="CP655" s="1515"/>
      <c r="CQ655" s="1516"/>
      <c r="CR655" s="1047"/>
      <c r="CS655" s="1392">
        <f>SUM(CS645:CW654)</f>
        <v>0</v>
      </c>
      <c r="CT655" s="1392"/>
      <c r="CU655" s="1392"/>
      <c r="CV655" s="1392"/>
      <c r="CW655" s="1392"/>
      <c r="CX655" s="1392">
        <f>SUM(CX645:DB654)</f>
        <v>0</v>
      </c>
      <c r="CY655" s="1392"/>
      <c r="CZ655" s="1392"/>
      <c r="DA655" s="1392"/>
      <c r="DB655" s="1392"/>
      <c r="DC655" s="1392">
        <f>SUM(DC645:DG654)</f>
        <v>0</v>
      </c>
      <c r="DD655" s="1392"/>
      <c r="DE655" s="1392"/>
      <c r="DF655" s="1392"/>
      <c r="DG655" s="1392"/>
      <c r="DH655" s="1392">
        <f>SUM(DH645:DL654)</f>
        <v>0</v>
      </c>
      <c r="DI655" s="1392"/>
      <c r="DJ655" s="1392"/>
      <c r="DK655" s="1392"/>
      <c r="DL655" s="1392"/>
      <c r="DM655" s="1392">
        <f>SUM(DM645:DQ654)</f>
        <v>0</v>
      </c>
      <c r="DN655" s="1392"/>
      <c r="DO655" s="1392"/>
      <c r="DP655" s="1392"/>
      <c r="DQ655" s="1392"/>
      <c r="DR655" s="1392">
        <f>SUM(DR645:DV654)</f>
        <v>0</v>
      </c>
      <c r="DS655" s="1392"/>
      <c r="DT655" s="1392"/>
      <c r="DU655" s="1392"/>
      <c r="DV655" s="1392"/>
      <c r="DX655" s="1493" t="e">
        <f t="shared" si="29"/>
        <v>#VALUE!</v>
      </c>
      <c r="DY655" s="1493"/>
      <c r="DZ655" s="1493"/>
      <c r="EA655" s="1493"/>
      <c r="EB655" s="1493"/>
      <c r="EC655" s="1493" t="e">
        <f t="shared" si="24"/>
        <v>#VALUE!</v>
      </c>
      <c r="ED655" s="1493"/>
      <c r="EE655" s="1493"/>
      <c r="EF655" s="1493"/>
      <c r="EG655" s="1493"/>
      <c r="EH655" s="1493" t="e">
        <f t="shared" si="25"/>
        <v>#VALUE!</v>
      </c>
      <c r="EI655" s="1493"/>
      <c r="EJ655" s="1493"/>
      <c r="EK655" s="1493"/>
      <c r="EL655" s="1493"/>
      <c r="EM655" s="1493" t="e">
        <f t="shared" si="26"/>
        <v>#VALUE!</v>
      </c>
      <c r="EN655" s="1493"/>
      <c r="EO655" s="1493"/>
      <c r="EP655" s="1493"/>
      <c r="EQ655" s="1493"/>
      <c r="ER655" s="1493" t="e">
        <f t="shared" si="27"/>
        <v>#VALUE!</v>
      </c>
      <c r="ES655" s="1493"/>
      <c r="ET655" s="1493"/>
      <c r="EU655" s="1493"/>
      <c r="EV655" s="1493"/>
      <c r="EW655" s="1493" t="e">
        <f t="shared" si="28"/>
        <v>#VALUE!</v>
      </c>
      <c r="EX655" s="1493"/>
      <c r="EY655" s="1493"/>
      <c r="EZ655" s="1493"/>
      <c r="FA655" s="1493"/>
    </row>
    <row r="656" spans="1:157" ht="12.95" customHeight="1">
      <c r="A656" s="22"/>
      <c r="B656" t="s">
        <v>18</v>
      </c>
      <c r="H656" s="1407" t="s">
        <v>2723</v>
      </c>
      <c r="I656" s="1408"/>
      <c r="J656" s="1408"/>
      <c r="K656" s="1408"/>
      <c r="L656" s="1408"/>
      <c r="M656" s="1408"/>
      <c r="N656" s="1408"/>
      <c r="O656" s="1408"/>
      <c r="P656" s="1408"/>
      <c r="Q656" s="1408"/>
      <c r="R656" s="1408"/>
      <c r="T656" s="22"/>
      <c r="U656" t="s">
        <v>18</v>
      </c>
      <c r="AA656" s="1408"/>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3" t="e">
        <f t="shared" si="29"/>
        <v>#VALUE!</v>
      </c>
      <c r="DY656" s="1493"/>
      <c r="DZ656" s="1493"/>
      <c r="EA656" s="1493"/>
      <c r="EB656" s="1493"/>
      <c r="EC656" s="1493" t="e">
        <f t="shared" si="24"/>
        <v>#VALUE!</v>
      </c>
      <c r="ED656" s="1493"/>
      <c r="EE656" s="1493"/>
      <c r="EF656" s="1493"/>
      <c r="EG656" s="1493"/>
      <c r="EH656" s="1493" t="e">
        <f t="shared" si="25"/>
        <v>#VALUE!</v>
      </c>
      <c r="EI656" s="1493"/>
      <c r="EJ656" s="1493"/>
      <c r="EK656" s="1493"/>
      <c r="EL656" s="1493"/>
      <c r="EM656" s="1493" t="e">
        <f t="shared" si="26"/>
        <v>#VALUE!</v>
      </c>
      <c r="EN656" s="1493"/>
      <c r="EO656" s="1493"/>
      <c r="EP656" s="1493"/>
      <c r="EQ656" s="1493"/>
      <c r="ER656" s="1493" t="e">
        <f t="shared" si="27"/>
        <v>#VALUE!</v>
      </c>
      <c r="ES656" s="1493"/>
      <c r="ET656" s="1493"/>
      <c r="EU656" s="1493"/>
      <c r="EV656" s="1493"/>
      <c r="EW656" s="1493" t="e">
        <f t="shared" si="28"/>
        <v>#VALUE!</v>
      </c>
      <c r="EX656" s="1493"/>
      <c r="EY656" s="1493"/>
      <c r="EZ656" s="1493"/>
      <c r="FA656" s="1493"/>
    </row>
    <row r="657" spans="1:157" ht="12.95" customHeight="1">
      <c r="A657" s="22"/>
      <c r="B657" t="s">
        <v>20</v>
      </c>
      <c r="N657" s="1416" t="s">
        <v>553</v>
      </c>
      <c r="O657" s="1416"/>
      <c r="T657" s="22"/>
      <c r="U657" t="s">
        <v>20</v>
      </c>
      <c r="AG657" s="1416" t="s">
        <v>677</v>
      </c>
      <c r="AH657" s="1416"/>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93">
        <f>SUM(CS655:DV655)</f>
        <v>0</v>
      </c>
      <c r="DS657" s="1493"/>
      <c r="DT657" s="1493"/>
      <c r="DU657" s="1493"/>
      <c r="DV657" s="1493"/>
      <c r="DX657" s="1493" t="e">
        <f t="shared" si="29"/>
        <v>#VALUE!</v>
      </c>
      <c r="DY657" s="1493"/>
      <c r="DZ657" s="1493"/>
      <c r="EA657" s="1493"/>
      <c r="EB657" s="1493"/>
      <c r="EC657" s="1493" t="e">
        <f t="shared" si="24"/>
        <v>#VALUE!</v>
      </c>
      <c r="ED657" s="1493"/>
      <c r="EE657" s="1493"/>
      <c r="EF657" s="1493"/>
      <c r="EG657" s="1493"/>
      <c r="EH657" s="1493" t="e">
        <f t="shared" si="25"/>
        <v>#VALUE!</v>
      </c>
      <c r="EI657" s="1493"/>
      <c r="EJ657" s="1493"/>
      <c r="EK657" s="1493"/>
      <c r="EL657" s="1493"/>
      <c r="EM657" s="1493" t="e">
        <f t="shared" si="26"/>
        <v>#VALUE!</v>
      </c>
      <c r="EN657" s="1493"/>
      <c r="EO657" s="1493"/>
      <c r="EP657" s="1493"/>
      <c r="EQ657" s="1493"/>
      <c r="ER657" s="1493" t="e">
        <f t="shared" si="27"/>
        <v>#VALUE!</v>
      </c>
      <c r="ES657" s="1493"/>
      <c r="ET657" s="1493"/>
      <c r="EU657" s="1493"/>
      <c r="EV657" s="1493"/>
      <c r="EW657" s="1493" t="e">
        <f t="shared" si="28"/>
        <v>#VALUE!</v>
      </c>
      <c r="EX657" s="1493"/>
      <c r="EY657" s="1493"/>
      <c r="EZ657" s="1493"/>
      <c r="FA657" s="149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93" t="e">
        <f t="shared" ref="DX658:DX667" si="42">DX620*(BN620/$BN$632)</f>
        <v>#VALUE!</v>
      </c>
      <c r="DY658" s="1493"/>
      <c r="DZ658" s="1493"/>
      <c r="EA658" s="1493"/>
      <c r="EB658" s="1493"/>
      <c r="EC658" s="1493" t="e">
        <f t="shared" ref="EC658:EC667" si="43">EC620*(BS620/$BS$632)</f>
        <v>#VALUE!</v>
      </c>
      <c r="ED658" s="1493"/>
      <c r="EE658" s="1493"/>
      <c r="EF658" s="1493"/>
      <c r="EG658" s="1493"/>
      <c r="EH658" s="1493" t="e">
        <f t="shared" ref="EH658:EH667" si="44">EH620*(BX620/$BX$632)</f>
        <v>#VALUE!</v>
      </c>
      <c r="EI658" s="1493"/>
      <c r="EJ658" s="1493"/>
      <c r="EK658" s="1493"/>
      <c r="EL658" s="1493"/>
      <c r="EM658" s="1493" t="e">
        <f t="shared" ref="EM658:EM667" si="45">EM620*(CC620/$CC$632)</f>
        <v>#VALUE!</v>
      </c>
      <c r="EN658" s="1493"/>
      <c r="EO658" s="1493"/>
      <c r="EP658" s="1493"/>
      <c r="EQ658" s="1493"/>
      <c r="ER658" s="1493" t="e">
        <f t="shared" ref="ER658:ER667" si="46">ER620*(CH620/$CH$632)</f>
        <v>#VALUE!</v>
      </c>
      <c r="ES658" s="1493"/>
      <c r="ET658" s="1493"/>
      <c r="EU658" s="1493"/>
      <c r="EV658" s="1493"/>
      <c r="EW658" s="1493" t="e">
        <f t="shared" ref="EW658:EW667" si="47">EW620*(CM620/$CM$632)</f>
        <v>#VALUE!</v>
      </c>
      <c r="EX658" s="1493"/>
      <c r="EY658" s="1493"/>
      <c r="EZ658" s="1493"/>
      <c r="FA658" s="1493"/>
    </row>
    <row r="659" spans="1:157" ht="12.95" customHeight="1">
      <c r="A659" s="55" t="s">
        <v>772</v>
      </c>
      <c r="B659" t="s">
        <v>471</v>
      </c>
      <c r="G659" s="1474">
        <f>C631</f>
        <v>0</v>
      </c>
      <c r="H659" s="1474"/>
      <c r="I659" s="1474"/>
      <c r="J659" s="1474"/>
      <c r="K659" s="1474"/>
      <c r="L659" s="1474"/>
      <c r="M659" s="1474"/>
      <c r="N659" s="1474"/>
      <c r="O659" s="1474"/>
      <c r="P659" s="1474"/>
      <c r="Q659" s="1474"/>
      <c r="R659" s="1474"/>
      <c r="T659" s="55" t="s">
        <v>592</v>
      </c>
      <c r="U659" t="s">
        <v>471</v>
      </c>
      <c r="Z659" s="1474">
        <f>C632</f>
        <v>0</v>
      </c>
      <c r="AA659" s="1474"/>
      <c r="AB659" s="1474"/>
      <c r="AC659" s="1474"/>
      <c r="AD659" s="1474"/>
      <c r="AE659" s="1474"/>
      <c r="AF659" s="1474"/>
      <c r="AG659" s="1474"/>
      <c r="AH659" s="1474"/>
      <c r="AI659" s="1474"/>
      <c r="AJ659" s="1474"/>
      <c r="AK659" s="147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3" t="e">
        <f t="shared" si="42"/>
        <v>#VALUE!</v>
      </c>
      <c r="DY659" s="1493"/>
      <c r="DZ659" s="1493"/>
      <c r="EA659" s="1493"/>
      <c r="EB659" s="1493"/>
      <c r="EC659" s="1493" t="e">
        <f t="shared" si="43"/>
        <v>#VALUE!</v>
      </c>
      <c r="ED659" s="1493"/>
      <c r="EE659" s="1493"/>
      <c r="EF659" s="1493"/>
      <c r="EG659" s="1493"/>
      <c r="EH659" s="1493" t="e">
        <f t="shared" si="44"/>
        <v>#VALUE!</v>
      </c>
      <c r="EI659" s="1493"/>
      <c r="EJ659" s="1493"/>
      <c r="EK659" s="1493"/>
      <c r="EL659" s="1493"/>
      <c r="EM659" s="1493" t="e">
        <f t="shared" si="45"/>
        <v>#VALUE!</v>
      </c>
      <c r="EN659" s="1493"/>
      <c r="EO659" s="1493"/>
      <c r="EP659" s="1493"/>
      <c r="EQ659" s="1493"/>
      <c r="ER659" s="1493" t="e">
        <f t="shared" si="46"/>
        <v>#VALUE!</v>
      </c>
      <c r="ES659" s="1493"/>
      <c r="ET659" s="1493"/>
      <c r="EU659" s="1493"/>
      <c r="EV659" s="1493"/>
      <c r="EW659" s="1493" t="e">
        <f t="shared" si="47"/>
        <v>#VALUE!</v>
      </c>
      <c r="EX659" s="1493"/>
      <c r="EY659" s="1493"/>
      <c r="EZ659" s="1493"/>
      <c r="FA659" s="1493"/>
    </row>
    <row r="660" spans="1:157" ht="12.95"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BN660" s="1514">
        <f>BN632+BN641+BN655</f>
        <v>45</v>
      </c>
      <c r="BO660" s="1515"/>
      <c r="BP660" s="1515"/>
      <c r="BQ660" s="1515"/>
      <c r="BR660" s="1516"/>
      <c r="BS660" s="1514">
        <f>BS632+BS641+BS655</f>
        <v>71</v>
      </c>
      <c r="BT660" s="1515"/>
      <c r="BU660" s="1515"/>
      <c r="BV660" s="1515"/>
      <c r="BW660" s="1516"/>
      <c r="BX660" s="1514">
        <f>BX632+BX641+BX655</f>
        <v>1</v>
      </c>
      <c r="BY660" s="1515"/>
      <c r="BZ660" s="1515"/>
      <c r="CA660" s="1515"/>
      <c r="CB660" s="1516"/>
      <c r="CC660" s="1514">
        <f>CC632+CC641+CC655</f>
        <v>0</v>
      </c>
      <c r="CD660" s="1515"/>
      <c r="CE660" s="1515"/>
      <c r="CF660" s="1515"/>
      <c r="CG660" s="1516"/>
      <c r="CH660" s="1514">
        <f>CH632+CH641+CH655</f>
        <v>0</v>
      </c>
      <c r="CI660" s="1515"/>
      <c r="CJ660" s="1515"/>
      <c r="CK660" s="1515"/>
      <c r="CL660" s="1516"/>
      <c r="CM660" s="1519">
        <f>CM655+CM641+CM632</f>
        <v>0</v>
      </c>
      <c r="CN660" s="1520"/>
      <c r="CO660" s="1520"/>
      <c r="CP660" s="1520"/>
      <c r="CQ660" s="1521"/>
      <c r="CR660" s="3"/>
      <c r="CS660" s="895">
        <f>CS634+CS658</f>
        <v>116</v>
      </c>
      <c r="CT660" s="57" t="s">
        <v>2053</v>
      </c>
      <c r="CU660" s="3"/>
      <c r="CV660" s="3"/>
      <c r="CW660" s="3"/>
      <c r="CX660" s="3"/>
      <c r="CY660" s="3"/>
      <c r="CZ660" s="3"/>
      <c r="DA660" s="3"/>
      <c r="DB660" s="3"/>
      <c r="DC660" s="3"/>
      <c r="DD660" s="3"/>
      <c r="DE660" s="3"/>
      <c r="DF660" s="3"/>
      <c r="DX660" s="1493" t="e">
        <f t="shared" si="42"/>
        <v>#VALUE!</v>
      </c>
      <c r="DY660" s="1493"/>
      <c r="DZ660" s="1493"/>
      <c r="EA660" s="1493"/>
      <c r="EB660" s="1493"/>
      <c r="EC660" s="1493" t="e">
        <f t="shared" si="43"/>
        <v>#VALUE!</v>
      </c>
      <c r="ED660" s="1493"/>
      <c r="EE660" s="1493"/>
      <c r="EF660" s="1493"/>
      <c r="EG660" s="1493"/>
      <c r="EH660" s="1493" t="e">
        <f t="shared" si="44"/>
        <v>#VALUE!</v>
      </c>
      <c r="EI660" s="1493"/>
      <c r="EJ660" s="1493"/>
      <c r="EK660" s="1493"/>
      <c r="EL660" s="1493"/>
      <c r="EM660" s="1493" t="e">
        <f t="shared" si="45"/>
        <v>#VALUE!</v>
      </c>
      <c r="EN660" s="1493"/>
      <c r="EO660" s="1493"/>
      <c r="EP660" s="1493"/>
      <c r="EQ660" s="1493"/>
      <c r="ER660" s="1493" t="e">
        <f t="shared" si="46"/>
        <v>#VALUE!</v>
      </c>
      <c r="ES660" s="1493"/>
      <c r="ET660" s="1493"/>
      <c r="EU660" s="1493"/>
      <c r="EV660" s="1493"/>
      <c r="EW660" s="1493" t="e">
        <f t="shared" si="47"/>
        <v>#VALUE!</v>
      </c>
      <c r="EX660" s="1493"/>
      <c r="EY660" s="1493"/>
      <c r="EZ660" s="1493"/>
      <c r="FA660" s="1493"/>
    </row>
    <row r="661" spans="1:157" ht="12.95" customHeight="1">
      <c r="A661" s="22"/>
      <c r="B661" t="s">
        <v>588</v>
      </c>
      <c r="G661" s="1408"/>
      <c r="H661" s="1408"/>
      <c r="I661" s="1408"/>
      <c r="J661" s="1408"/>
      <c r="K661" s="1408"/>
      <c r="L661" s="1408"/>
      <c r="M661" s="1408"/>
      <c r="N661" s="1408"/>
      <c r="O661" s="1408"/>
      <c r="P661" s="1408"/>
      <c r="Q661" s="1408"/>
      <c r="R661" s="1408"/>
      <c r="T661" s="22"/>
      <c r="U661" t="s">
        <v>588</v>
      </c>
      <c r="Z661" s="1417"/>
      <c r="AA661" s="1417"/>
      <c r="AB661" s="1417"/>
      <c r="AC661" s="1417"/>
      <c r="AD661" s="1417"/>
      <c r="AE661" s="1417"/>
      <c r="AF661" s="1417"/>
      <c r="AG661" s="1417"/>
      <c r="AH661" s="1417"/>
      <c r="AI661" s="1417"/>
      <c r="AJ661" s="1417"/>
      <c r="AK661" s="141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3" t="e">
        <f t="shared" si="42"/>
        <v>#VALUE!</v>
      </c>
      <c r="DY661" s="1493"/>
      <c r="DZ661" s="1493"/>
      <c r="EA661" s="1493"/>
      <c r="EB661" s="1493"/>
      <c r="EC661" s="1493" t="e">
        <f t="shared" si="43"/>
        <v>#VALUE!</v>
      </c>
      <c r="ED661" s="1493"/>
      <c r="EE661" s="1493"/>
      <c r="EF661" s="1493"/>
      <c r="EG661" s="1493"/>
      <c r="EH661" s="1493" t="e">
        <f t="shared" si="44"/>
        <v>#VALUE!</v>
      </c>
      <c r="EI661" s="1493"/>
      <c r="EJ661" s="1493"/>
      <c r="EK661" s="1493"/>
      <c r="EL661" s="1493"/>
      <c r="EM661" s="1493" t="e">
        <f t="shared" si="45"/>
        <v>#VALUE!</v>
      </c>
      <c r="EN661" s="1493"/>
      <c r="EO661" s="1493"/>
      <c r="EP661" s="1493"/>
      <c r="EQ661" s="1493"/>
      <c r="ER661" s="1493" t="e">
        <f t="shared" si="46"/>
        <v>#VALUE!</v>
      </c>
      <c r="ES661" s="1493"/>
      <c r="ET661" s="1493"/>
      <c r="EU661" s="1493"/>
      <c r="EV661" s="1493"/>
      <c r="EW661" s="1493" t="e">
        <f t="shared" si="47"/>
        <v>#VALUE!</v>
      </c>
      <c r="EX661" s="1493"/>
      <c r="EY661" s="1493"/>
      <c r="EZ661" s="1493"/>
      <c r="FA661" s="1493"/>
    </row>
    <row r="662" spans="1:157" ht="12.95" customHeight="1">
      <c r="A662" s="22"/>
      <c r="B662" t="s">
        <v>17</v>
      </c>
      <c r="G662" s="1408"/>
      <c r="H662" s="1408"/>
      <c r="I662" s="1408"/>
      <c r="J662" s="1408"/>
      <c r="K662" s="1408"/>
      <c r="L662" s="1408"/>
      <c r="M662" s="1408"/>
      <c r="N662" s="1408"/>
      <c r="O662" s="1408"/>
      <c r="P662" s="1408"/>
      <c r="Q662" s="1408"/>
      <c r="R662" s="1408"/>
      <c r="T662" s="22"/>
      <c r="U662" t="s">
        <v>17</v>
      </c>
      <c r="Z662" s="1417"/>
      <c r="AA662" s="1417"/>
      <c r="AB662" s="1417"/>
      <c r="AC662" s="1417"/>
      <c r="AD662" s="1417"/>
      <c r="AE662" s="1417"/>
      <c r="AF662" s="1417"/>
      <c r="AG662" s="1417"/>
      <c r="AH662" s="1417"/>
      <c r="AI662" s="1417"/>
      <c r="AJ662" s="1417"/>
      <c r="AK662" s="141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3" t="e">
        <f t="shared" si="42"/>
        <v>#VALUE!</v>
      </c>
      <c r="DY662" s="1493"/>
      <c r="DZ662" s="1493"/>
      <c r="EA662" s="1493"/>
      <c r="EB662" s="1493"/>
      <c r="EC662" s="1493" t="e">
        <f t="shared" si="43"/>
        <v>#VALUE!</v>
      </c>
      <c r="ED662" s="1493"/>
      <c r="EE662" s="1493"/>
      <c r="EF662" s="1493"/>
      <c r="EG662" s="1493"/>
      <c r="EH662" s="1493" t="e">
        <f t="shared" si="44"/>
        <v>#VALUE!</v>
      </c>
      <c r="EI662" s="1493"/>
      <c r="EJ662" s="1493"/>
      <c r="EK662" s="1493"/>
      <c r="EL662" s="1493"/>
      <c r="EM662" s="1493" t="e">
        <f t="shared" si="45"/>
        <v>#VALUE!</v>
      </c>
      <c r="EN662" s="1493"/>
      <c r="EO662" s="1493"/>
      <c r="EP662" s="1493"/>
      <c r="EQ662" s="1493"/>
      <c r="ER662" s="1493" t="e">
        <f t="shared" si="46"/>
        <v>#VALUE!</v>
      </c>
      <c r="ES662" s="1493"/>
      <c r="ET662" s="1493"/>
      <c r="EU662" s="1493"/>
      <c r="EV662" s="1493"/>
      <c r="EW662" s="1493" t="e">
        <f t="shared" si="47"/>
        <v>#VALUE!</v>
      </c>
      <c r="EX662" s="1493"/>
      <c r="EY662" s="1493"/>
      <c r="EZ662" s="1493"/>
      <c r="FA662" s="1493"/>
    </row>
    <row r="663" spans="1:157" ht="12.95" customHeight="1">
      <c r="A663" s="22"/>
      <c r="B663" t="s">
        <v>317</v>
      </c>
      <c r="G663" s="1406"/>
      <c r="H663" s="1406"/>
      <c r="I663" s="1406"/>
      <c r="J663" s="1406"/>
      <c r="K663" s="1406"/>
      <c r="L663" s="1406"/>
      <c r="O663" s="33" t="s">
        <v>207</v>
      </c>
      <c r="P663" s="1473"/>
      <c r="Q663" s="1473"/>
      <c r="R663" s="1473"/>
      <c r="T663" s="22"/>
      <c r="U663" t="s">
        <v>317</v>
      </c>
      <c r="Z663" s="1406"/>
      <c r="AA663" s="1406"/>
      <c r="AB663" s="1406"/>
      <c r="AC663" s="1406"/>
      <c r="AD663" s="1406"/>
      <c r="AE663" s="1406"/>
      <c r="AH663" s="33" t="s">
        <v>207</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3" t="e">
        <f t="shared" si="42"/>
        <v>#VALUE!</v>
      </c>
      <c r="DY663" s="1493"/>
      <c r="DZ663" s="1493"/>
      <c r="EA663" s="1493"/>
      <c r="EB663" s="1493"/>
      <c r="EC663" s="1493" t="e">
        <f t="shared" si="43"/>
        <v>#VALUE!</v>
      </c>
      <c r="ED663" s="1493"/>
      <c r="EE663" s="1493"/>
      <c r="EF663" s="1493"/>
      <c r="EG663" s="1493"/>
      <c r="EH663" s="1493" t="e">
        <f t="shared" si="44"/>
        <v>#VALUE!</v>
      </c>
      <c r="EI663" s="1493"/>
      <c r="EJ663" s="1493"/>
      <c r="EK663" s="1493"/>
      <c r="EL663" s="1493"/>
      <c r="EM663" s="1493" t="e">
        <f t="shared" si="45"/>
        <v>#VALUE!</v>
      </c>
      <c r="EN663" s="1493"/>
      <c r="EO663" s="1493"/>
      <c r="EP663" s="1493"/>
      <c r="EQ663" s="1493"/>
      <c r="ER663" s="1493" t="e">
        <f t="shared" si="46"/>
        <v>#VALUE!</v>
      </c>
      <c r="ES663" s="1493"/>
      <c r="ET663" s="1493"/>
      <c r="EU663" s="1493"/>
      <c r="EV663" s="1493"/>
      <c r="EW663" s="1493" t="e">
        <f t="shared" si="47"/>
        <v>#VALUE!</v>
      </c>
      <c r="EX663" s="1493"/>
      <c r="EY663" s="1493"/>
      <c r="EZ663" s="1493"/>
      <c r="FA663" s="1493"/>
    </row>
    <row r="664" spans="1:157" ht="12.95"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3" t="e">
        <f t="shared" si="42"/>
        <v>#VALUE!</v>
      </c>
      <c r="DY664" s="1493"/>
      <c r="DZ664" s="1493"/>
      <c r="EA664" s="1493"/>
      <c r="EB664" s="1493"/>
      <c r="EC664" s="1493" t="e">
        <f t="shared" si="43"/>
        <v>#VALUE!</v>
      </c>
      <c r="ED664" s="1493"/>
      <c r="EE664" s="1493"/>
      <c r="EF664" s="1493"/>
      <c r="EG664" s="1493"/>
      <c r="EH664" s="1493" t="e">
        <f t="shared" si="44"/>
        <v>#VALUE!</v>
      </c>
      <c r="EI664" s="1493"/>
      <c r="EJ664" s="1493"/>
      <c r="EK664" s="1493"/>
      <c r="EL664" s="1493"/>
      <c r="EM664" s="1493" t="e">
        <f t="shared" si="45"/>
        <v>#VALUE!</v>
      </c>
      <c r="EN664" s="1493"/>
      <c r="EO664" s="1493"/>
      <c r="EP664" s="1493"/>
      <c r="EQ664" s="1493"/>
      <c r="ER664" s="1493" t="e">
        <f t="shared" si="46"/>
        <v>#VALUE!</v>
      </c>
      <c r="ES664" s="1493"/>
      <c r="ET664" s="1493"/>
      <c r="EU664" s="1493"/>
      <c r="EV664" s="1493"/>
      <c r="EW664" s="1493" t="e">
        <f t="shared" si="47"/>
        <v>#VALUE!</v>
      </c>
      <c r="EX664" s="1493"/>
      <c r="EY664" s="1493"/>
      <c r="EZ664" s="1493"/>
      <c r="FA664" s="1493"/>
    </row>
    <row r="665" spans="1:157" ht="12.95" customHeight="1">
      <c r="A665" s="22"/>
      <c r="B665" t="s">
        <v>20</v>
      </c>
      <c r="N665" s="1416" t="s">
        <v>677</v>
      </c>
      <c r="O665" s="1416"/>
      <c r="T665" s="22"/>
      <c r="U665" t="s">
        <v>20</v>
      </c>
      <c r="AG665" s="1416" t="s">
        <v>677</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3" t="e">
        <f t="shared" si="42"/>
        <v>#VALUE!</v>
      </c>
      <c r="DY665" s="1493"/>
      <c r="DZ665" s="1493"/>
      <c r="EA665" s="1493"/>
      <c r="EB665" s="1493"/>
      <c r="EC665" s="1493" t="e">
        <f t="shared" si="43"/>
        <v>#VALUE!</v>
      </c>
      <c r="ED665" s="1493"/>
      <c r="EE665" s="1493"/>
      <c r="EF665" s="1493"/>
      <c r="EG665" s="1493"/>
      <c r="EH665" s="1493" t="e">
        <f t="shared" si="44"/>
        <v>#VALUE!</v>
      </c>
      <c r="EI665" s="1493"/>
      <c r="EJ665" s="1493"/>
      <c r="EK665" s="1493"/>
      <c r="EL665" s="1493"/>
      <c r="EM665" s="1493" t="e">
        <f t="shared" si="45"/>
        <v>#VALUE!</v>
      </c>
      <c r="EN665" s="1493"/>
      <c r="EO665" s="1493"/>
      <c r="EP665" s="1493"/>
      <c r="EQ665" s="1493"/>
      <c r="ER665" s="1493" t="e">
        <f t="shared" si="46"/>
        <v>#VALUE!</v>
      </c>
      <c r="ES665" s="1493"/>
      <c r="ET665" s="1493"/>
      <c r="EU665" s="1493"/>
      <c r="EV665" s="1493"/>
      <c r="EW665" s="1493" t="e">
        <f t="shared" si="47"/>
        <v>#VALUE!</v>
      </c>
      <c r="EX665" s="1493"/>
      <c r="EY665" s="1493"/>
      <c r="EZ665" s="1493"/>
      <c r="FA665" s="1493"/>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3" t="e">
        <f t="shared" si="42"/>
        <v>#VALUE!</v>
      </c>
      <c r="DY666" s="1493"/>
      <c r="DZ666" s="1493"/>
      <c r="EA666" s="1493"/>
      <c r="EB666" s="1493"/>
      <c r="EC666" s="1493" t="e">
        <f t="shared" si="43"/>
        <v>#VALUE!</v>
      </c>
      <c r="ED666" s="1493"/>
      <c r="EE666" s="1493"/>
      <c r="EF666" s="1493"/>
      <c r="EG666" s="1493"/>
      <c r="EH666" s="1493" t="e">
        <f t="shared" si="44"/>
        <v>#VALUE!</v>
      </c>
      <c r="EI666" s="1493"/>
      <c r="EJ666" s="1493"/>
      <c r="EK666" s="1493"/>
      <c r="EL666" s="1493"/>
      <c r="EM666" s="1493" t="e">
        <f t="shared" si="45"/>
        <v>#VALUE!</v>
      </c>
      <c r="EN666" s="1493"/>
      <c r="EO666" s="1493"/>
      <c r="EP666" s="1493"/>
      <c r="EQ666" s="1493"/>
      <c r="ER666" s="1493" t="e">
        <f t="shared" si="46"/>
        <v>#VALUE!</v>
      </c>
      <c r="ES666" s="1493"/>
      <c r="ET666" s="1493"/>
      <c r="EU666" s="1493"/>
      <c r="EV666" s="1493"/>
      <c r="EW666" s="1493" t="e">
        <f t="shared" si="47"/>
        <v>#VALUE!</v>
      </c>
      <c r="EX666" s="1493"/>
      <c r="EY666" s="1493"/>
      <c r="EZ666" s="1493"/>
      <c r="FA666" s="1493"/>
    </row>
    <row r="667" spans="1:157" ht="12.95" customHeight="1">
      <c r="A667" s="55" t="s">
        <v>463</v>
      </c>
      <c r="B667" t="s">
        <v>471</v>
      </c>
      <c r="G667" s="1474">
        <f>C633</f>
        <v>0</v>
      </c>
      <c r="H667" s="1474"/>
      <c r="I667" s="1474"/>
      <c r="J667" s="1474"/>
      <c r="K667" s="1474"/>
      <c r="L667" s="1474"/>
      <c r="M667" s="1474"/>
      <c r="N667" s="1474"/>
      <c r="O667" s="1474"/>
      <c r="P667" s="1474"/>
      <c r="Q667" s="1474"/>
      <c r="R667" s="1474"/>
      <c r="T667" s="55" t="s">
        <v>464</v>
      </c>
      <c r="U667" t="s">
        <v>471</v>
      </c>
      <c r="Z667" s="1474">
        <f>C634</f>
        <v>0</v>
      </c>
      <c r="AA667" s="1474"/>
      <c r="AB667" s="1474"/>
      <c r="AC667" s="1474"/>
      <c r="AD667" s="1474"/>
      <c r="AE667" s="1474"/>
      <c r="AF667" s="1474"/>
      <c r="AG667" s="1474"/>
      <c r="AH667" s="1474"/>
      <c r="AI667" s="1474"/>
      <c r="AJ667" s="1474"/>
      <c r="AK667" s="1474"/>
      <c r="AZ667" s="3"/>
      <c r="BA667" s="118">
        <f t="shared" ref="BA667:BA699" si="48">IF($G718=0,"N/A",VLOOKUP($T$189,TC_Rent,(MATCH($B718,bedrooms,FALSE))))</f>
        <v>2426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3" t="e">
        <f t="shared" si="42"/>
        <v>#VALUE!</v>
      </c>
      <c r="DY667" s="1493"/>
      <c r="DZ667" s="1493"/>
      <c r="EA667" s="1493"/>
      <c r="EB667" s="1493"/>
      <c r="EC667" s="1493" t="e">
        <f t="shared" si="43"/>
        <v>#VALUE!</v>
      </c>
      <c r="ED667" s="1493"/>
      <c r="EE667" s="1493"/>
      <c r="EF667" s="1493"/>
      <c r="EG667" s="1493"/>
      <c r="EH667" s="1493" t="e">
        <f t="shared" si="44"/>
        <v>#VALUE!</v>
      </c>
      <c r="EI667" s="1493"/>
      <c r="EJ667" s="1493"/>
      <c r="EK667" s="1493"/>
      <c r="EL667" s="1493"/>
      <c r="EM667" s="1493" t="e">
        <f t="shared" si="45"/>
        <v>#VALUE!</v>
      </c>
      <c r="EN667" s="1493"/>
      <c r="EO667" s="1493"/>
      <c r="EP667" s="1493"/>
      <c r="EQ667" s="1493"/>
      <c r="ER667" s="1493" t="e">
        <f t="shared" si="46"/>
        <v>#VALUE!</v>
      </c>
      <c r="ES667" s="1493"/>
      <c r="ET667" s="1493"/>
      <c r="EU667" s="1493"/>
      <c r="EV667" s="1493"/>
      <c r="EW667" s="1493" t="e">
        <f t="shared" si="47"/>
        <v>#VALUE!</v>
      </c>
      <c r="EX667" s="1493"/>
      <c r="EY667" s="1493"/>
      <c r="EZ667" s="1493"/>
      <c r="FA667" s="1493"/>
    </row>
    <row r="668" spans="1:157" ht="12.9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BA668" s="118">
        <f t="shared" si="48"/>
        <v>2426</v>
      </c>
      <c r="BB668" s="3"/>
      <c r="BC668" s="3"/>
      <c r="BD668" s="3"/>
      <c r="BE668" s="3"/>
      <c r="BF668" s="218"/>
      <c r="BG668" s="315">
        <f t="shared" ref="BG668:BG700" si="49">G718</f>
        <v>9</v>
      </c>
      <c r="BH668" s="319">
        <f t="shared" ref="BH668:BH702" si="50">IF($BG$703=0,0,BG668/$BG$703)</f>
        <v>7.7586206896551727E-2</v>
      </c>
      <c r="BI668" s="320">
        <f t="shared" ref="BI668:BI691" si="51">IF(BH668=0,"",BH668*AC718)</f>
        <v>2.3275862068965519E-2</v>
      </c>
      <c r="BJ668" s="3"/>
      <c r="BK668" s="3"/>
      <c r="BL668" s="3"/>
      <c r="BM668" s="3"/>
      <c r="BN668" s="3"/>
      <c r="BO668" s="3"/>
      <c r="BT668" s="315">
        <f t="shared" ref="BT668:BT700" si="52">G718</f>
        <v>9</v>
      </c>
      <c r="BU668" s="319">
        <f t="shared" ref="BU668:BU702" si="53">IF($BT$703=0,0,BT668/$BT$703)</f>
        <v>7.7586206896551727E-2</v>
      </c>
      <c r="BV668" s="320">
        <f t="shared" ref="BV668:BV700" si="54">IF(BU668=0,"",BU668*AH718)</f>
        <v>2.3282258293771497E-2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3" t="e">
        <f>DX630*(BN630/$BN$632)</f>
        <v>#VALUE!</v>
      </c>
      <c r="DY668" s="1493"/>
      <c r="DZ668" s="1493"/>
      <c r="EA668" s="1493"/>
      <c r="EB668" s="1493"/>
      <c r="EC668" s="1493" t="e">
        <f>EC630*(BS630/$BS$632)</f>
        <v>#VALUE!</v>
      </c>
      <c r="ED668" s="1493"/>
      <c r="EE668" s="1493"/>
      <c r="EF668" s="1493"/>
      <c r="EG668" s="1493"/>
      <c r="EH668" s="1493" t="e">
        <f>EH630*(BX630/$BX$632)</f>
        <v>#VALUE!</v>
      </c>
      <c r="EI668" s="1493"/>
      <c r="EJ668" s="1493"/>
      <c r="EK668" s="1493"/>
      <c r="EL668" s="1493"/>
      <c r="EM668" s="1493" t="e">
        <f>EM630*(CC630/$CC$632)</f>
        <v>#VALUE!</v>
      </c>
      <c r="EN668" s="1493"/>
      <c r="EO668" s="1493"/>
      <c r="EP668" s="1493"/>
      <c r="EQ668" s="1493"/>
      <c r="ER668" s="1493" t="e">
        <f>ER630*(CH630/$CH$632)</f>
        <v>#VALUE!</v>
      </c>
      <c r="ES668" s="1493"/>
      <c r="ET668" s="1493"/>
      <c r="EU668" s="1493"/>
      <c r="EV668" s="1493"/>
      <c r="EW668" s="1493" t="e">
        <f>EW630*(CM630/$CM$632)</f>
        <v>#VALUE!</v>
      </c>
      <c r="EX668" s="1493"/>
      <c r="EY668" s="1493"/>
      <c r="EZ668" s="1493"/>
      <c r="FA668" s="1493"/>
    </row>
    <row r="669" spans="1:157" ht="12.95" customHeight="1">
      <c r="A669" s="22"/>
      <c r="B669" t="s">
        <v>588</v>
      </c>
      <c r="G669" s="1408"/>
      <c r="H669" s="1408"/>
      <c r="I669" s="1408"/>
      <c r="J669" s="1408"/>
      <c r="K669" s="1408"/>
      <c r="L669" s="1408"/>
      <c r="M669" s="1408"/>
      <c r="N669" s="1408"/>
      <c r="O669" s="1408"/>
      <c r="P669" s="1408"/>
      <c r="Q669" s="1408"/>
      <c r="R669" s="1408"/>
      <c r="T669" s="22"/>
      <c r="U669" t="s">
        <v>588</v>
      </c>
      <c r="Z669" s="1417"/>
      <c r="AA669" s="1417"/>
      <c r="AB669" s="1417"/>
      <c r="AC669" s="1417"/>
      <c r="AD669" s="1417"/>
      <c r="AE669" s="1417"/>
      <c r="AF669" s="1417"/>
      <c r="AG669" s="1417"/>
      <c r="AH669" s="1417"/>
      <c r="AI669" s="1417"/>
      <c r="AJ669" s="1417"/>
      <c r="AK669" s="1417"/>
      <c r="AZ669" s="3"/>
      <c r="BA669" s="118">
        <f t="shared" si="48"/>
        <v>2426</v>
      </c>
      <c r="BB669" s="3"/>
      <c r="BC669" s="3"/>
      <c r="BD669" s="3"/>
      <c r="BE669" s="3"/>
      <c r="BF669" s="218"/>
      <c r="BG669" s="316">
        <f t="shared" si="49"/>
        <v>17</v>
      </c>
      <c r="BH669" s="319">
        <f t="shared" si="50"/>
        <v>0.14655172413793102</v>
      </c>
      <c r="BI669" s="320">
        <f t="shared" si="51"/>
        <v>8.7931034482758616E-2</v>
      </c>
      <c r="BJ669" s="3"/>
      <c r="BK669" s="3"/>
      <c r="BL669" s="3"/>
      <c r="BM669" s="3"/>
      <c r="BN669" s="3"/>
      <c r="BO669" s="3"/>
      <c r="BT669" s="316">
        <f t="shared" si="52"/>
        <v>17</v>
      </c>
      <c r="BU669" s="319">
        <f t="shared" si="53"/>
        <v>0.14655172413793102</v>
      </c>
      <c r="BV669" s="320">
        <f t="shared" si="54"/>
        <v>8.7955197998692322E-2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3" t="e">
        <f>DX631*(BN631/$BN$632)</f>
        <v>#VALUE!</v>
      </c>
      <c r="DY669" s="1493"/>
      <c r="DZ669" s="1493"/>
      <c r="EA669" s="1493"/>
      <c r="EB669" s="1493"/>
      <c r="EC669" s="1493" t="e">
        <f>EC631*(BS631/$BS$632)</f>
        <v>#VALUE!</v>
      </c>
      <c r="ED669" s="1493"/>
      <c r="EE669" s="1493"/>
      <c r="EF669" s="1493"/>
      <c r="EG669" s="1493"/>
      <c r="EH669" s="1493" t="e">
        <f>EH631*(BX631/$BX$632)</f>
        <v>#VALUE!</v>
      </c>
      <c r="EI669" s="1493"/>
      <c r="EJ669" s="1493"/>
      <c r="EK669" s="1493"/>
      <c r="EL669" s="1493"/>
      <c r="EM669" s="1493" t="e">
        <f>EM631*(CC631/$CC$632)</f>
        <v>#VALUE!</v>
      </c>
      <c r="EN669" s="1493"/>
      <c r="EO669" s="1493"/>
      <c r="EP669" s="1493"/>
      <c r="EQ669" s="1493"/>
      <c r="ER669" s="1493" t="e">
        <f>ER631*(CH631/$CH$632)</f>
        <v>#VALUE!</v>
      </c>
      <c r="ES669" s="1493"/>
      <c r="ET669" s="1493"/>
      <c r="EU669" s="1493"/>
      <c r="EV669" s="1493"/>
      <c r="EW669" s="1493" t="e">
        <f>EW631*(CM631/$CM$632)</f>
        <v>#VALUE!</v>
      </c>
      <c r="EX669" s="1493"/>
      <c r="EY669" s="1493"/>
      <c r="EZ669" s="1493"/>
      <c r="FA669" s="1493"/>
    </row>
    <row r="670" spans="1:157" ht="12.95" customHeight="1">
      <c r="A670" s="22"/>
      <c r="B670" t="s">
        <v>17</v>
      </c>
      <c r="G670" s="1408"/>
      <c r="H670" s="1408"/>
      <c r="I670" s="1408"/>
      <c r="J670" s="1408"/>
      <c r="K670" s="1408"/>
      <c r="L670" s="1408"/>
      <c r="M670" s="1408"/>
      <c r="N670" s="1408"/>
      <c r="O670" s="1408"/>
      <c r="P670" s="1408"/>
      <c r="Q670" s="1408"/>
      <c r="R670" s="1408"/>
      <c r="T670" s="22"/>
      <c r="U670" t="s">
        <v>17</v>
      </c>
      <c r="Z670" s="1417"/>
      <c r="AA670" s="1417"/>
      <c r="AB670" s="1417"/>
      <c r="AC670" s="1417"/>
      <c r="AD670" s="1417"/>
      <c r="AE670" s="1417"/>
      <c r="AF670" s="1417"/>
      <c r="AG670" s="1417"/>
      <c r="AH670" s="1417"/>
      <c r="AI670" s="1417"/>
      <c r="AJ670" s="1417"/>
      <c r="AK670" s="1417"/>
      <c r="AZ670" s="3"/>
      <c r="BA670" s="118">
        <f t="shared" si="48"/>
        <v>2600</v>
      </c>
      <c r="BB670" s="3"/>
      <c r="BC670" s="3"/>
      <c r="BD670" s="3"/>
      <c r="BE670" s="3"/>
      <c r="BF670" s="218"/>
      <c r="BG670" s="316">
        <f t="shared" si="49"/>
        <v>19</v>
      </c>
      <c r="BH670" s="319">
        <f t="shared" si="50"/>
        <v>0.16379310344827586</v>
      </c>
      <c r="BI670" s="320">
        <f t="shared" si="51"/>
        <v>0.1146551724137931</v>
      </c>
      <c r="BJ670" s="3"/>
      <c r="BK670" s="3"/>
      <c r="BL670" s="3"/>
      <c r="BM670" s="3"/>
      <c r="BN670" s="3"/>
      <c r="BO670" s="3"/>
      <c r="BT670" s="316">
        <f t="shared" si="52"/>
        <v>19</v>
      </c>
      <c r="BU670" s="319">
        <f t="shared" si="53"/>
        <v>0.16379310344827586</v>
      </c>
      <c r="BV670" s="320">
        <f t="shared" si="54"/>
        <v>0.11470918497882138</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3">
        <f>SUMIF(DX635:EB669,"&gt;0")</f>
        <v>1384</v>
      </c>
      <c r="DY670" s="1493"/>
      <c r="DZ670" s="1493"/>
      <c r="EA670" s="1493"/>
      <c r="EB670" s="1493"/>
      <c r="EC670" s="1493">
        <f>SUMIF(EC635:EG669,"&gt;0")</f>
        <v>1048.8591549295775</v>
      </c>
      <c r="ED670" s="1493"/>
      <c r="EE670" s="1493"/>
      <c r="EF670" s="1493"/>
      <c r="EG670" s="1493"/>
      <c r="EH670" s="1493">
        <f>SUMIF(EH635:EL669,"&gt;0")</f>
        <v>0</v>
      </c>
      <c r="EI670" s="1493"/>
      <c r="EJ670" s="1493"/>
      <c r="EK670" s="1493"/>
      <c r="EL670" s="1493"/>
      <c r="EM670" s="1493">
        <f>SUMIF(EM635:EQ669,"&gt;0")</f>
        <v>0</v>
      </c>
      <c r="EN670" s="1493"/>
      <c r="EO670" s="1493"/>
      <c r="EP670" s="1493"/>
      <c r="EQ670" s="1493"/>
      <c r="ER670" s="1493">
        <f>SUMIF(ER635:EV669,"&gt;0")</f>
        <v>0</v>
      </c>
      <c r="ES670" s="1493"/>
      <c r="ET670" s="1493"/>
      <c r="EU670" s="1493"/>
      <c r="EV670" s="1493"/>
      <c r="EW670" s="1493">
        <f>SUMIF(EW635:FA669,"&gt;0")</f>
        <v>0</v>
      </c>
      <c r="EX670" s="1493"/>
      <c r="EY670" s="1493"/>
      <c r="EZ670" s="1493"/>
      <c r="FA670" s="1493"/>
    </row>
    <row r="671" spans="1:157" ht="12.95" customHeight="1">
      <c r="A671" s="22"/>
      <c r="B671" t="s">
        <v>317</v>
      </c>
      <c r="G671" s="1406"/>
      <c r="H671" s="1406"/>
      <c r="I671" s="1406"/>
      <c r="J671" s="1406"/>
      <c r="K671" s="1406"/>
      <c r="L671" s="1406"/>
      <c r="O671" s="33" t="s">
        <v>207</v>
      </c>
      <c r="P671" s="1473"/>
      <c r="Q671" s="1473"/>
      <c r="R671" s="1473"/>
      <c r="T671" s="22"/>
      <c r="U671" t="s">
        <v>317</v>
      </c>
      <c r="Z671" s="1406"/>
      <c r="AA671" s="1406"/>
      <c r="AB671" s="1406"/>
      <c r="AC671" s="1406"/>
      <c r="AD671" s="1406"/>
      <c r="AE671" s="1406"/>
      <c r="AH671" s="33" t="s">
        <v>207</v>
      </c>
      <c r="AI671" s="1473"/>
      <c r="AJ671" s="1473"/>
      <c r="AK671" s="1473"/>
      <c r="AZ671" s="3"/>
      <c r="BA671" s="118">
        <f t="shared" si="48"/>
        <v>2600</v>
      </c>
      <c r="BB671" s="3"/>
      <c r="BC671" s="3"/>
      <c r="BD671" s="3"/>
      <c r="BE671" s="3"/>
      <c r="BF671" s="218"/>
      <c r="BG671" s="316">
        <f t="shared" si="49"/>
        <v>49</v>
      </c>
      <c r="BH671" s="319">
        <f t="shared" si="50"/>
        <v>0.42241379310344829</v>
      </c>
      <c r="BI671" s="320">
        <f t="shared" si="51"/>
        <v>0.12672413793103449</v>
      </c>
      <c r="BJ671" s="3"/>
      <c r="BK671" s="3"/>
      <c r="BL671" s="3"/>
      <c r="BM671" s="3"/>
      <c r="BN671" s="3"/>
      <c r="BO671" s="3"/>
      <c r="BT671" s="316">
        <f t="shared" si="52"/>
        <v>49</v>
      </c>
      <c r="BU671" s="319">
        <f t="shared" si="53"/>
        <v>0.42241379310344829</v>
      </c>
      <c r="BV671" s="320">
        <f t="shared" si="54"/>
        <v>0.12672413793103449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BA672" s="118" t="str">
        <f t="shared" si="48"/>
        <v>N/A</v>
      </c>
      <c r="BB672" s="3"/>
      <c r="BC672" s="3"/>
      <c r="BD672" s="3"/>
      <c r="BE672" s="3"/>
      <c r="BF672" s="218"/>
      <c r="BG672" s="316">
        <f t="shared" si="49"/>
        <v>22</v>
      </c>
      <c r="BH672" s="319">
        <f t="shared" si="50"/>
        <v>0.18965517241379309</v>
      </c>
      <c r="BI672" s="320">
        <f t="shared" si="51"/>
        <v>0.13275862068965516</v>
      </c>
      <c r="BJ672" s="3"/>
      <c r="BK672" s="3"/>
      <c r="BL672" s="3"/>
      <c r="BM672" s="3"/>
      <c r="BN672" s="3"/>
      <c r="BO672" s="3"/>
      <c r="BT672" s="316">
        <f t="shared" si="52"/>
        <v>22</v>
      </c>
      <c r="BU672" s="319">
        <f t="shared" si="53"/>
        <v>0.18965517241379309</v>
      </c>
      <c r="BV672" s="320">
        <f t="shared" si="54"/>
        <v>0.12984084880636604</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6" t="s">
        <v>677</v>
      </c>
      <c r="O673" s="1416"/>
      <c r="T673" s="22"/>
      <c r="U673" t="s">
        <v>20</v>
      </c>
      <c r="AG673" s="1416" t="s">
        <v>677</v>
      </c>
      <c r="AH673" s="1416"/>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74">
        <f>C635</f>
        <v>0</v>
      </c>
      <c r="H675" s="1474"/>
      <c r="I675" s="1474"/>
      <c r="J675" s="1474"/>
      <c r="K675" s="1474"/>
      <c r="L675" s="1474"/>
      <c r="M675" s="1474"/>
      <c r="N675" s="1474"/>
      <c r="O675" s="1474"/>
      <c r="P675" s="1474"/>
      <c r="Q675" s="1474"/>
      <c r="R675" s="1474"/>
      <c r="T675" s="55" t="s">
        <v>654</v>
      </c>
      <c r="U675" t="s">
        <v>471</v>
      </c>
      <c r="Z675" s="1474">
        <f>C636</f>
        <v>0</v>
      </c>
      <c r="AA675" s="1474"/>
      <c r="AB675" s="1474"/>
      <c r="AC675" s="1474"/>
      <c r="AD675" s="1474"/>
      <c r="AE675" s="1474"/>
      <c r="AF675" s="1474"/>
      <c r="AG675" s="1474"/>
      <c r="AH675" s="1474"/>
      <c r="AI675" s="1474"/>
      <c r="AJ675" s="1474"/>
      <c r="AK675" s="1474"/>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08"/>
      <c r="H677" s="1408"/>
      <c r="I677" s="1408"/>
      <c r="J677" s="1408"/>
      <c r="K677" s="1408"/>
      <c r="L677" s="1408"/>
      <c r="M677" s="1408"/>
      <c r="N677" s="1408"/>
      <c r="O677" s="1408"/>
      <c r="P677" s="1408"/>
      <c r="Q677" s="1408"/>
      <c r="R677" s="1408"/>
      <c r="T677" s="22"/>
      <c r="U677" t="s">
        <v>588</v>
      </c>
      <c r="Z677" s="1417"/>
      <c r="AA677" s="1417"/>
      <c r="AB677" s="1417"/>
      <c r="AC677" s="1417"/>
      <c r="AD677" s="1417"/>
      <c r="AE677" s="1417"/>
      <c r="AF677" s="1417"/>
      <c r="AG677" s="1417"/>
      <c r="AH677" s="1417"/>
      <c r="AI677" s="1417"/>
      <c r="AJ677" s="1417"/>
      <c r="AK677" s="1417"/>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08"/>
      <c r="H678" s="1408"/>
      <c r="I678" s="1408"/>
      <c r="J678" s="1408"/>
      <c r="K678" s="1408"/>
      <c r="L678" s="1408"/>
      <c r="M678" s="1408"/>
      <c r="N678" s="1408"/>
      <c r="O678" s="1408"/>
      <c r="P678" s="1408"/>
      <c r="Q678" s="1408"/>
      <c r="R678" s="1408"/>
      <c r="T678" s="22"/>
      <c r="U678" t="s">
        <v>17</v>
      </c>
      <c r="Z678" s="1417"/>
      <c r="AA678" s="1417"/>
      <c r="AB678" s="1417"/>
      <c r="AC678" s="1417"/>
      <c r="AD678" s="1417"/>
      <c r="AE678" s="1417"/>
      <c r="AF678" s="1417"/>
      <c r="AG678" s="1417"/>
      <c r="AH678" s="1417"/>
      <c r="AI678" s="1417"/>
      <c r="AJ678" s="1417"/>
      <c r="AK678" s="1417"/>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06"/>
      <c r="H679" s="1406"/>
      <c r="I679" s="1406"/>
      <c r="J679" s="1406"/>
      <c r="K679" s="1406"/>
      <c r="L679" s="1406"/>
      <c r="O679" s="33" t="s">
        <v>207</v>
      </c>
      <c r="P679" s="1473"/>
      <c r="Q679" s="1473"/>
      <c r="R679" s="1473"/>
      <c r="T679" s="22"/>
      <c r="U679" t="s">
        <v>317</v>
      </c>
      <c r="Z679" s="1406"/>
      <c r="AA679" s="1406"/>
      <c r="AB679" s="1406"/>
      <c r="AC679" s="1406"/>
      <c r="AD679" s="1406"/>
      <c r="AE679" s="1406"/>
      <c r="AH679" s="33" t="s">
        <v>207</v>
      </c>
      <c r="AI679" s="1473"/>
      <c r="AJ679" s="1473"/>
      <c r="AK679" s="1473"/>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6" t="s">
        <v>677</v>
      </c>
      <c r="O681" s="1416"/>
      <c r="T681" s="22"/>
      <c r="U681" t="s">
        <v>20</v>
      </c>
      <c r="AG681" s="1416" t="s">
        <v>677</v>
      </c>
      <c r="AH681" s="141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74">
        <f>C637</f>
        <v>0</v>
      </c>
      <c r="H683" s="1474"/>
      <c r="I683" s="1474"/>
      <c r="J683" s="1474"/>
      <c r="K683" s="1474"/>
      <c r="L683" s="1474"/>
      <c r="M683" s="1474"/>
      <c r="N683" s="1474"/>
      <c r="O683" s="1474"/>
      <c r="P683" s="1474"/>
      <c r="Q683" s="1474"/>
      <c r="R683" s="1474"/>
      <c r="T683" s="55" t="s">
        <v>364</v>
      </c>
      <c r="U683" t="s">
        <v>471</v>
      </c>
      <c r="Z683" s="1474">
        <f>C638</f>
        <v>0</v>
      </c>
      <c r="AA683" s="1474"/>
      <c r="AB683" s="1474"/>
      <c r="AC683" s="1474"/>
      <c r="AD683" s="1474"/>
      <c r="AE683" s="1474"/>
      <c r="AF683" s="1474"/>
      <c r="AG683" s="1474"/>
      <c r="AH683" s="1474"/>
      <c r="AI683" s="1474"/>
      <c r="AJ683" s="1474"/>
      <c r="AK683" s="147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08"/>
      <c r="H685" s="1408"/>
      <c r="I685" s="1408"/>
      <c r="J685" s="1408"/>
      <c r="K685" s="1408"/>
      <c r="L685" s="1408"/>
      <c r="M685" s="1408"/>
      <c r="N685" s="1408"/>
      <c r="O685" s="1408"/>
      <c r="P685" s="1408"/>
      <c r="Q685" s="1408"/>
      <c r="R685" s="1408"/>
      <c r="U685" t="s">
        <v>588</v>
      </c>
      <c r="Z685" s="1417"/>
      <c r="AA685" s="1417"/>
      <c r="AB685" s="1417"/>
      <c r="AC685" s="1417"/>
      <c r="AD685" s="1417"/>
      <c r="AE685" s="1417"/>
      <c r="AF685" s="1417"/>
      <c r="AG685" s="1417"/>
      <c r="AH685" s="1417"/>
      <c r="AI685" s="1417"/>
      <c r="AJ685" s="1417"/>
      <c r="AK685" s="141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08"/>
      <c r="H686" s="1408"/>
      <c r="I686" s="1408"/>
      <c r="J686" s="1408"/>
      <c r="K686" s="1408"/>
      <c r="L686" s="1408"/>
      <c r="M686" s="1408"/>
      <c r="N686" s="1408"/>
      <c r="O686" s="1408"/>
      <c r="P686" s="1408"/>
      <c r="Q686" s="1408"/>
      <c r="R686" s="1408"/>
      <c r="U686" t="s">
        <v>17</v>
      </c>
      <c r="Z686" s="1417"/>
      <c r="AA686" s="1417"/>
      <c r="AB686" s="1417"/>
      <c r="AC686" s="1417"/>
      <c r="AD686" s="1417"/>
      <c r="AE686" s="1417"/>
      <c r="AF686" s="1417"/>
      <c r="AG686" s="1417"/>
      <c r="AH686" s="1417"/>
      <c r="AI686" s="1417"/>
      <c r="AJ686" s="1417"/>
      <c r="AK686" s="141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06"/>
      <c r="H687" s="1406"/>
      <c r="I687" s="1406"/>
      <c r="J687" s="1406"/>
      <c r="K687" s="1406"/>
      <c r="L687" s="1406"/>
      <c r="O687" s="33" t="s">
        <v>207</v>
      </c>
      <c r="P687" s="1473"/>
      <c r="Q687" s="1473"/>
      <c r="R687" s="1473"/>
      <c r="U687" t="s">
        <v>317</v>
      </c>
      <c r="Z687" s="1406"/>
      <c r="AA687" s="1406"/>
      <c r="AB687" s="1406"/>
      <c r="AC687" s="1406"/>
      <c r="AD687" s="1406"/>
      <c r="AE687" s="1406"/>
      <c r="AH687" s="33" t="s">
        <v>207</v>
      </c>
      <c r="AI687" s="1473"/>
      <c r="AJ687" s="1473"/>
      <c r="AK687" s="1473"/>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6" t="s">
        <v>677</v>
      </c>
      <c r="O689" s="1416"/>
      <c r="U689" t="s">
        <v>20</v>
      </c>
      <c r="AG689" s="1416" t="s">
        <v>677</v>
      </c>
      <c r="AH689" s="141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6" t="s">
        <v>553</v>
      </c>
      <c r="AF693" s="141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6" t="s">
        <v>677</v>
      </c>
      <c r="AF694" s="141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92">
        <v>45531</v>
      </c>
      <c r="AF695" s="1492"/>
      <c r="AG695" s="1492"/>
      <c r="AH695" s="1492"/>
      <c r="AI695" s="149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64">
        <v>45637</v>
      </c>
      <c r="AF696" s="1764"/>
      <c r="AG696" s="1764"/>
      <c r="AH696" s="1764"/>
      <c r="AI696" s="176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92">
        <v>45809</v>
      </c>
      <c r="AF698" s="1492"/>
      <c r="AG698" s="1492"/>
      <c r="AH698" s="1492"/>
      <c r="AI698" s="149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5">
        <v>0.54290000000000005</v>
      </c>
      <c r="AF699" s="1765"/>
      <c r="AG699" s="1765"/>
      <c r="AH699" s="1765"/>
      <c r="AI699" s="176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74" t="str">
        <f>H335</f>
        <v>California Municipal Finance Agency</v>
      </c>
      <c r="X700" s="1474"/>
      <c r="Y700" s="1474"/>
      <c r="Z700" s="1474"/>
      <c r="AA700" s="1474"/>
      <c r="AB700" s="1474"/>
      <c r="AC700" s="1474"/>
      <c r="AD700" s="1474"/>
      <c r="AE700" s="1474"/>
      <c r="AF700" s="1474"/>
      <c r="AG700" s="1474"/>
      <c r="AH700" s="1474"/>
      <c r="AI700" s="1474"/>
      <c r="AJ700" s="1474"/>
      <c r="AK700" s="147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6" t="s">
        <v>677</v>
      </c>
      <c r="AF702" s="141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34"/>
      <c r="BA703" s="34"/>
      <c r="BB703" s="34"/>
      <c r="BC703" s="34"/>
      <c r="BD703" s="34"/>
      <c r="BE703" s="3"/>
      <c r="BF703" s="312" t="s">
        <v>914</v>
      </c>
      <c r="BG703" s="321">
        <f>SUM(BG668:BG702)</f>
        <v>116</v>
      </c>
      <c r="BH703" s="322">
        <f>SUM(BH668:BH702)</f>
        <v>1</v>
      </c>
      <c r="BI703" s="322">
        <f>SUM(BI668:BI702)</f>
        <v>0.4853448275862069</v>
      </c>
      <c r="BN703" s="3"/>
      <c r="BO703" s="3"/>
      <c r="BT703" s="893">
        <f>SUM(BT668:BT702)</f>
        <v>116</v>
      </c>
      <c r="BU703" s="322">
        <f>SUM(BU668:BU702)</f>
        <v>1</v>
      </c>
      <c r="BV703" s="322">
        <f>SUM(BV668:BV702)</f>
        <v>0.48251162800868574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06"/>
      <c r="K705" s="1406"/>
      <c r="L705" s="1406"/>
      <c r="M705" s="1406"/>
      <c r="N705" s="1406"/>
      <c r="O705" s="1406"/>
      <c r="P705" s="4" t="s">
        <v>207</v>
      </c>
      <c r="Q705" s="4"/>
      <c r="R705" s="1473"/>
      <c r="S705" s="1473"/>
      <c r="T705" s="147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08" t="s">
        <v>308</v>
      </c>
      <c r="X706" s="1408"/>
      <c r="Y706" s="1408"/>
      <c r="Z706" s="1408"/>
      <c r="AA706" s="1408"/>
      <c r="AB706" s="1408"/>
      <c r="AC706" s="1408"/>
      <c r="AD706" s="1408"/>
      <c r="AE706" s="1408"/>
      <c r="AF706" s="1408"/>
      <c r="AG706" s="1408"/>
      <c r="AH706" s="1408"/>
      <c r="AI706" s="1408"/>
      <c r="AJ706" s="1408"/>
      <c r="AK706" s="140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08" t="s">
        <v>335</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96" t="s">
        <v>390</v>
      </c>
      <c r="C714" s="1397"/>
      <c r="D714" s="1397"/>
      <c r="E714" s="1397"/>
      <c r="F714" s="1398"/>
      <c r="G714" s="1396" t="s">
        <v>286</v>
      </c>
      <c r="H714" s="1397"/>
      <c r="I714" s="1397"/>
      <c r="J714" s="1398"/>
      <c r="K714" s="1748" t="s">
        <v>1866</v>
      </c>
      <c r="L714" s="1749"/>
      <c r="M714" s="1749"/>
      <c r="N714" s="1750"/>
      <c r="O714" s="1396" t="s">
        <v>455</v>
      </c>
      <c r="P714" s="1397"/>
      <c r="Q714" s="1397"/>
      <c r="R714" s="1397"/>
      <c r="S714" s="1398"/>
      <c r="T714" s="1491" t="s">
        <v>2250</v>
      </c>
      <c r="U714" s="1397"/>
      <c r="V714" s="1397"/>
      <c r="W714" s="1398"/>
      <c r="X714" s="1491" t="s">
        <v>2252</v>
      </c>
      <c r="Y714" s="1397"/>
      <c r="Z714" s="1397"/>
      <c r="AA714" s="1397"/>
      <c r="AB714" s="1398"/>
      <c r="AC714" s="1491" t="s">
        <v>2251</v>
      </c>
      <c r="AD714" s="1397"/>
      <c r="AE714" s="1397"/>
      <c r="AF714" s="1397"/>
      <c r="AG714" s="1398"/>
      <c r="AH714" s="1491" t="s">
        <v>2253</v>
      </c>
      <c r="AI714" s="1397"/>
      <c r="AJ714" s="1398"/>
      <c r="AK714" s="1491" t="s">
        <v>2287</v>
      </c>
      <c r="AL714" s="1397"/>
      <c r="AM714" s="1397"/>
      <c r="AN714" s="1397"/>
      <c r="AO714" s="13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99"/>
      <c r="C715" s="1400"/>
      <c r="D715" s="1400"/>
      <c r="E715" s="1400"/>
      <c r="F715" s="1401"/>
      <c r="G715" s="1399"/>
      <c r="H715" s="1400"/>
      <c r="I715" s="1400"/>
      <c r="J715" s="1401"/>
      <c r="K715" s="1751"/>
      <c r="L715" s="1752"/>
      <c r="M715" s="1752"/>
      <c r="N715" s="1753"/>
      <c r="O715" s="1399"/>
      <c r="P715" s="1400"/>
      <c r="Q715" s="1400"/>
      <c r="R715" s="1400"/>
      <c r="S715" s="1401"/>
      <c r="T715" s="1399"/>
      <c r="U715" s="1400"/>
      <c r="V715" s="1400"/>
      <c r="W715" s="1401"/>
      <c r="X715" s="1399"/>
      <c r="Y715" s="1400"/>
      <c r="Z715" s="1400"/>
      <c r="AA715" s="1400"/>
      <c r="AB715" s="1401"/>
      <c r="AC715" s="1399"/>
      <c r="AD715" s="1400"/>
      <c r="AE715" s="1400"/>
      <c r="AF715" s="1400"/>
      <c r="AG715" s="1401"/>
      <c r="AH715" s="1399"/>
      <c r="AI715" s="1400"/>
      <c r="AJ715" s="1401"/>
      <c r="AK715" s="1399"/>
      <c r="AL715" s="1400"/>
      <c r="AM715" s="1400"/>
      <c r="AN715" s="1400"/>
      <c r="AO715" s="14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99"/>
      <c r="C716" s="1400"/>
      <c r="D716" s="1400"/>
      <c r="E716" s="1400"/>
      <c r="F716" s="1401"/>
      <c r="G716" s="1399"/>
      <c r="H716" s="1400"/>
      <c r="I716" s="1400"/>
      <c r="J716" s="1401"/>
      <c r="K716" s="1751"/>
      <c r="L716" s="1752"/>
      <c r="M716" s="1752"/>
      <c r="N716" s="1753"/>
      <c r="O716" s="1399"/>
      <c r="P716" s="1400"/>
      <c r="Q716" s="1400"/>
      <c r="R716" s="1400"/>
      <c r="S716" s="1401"/>
      <c r="T716" s="1399"/>
      <c r="U716" s="1400"/>
      <c r="V716" s="1400"/>
      <c r="W716" s="1401"/>
      <c r="X716" s="1399"/>
      <c r="Y716" s="1400"/>
      <c r="Z716" s="1400"/>
      <c r="AA716" s="1400"/>
      <c r="AB716" s="1401"/>
      <c r="AC716" s="1399"/>
      <c r="AD716" s="1400"/>
      <c r="AE716" s="1400"/>
      <c r="AF716" s="1400"/>
      <c r="AG716" s="1401"/>
      <c r="AH716" s="1399"/>
      <c r="AI716" s="1400"/>
      <c r="AJ716" s="1401"/>
      <c r="AK716" s="1399"/>
      <c r="AL716" s="1400"/>
      <c r="AM716" s="1400"/>
      <c r="AN716" s="1400"/>
      <c r="AO716" s="140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402"/>
      <c r="C717" s="1403"/>
      <c r="D717" s="1403"/>
      <c r="E717" s="1403"/>
      <c r="F717" s="1404"/>
      <c r="G717" s="1402"/>
      <c r="H717" s="1403"/>
      <c r="I717" s="1403"/>
      <c r="J717" s="1404"/>
      <c r="K717" s="1751"/>
      <c r="L717" s="1752"/>
      <c r="M717" s="1752"/>
      <c r="N717" s="1753"/>
      <c r="O717" s="1402"/>
      <c r="P717" s="1403"/>
      <c r="Q717" s="1403"/>
      <c r="R717" s="1403"/>
      <c r="S717" s="1404"/>
      <c r="T717" s="1402"/>
      <c r="U717" s="1403"/>
      <c r="V717" s="1403"/>
      <c r="W717" s="1404"/>
      <c r="X717" s="1402"/>
      <c r="Y717" s="1403"/>
      <c r="Z717" s="1403"/>
      <c r="AA717" s="1403"/>
      <c r="AB717" s="1404"/>
      <c r="AC717" s="1402"/>
      <c r="AD717" s="1403"/>
      <c r="AE717" s="1403"/>
      <c r="AF717" s="1403"/>
      <c r="AG717" s="1404"/>
      <c r="AH717" s="1402"/>
      <c r="AI717" s="1403"/>
      <c r="AJ717" s="1404"/>
      <c r="AK717" s="1402"/>
      <c r="AL717" s="1403"/>
      <c r="AM717" s="1403"/>
      <c r="AN717" s="1403"/>
      <c r="AO717" s="140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5" t="s">
        <v>325</v>
      </c>
      <c r="C718" s="1366"/>
      <c r="D718" s="1366"/>
      <c r="E718" s="1366"/>
      <c r="F718" s="1367"/>
      <c r="G718" s="1356">
        <v>9</v>
      </c>
      <c r="H718" s="1357"/>
      <c r="I718" s="1357"/>
      <c r="J718" s="1358"/>
      <c r="K718" s="1362">
        <v>426</v>
      </c>
      <c r="L718" s="1363"/>
      <c r="M718" s="1363"/>
      <c r="N718" s="1364"/>
      <c r="O718" s="1359">
        <f>728-29</f>
        <v>699</v>
      </c>
      <c r="P718" s="1360"/>
      <c r="Q718" s="1360"/>
      <c r="R718" s="1360"/>
      <c r="S718" s="1361"/>
      <c r="T718" s="1359">
        <v>29</v>
      </c>
      <c r="U718" s="1360"/>
      <c r="V718" s="1360"/>
      <c r="W718" s="1361"/>
      <c r="X718" s="1370">
        <f t="shared" ref="X718:X741" si="59">O718+T718</f>
        <v>728</v>
      </c>
      <c r="Y718" s="1371"/>
      <c r="Z718" s="1371"/>
      <c r="AA718" s="1371"/>
      <c r="AB718" s="1372"/>
      <c r="AC718" s="1374">
        <v>0.3</v>
      </c>
      <c r="AD718" s="1375"/>
      <c r="AE718" s="1375"/>
      <c r="AF718" s="1375"/>
      <c r="AG718" s="1376"/>
      <c r="AH718" s="1353">
        <f t="shared" ref="AH718:AH751" si="60">IF($AC718&gt;0,($X718/$BA667), "")</f>
        <v>0.30008244023083264</v>
      </c>
      <c r="AI718" s="1354"/>
      <c r="AJ718" s="1355"/>
      <c r="AK718" s="1365" t="s">
        <v>2416</v>
      </c>
      <c r="AL718" s="1366"/>
      <c r="AM718" s="1366"/>
      <c r="AN718" s="1366"/>
      <c r="AO718" s="136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5" t="s">
        <v>325</v>
      </c>
      <c r="C719" s="1366"/>
      <c r="D719" s="1366"/>
      <c r="E719" s="1366"/>
      <c r="F719" s="1367"/>
      <c r="G719" s="1356">
        <v>17</v>
      </c>
      <c r="H719" s="1357"/>
      <c r="I719" s="1357"/>
      <c r="J719" s="1358"/>
      <c r="K719" s="1362">
        <v>447</v>
      </c>
      <c r="L719" s="1363"/>
      <c r="M719" s="1363"/>
      <c r="N719" s="1364"/>
      <c r="O719" s="1359">
        <v>1427</v>
      </c>
      <c r="P719" s="1360"/>
      <c r="Q719" s="1360"/>
      <c r="R719" s="1360"/>
      <c r="S719" s="1361"/>
      <c r="T719" s="1359">
        <v>29</v>
      </c>
      <c r="U719" s="1360"/>
      <c r="V719" s="1360"/>
      <c r="W719" s="1361"/>
      <c r="X719" s="1370">
        <f t="shared" si="59"/>
        <v>1456</v>
      </c>
      <c r="Y719" s="1371"/>
      <c r="Z719" s="1371"/>
      <c r="AA719" s="1371"/>
      <c r="AB719" s="1372"/>
      <c r="AC719" s="1374">
        <v>0.6</v>
      </c>
      <c r="AD719" s="1375"/>
      <c r="AE719" s="1375"/>
      <c r="AF719" s="1375"/>
      <c r="AG719" s="1376"/>
      <c r="AH719" s="1353">
        <f t="shared" si="60"/>
        <v>0.60016488046166527</v>
      </c>
      <c r="AI719" s="1354"/>
      <c r="AJ719" s="1355"/>
      <c r="AK719" s="1365" t="s">
        <v>599</v>
      </c>
      <c r="AL719" s="1366"/>
      <c r="AM719" s="1366"/>
      <c r="AN719" s="1366"/>
      <c r="AO719" s="136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5" t="s">
        <v>325</v>
      </c>
      <c r="C720" s="1366"/>
      <c r="D720" s="1366"/>
      <c r="E720" s="1366"/>
      <c r="F720" s="1367"/>
      <c r="G720" s="1356">
        <v>19</v>
      </c>
      <c r="H720" s="1357"/>
      <c r="I720" s="1357"/>
      <c r="J720" s="1358"/>
      <c r="K720" s="1362">
        <v>431</v>
      </c>
      <c r="L720" s="1363"/>
      <c r="M720" s="1363"/>
      <c r="N720" s="1364"/>
      <c r="O720" s="1359">
        <f>1699-29</f>
        <v>1670</v>
      </c>
      <c r="P720" s="1360"/>
      <c r="Q720" s="1360"/>
      <c r="R720" s="1360"/>
      <c r="S720" s="1361"/>
      <c r="T720" s="1359">
        <v>29</v>
      </c>
      <c r="U720" s="1360"/>
      <c r="V720" s="1360"/>
      <c r="W720" s="1361"/>
      <c r="X720" s="1370">
        <f t="shared" si="59"/>
        <v>1699</v>
      </c>
      <c r="Y720" s="1371"/>
      <c r="Z720" s="1371"/>
      <c r="AA720" s="1371"/>
      <c r="AB720" s="1372"/>
      <c r="AC720" s="1374">
        <v>0.7</v>
      </c>
      <c r="AD720" s="1375"/>
      <c r="AE720" s="1375"/>
      <c r="AF720" s="1375"/>
      <c r="AG720" s="1376"/>
      <c r="AH720" s="1353">
        <f t="shared" si="60"/>
        <v>0.70032976092333055</v>
      </c>
      <c r="AI720" s="1354"/>
      <c r="AJ720" s="1355"/>
      <c r="AK720" s="1365" t="s">
        <v>599</v>
      </c>
      <c r="AL720" s="1366"/>
      <c r="AM720" s="1366"/>
      <c r="AN720" s="1366"/>
      <c r="AO720" s="136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5" t="s">
        <v>326</v>
      </c>
      <c r="C721" s="1366"/>
      <c r="D721" s="1366"/>
      <c r="E721" s="1366"/>
      <c r="F721" s="1367"/>
      <c r="G721" s="1356">
        <v>49</v>
      </c>
      <c r="H721" s="1357"/>
      <c r="I721" s="1357"/>
      <c r="J721" s="1358"/>
      <c r="K721" s="1362">
        <v>450</v>
      </c>
      <c r="L721" s="1363"/>
      <c r="M721" s="1363"/>
      <c r="N721" s="1364"/>
      <c r="O721" s="1359">
        <v>739</v>
      </c>
      <c r="P721" s="1360"/>
      <c r="Q721" s="1360"/>
      <c r="R721" s="1360"/>
      <c r="S721" s="1361"/>
      <c r="T721" s="1359">
        <v>41</v>
      </c>
      <c r="U721" s="1360"/>
      <c r="V721" s="1360"/>
      <c r="W721" s="1361"/>
      <c r="X721" s="1370">
        <f t="shared" si="59"/>
        <v>780</v>
      </c>
      <c r="Y721" s="1371"/>
      <c r="Z721" s="1371"/>
      <c r="AA721" s="1371"/>
      <c r="AB721" s="1372"/>
      <c r="AC721" s="1374">
        <v>0.3</v>
      </c>
      <c r="AD721" s="1375"/>
      <c r="AE721" s="1375"/>
      <c r="AF721" s="1375"/>
      <c r="AG721" s="1376"/>
      <c r="AH721" s="1353">
        <f t="shared" si="60"/>
        <v>0.3</v>
      </c>
      <c r="AI721" s="1354"/>
      <c r="AJ721" s="1355"/>
      <c r="AK721" s="1365" t="s">
        <v>2416</v>
      </c>
      <c r="AL721" s="1366"/>
      <c r="AM721" s="1366"/>
      <c r="AN721" s="1366"/>
      <c r="AO721" s="136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5" t="s">
        <v>326</v>
      </c>
      <c r="C722" s="1366"/>
      <c r="D722" s="1366"/>
      <c r="E722" s="1366"/>
      <c r="F722" s="1367"/>
      <c r="G722" s="1356">
        <v>22</v>
      </c>
      <c r="H722" s="1357"/>
      <c r="I722" s="1357"/>
      <c r="J722" s="1358"/>
      <c r="K722" s="1362">
        <v>495</v>
      </c>
      <c r="L722" s="1363"/>
      <c r="M722" s="1363"/>
      <c r="N722" s="1364"/>
      <c r="O722" s="1642">
        <f>1780-41</f>
        <v>1739</v>
      </c>
      <c r="P722" s="1360"/>
      <c r="Q722" s="1360"/>
      <c r="R722" s="1360"/>
      <c r="S722" s="1361"/>
      <c r="T722" s="1359">
        <v>41</v>
      </c>
      <c r="U722" s="1360"/>
      <c r="V722" s="1360"/>
      <c r="W722" s="1361"/>
      <c r="X722" s="1370">
        <f t="shared" si="59"/>
        <v>1780</v>
      </c>
      <c r="Y722" s="1371"/>
      <c r="Z722" s="1371"/>
      <c r="AA722" s="1371"/>
      <c r="AB722" s="1372"/>
      <c r="AC722" s="1374">
        <v>0.7</v>
      </c>
      <c r="AD722" s="1375"/>
      <c r="AE722" s="1375"/>
      <c r="AF722" s="1375"/>
      <c r="AG722" s="1376"/>
      <c r="AH722" s="1353">
        <f t="shared" si="60"/>
        <v>0.68461538461538463</v>
      </c>
      <c r="AI722" s="1354"/>
      <c r="AJ722" s="1355"/>
      <c r="AK722" s="1365" t="s">
        <v>599</v>
      </c>
      <c r="AL722" s="1366"/>
      <c r="AM722" s="1366"/>
      <c r="AN722" s="1366"/>
      <c r="AO722" s="136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5"/>
      <c r="C723" s="1366"/>
      <c r="D723" s="1366"/>
      <c r="E723" s="1366"/>
      <c r="F723" s="1367"/>
      <c r="G723" s="1356"/>
      <c r="H723" s="1357"/>
      <c r="I723" s="1357"/>
      <c r="J723" s="1358"/>
      <c r="K723" s="1362"/>
      <c r="L723" s="1363"/>
      <c r="M723" s="1363"/>
      <c r="N723" s="1364"/>
      <c r="O723" s="1359"/>
      <c r="P723" s="1360"/>
      <c r="Q723" s="1360"/>
      <c r="R723" s="1360"/>
      <c r="S723" s="1361"/>
      <c r="T723" s="1359"/>
      <c r="U723" s="1360"/>
      <c r="V723" s="1360"/>
      <c r="W723" s="1361"/>
      <c r="X723" s="1370">
        <f t="shared" si="59"/>
        <v>0</v>
      </c>
      <c r="Y723" s="1371"/>
      <c r="Z723" s="1371"/>
      <c r="AA723" s="1371"/>
      <c r="AB723" s="1372"/>
      <c r="AC723" s="1374"/>
      <c r="AD723" s="1375"/>
      <c r="AE723" s="1375"/>
      <c r="AF723" s="1375"/>
      <c r="AG723" s="1376"/>
      <c r="AH723" s="1353" t="str">
        <f t="shared" si="60"/>
        <v/>
      </c>
      <c r="AI723" s="1354"/>
      <c r="AJ723" s="1355"/>
      <c r="AK723" s="1365" t="s">
        <v>599</v>
      </c>
      <c r="AL723" s="1366"/>
      <c r="AM723" s="1366"/>
      <c r="AN723" s="1366"/>
      <c r="AO723" s="136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5"/>
      <c r="C724" s="1366"/>
      <c r="D724" s="1366"/>
      <c r="E724" s="1366"/>
      <c r="F724" s="1367"/>
      <c r="G724" s="1356"/>
      <c r="H724" s="1357"/>
      <c r="I724" s="1357"/>
      <c r="J724" s="1358"/>
      <c r="K724" s="1362"/>
      <c r="L724" s="1363"/>
      <c r="M724" s="1363"/>
      <c r="N724" s="1364"/>
      <c r="O724" s="1359"/>
      <c r="P724" s="1360"/>
      <c r="Q724" s="1360"/>
      <c r="R724" s="1360"/>
      <c r="S724" s="1361"/>
      <c r="T724" s="1359"/>
      <c r="U724" s="1360"/>
      <c r="V724" s="1360"/>
      <c r="W724" s="1361"/>
      <c r="X724" s="1370">
        <f t="shared" si="59"/>
        <v>0</v>
      </c>
      <c r="Y724" s="1371"/>
      <c r="Z724" s="1371"/>
      <c r="AA724" s="1371"/>
      <c r="AB724" s="1372"/>
      <c r="AC724" s="1374"/>
      <c r="AD724" s="1375"/>
      <c r="AE724" s="1375"/>
      <c r="AF724" s="1375"/>
      <c r="AG724" s="1376"/>
      <c r="AH724" s="1353" t="str">
        <f t="shared" si="60"/>
        <v/>
      </c>
      <c r="AI724" s="1354"/>
      <c r="AJ724" s="1355"/>
      <c r="AK724" s="1365" t="s">
        <v>599</v>
      </c>
      <c r="AL724" s="1366"/>
      <c r="AM724" s="1366"/>
      <c r="AN724" s="1366"/>
      <c r="AO724" s="136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5"/>
      <c r="C725" s="1366"/>
      <c r="D725" s="1366"/>
      <c r="E725" s="1366"/>
      <c r="F725" s="1367"/>
      <c r="G725" s="1356"/>
      <c r="H725" s="1357"/>
      <c r="I725" s="1357"/>
      <c r="J725" s="1358"/>
      <c r="K725" s="1362"/>
      <c r="L725" s="1363"/>
      <c r="M725" s="1363"/>
      <c r="N725" s="1364"/>
      <c r="O725" s="1359"/>
      <c r="P725" s="1360"/>
      <c r="Q725" s="1360"/>
      <c r="R725" s="1360"/>
      <c r="S725" s="1361"/>
      <c r="T725" s="1359"/>
      <c r="U725" s="1360"/>
      <c r="V725" s="1360"/>
      <c r="W725" s="1361"/>
      <c r="X725" s="1370">
        <f t="shared" si="59"/>
        <v>0</v>
      </c>
      <c r="Y725" s="1371"/>
      <c r="Z725" s="1371"/>
      <c r="AA725" s="1371"/>
      <c r="AB725" s="1372"/>
      <c r="AC725" s="1374"/>
      <c r="AD725" s="1375"/>
      <c r="AE725" s="1375"/>
      <c r="AF725" s="1375"/>
      <c r="AG725" s="1376"/>
      <c r="AH725" s="1353" t="str">
        <f t="shared" si="60"/>
        <v/>
      </c>
      <c r="AI725" s="1354"/>
      <c r="AJ725" s="1355"/>
      <c r="AK725" s="1365" t="s">
        <v>599</v>
      </c>
      <c r="AL725" s="1366"/>
      <c r="AM725" s="1366"/>
      <c r="AN725" s="1366"/>
      <c r="AO725" s="136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5"/>
      <c r="C726" s="1366"/>
      <c r="D726" s="1366"/>
      <c r="E726" s="1366"/>
      <c r="F726" s="1367"/>
      <c r="G726" s="1356"/>
      <c r="H726" s="1357"/>
      <c r="I726" s="1357"/>
      <c r="J726" s="1358"/>
      <c r="K726" s="1362"/>
      <c r="L726" s="1363"/>
      <c r="M726" s="1363"/>
      <c r="N726" s="1364"/>
      <c r="O726" s="1359"/>
      <c r="P726" s="1360"/>
      <c r="Q726" s="1360"/>
      <c r="R726" s="1360"/>
      <c r="S726" s="1361"/>
      <c r="T726" s="1359"/>
      <c r="U726" s="1360"/>
      <c r="V726" s="1360"/>
      <c r="W726" s="1361"/>
      <c r="X726" s="1370">
        <f t="shared" si="59"/>
        <v>0</v>
      </c>
      <c r="Y726" s="1371"/>
      <c r="Z726" s="1371"/>
      <c r="AA726" s="1371"/>
      <c r="AB726" s="1372"/>
      <c r="AC726" s="1374"/>
      <c r="AD726" s="1375"/>
      <c r="AE726" s="1375"/>
      <c r="AF726" s="1375"/>
      <c r="AG726" s="1376"/>
      <c r="AH726" s="1353" t="str">
        <f t="shared" si="60"/>
        <v/>
      </c>
      <c r="AI726" s="1354"/>
      <c r="AJ726" s="1355"/>
      <c r="AK726" s="1365" t="s">
        <v>599</v>
      </c>
      <c r="AL726" s="1366"/>
      <c r="AM726" s="1366"/>
      <c r="AN726" s="1366"/>
      <c r="AO726" s="136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5"/>
      <c r="C727" s="1366"/>
      <c r="D727" s="1366"/>
      <c r="E727" s="1366"/>
      <c r="F727" s="1367"/>
      <c r="G727" s="1356"/>
      <c r="H727" s="1357"/>
      <c r="I727" s="1357"/>
      <c r="J727" s="1358"/>
      <c r="K727" s="1362"/>
      <c r="L727" s="1363"/>
      <c r="M727" s="1363"/>
      <c r="N727" s="1364"/>
      <c r="O727" s="1359"/>
      <c r="P727" s="1360"/>
      <c r="Q727" s="1360"/>
      <c r="R727" s="1360"/>
      <c r="S727" s="1361"/>
      <c r="T727" s="1359"/>
      <c r="U727" s="1360"/>
      <c r="V727" s="1360"/>
      <c r="W727" s="1361"/>
      <c r="X727" s="1370">
        <f t="shared" si="59"/>
        <v>0</v>
      </c>
      <c r="Y727" s="1371"/>
      <c r="Z727" s="1371"/>
      <c r="AA727" s="1371"/>
      <c r="AB727" s="1372"/>
      <c r="AC727" s="1374"/>
      <c r="AD727" s="1375"/>
      <c r="AE727" s="1375"/>
      <c r="AF727" s="1375"/>
      <c r="AG727" s="1376"/>
      <c r="AH727" s="1353" t="str">
        <f t="shared" si="60"/>
        <v/>
      </c>
      <c r="AI727" s="1354"/>
      <c r="AJ727" s="1355"/>
      <c r="AK727" s="1365" t="s">
        <v>599</v>
      </c>
      <c r="AL727" s="1366"/>
      <c r="AM727" s="1366"/>
      <c r="AN727" s="1366"/>
      <c r="AO727" s="136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5"/>
      <c r="C728" s="1366"/>
      <c r="D728" s="1366"/>
      <c r="E728" s="1366"/>
      <c r="F728" s="1367"/>
      <c r="G728" s="1356"/>
      <c r="H728" s="1357"/>
      <c r="I728" s="1357"/>
      <c r="J728" s="1358"/>
      <c r="K728" s="1362"/>
      <c r="L728" s="1363"/>
      <c r="M728" s="1363"/>
      <c r="N728" s="1364"/>
      <c r="O728" s="1359"/>
      <c r="P728" s="1360"/>
      <c r="Q728" s="1360"/>
      <c r="R728" s="1360"/>
      <c r="S728" s="1361"/>
      <c r="T728" s="1359"/>
      <c r="U728" s="1360"/>
      <c r="V728" s="1360"/>
      <c r="W728" s="1361"/>
      <c r="X728" s="1370">
        <f t="shared" si="59"/>
        <v>0</v>
      </c>
      <c r="Y728" s="1371"/>
      <c r="Z728" s="1371"/>
      <c r="AA728" s="1371"/>
      <c r="AB728" s="1372"/>
      <c r="AC728" s="1374"/>
      <c r="AD728" s="1375"/>
      <c r="AE728" s="1375"/>
      <c r="AF728" s="1375"/>
      <c r="AG728" s="1376"/>
      <c r="AH728" s="1353" t="str">
        <f t="shared" si="60"/>
        <v/>
      </c>
      <c r="AI728" s="1354"/>
      <c r="AJ728" s="1355"/>
      <c r="AK728" s="1365" t="s">
        <v>599</v>
      </c>
      <c r="AL728" s="1366"/>
      <c r="AM728" s="1366"/>
      <c r="AN728" s="1366"/>
      <c r="AO728" s="136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5"/>
      <c r="C729" s="1366"/>
      <c r="D729" s="1366"/>
      <c r="E729" s="1366"/>
      <c r="F729" s="1367"/>
      <c r="G729" s="1356"/>
      <c r="H729" s="1357"/>
      <c r="I729" s="1357"/>
      <c r="J729" s="1358"/>
      <c r="K729" s="1362"/>
      <c r="L729" s="1363"/>
      <c r="M729" s="1363"/>
      <c r="N729" s="1364"/>
      <c r="O729" s="1359"/>
      <c r="P729" s="1360"/>
      <c r="Q729" s="1360"/>
      <c r="R729" s="1360"/>
      <c r="S729" s="1361"/>
      <c r="T729" s="1359"/>
      <c r="U729" s="1360"/>
      <c r="V729" s="1360"/>
      <c r="W729" s="1361"/>
      <c r="X729" s="1370">
        <f t="shared" si="59"/>
        <v>0</v>
      </c>
      <c r="Y729" s="1371"/>
      <c r="Z729" s="1371"/>
      <c r="AA729" s="1371"/>
      <c r="AB729" s="1372"/>
      <c r="AC729" s="1374"/>
      <c r="AD729" s="1375"/>
      <c r="AE729" s="1375"/>
      <c r="AF729" s="1375"/>
      <c r="AG729" s="1376"/>
      <c r="AH729" s="1353" t="str">
        <f t="shared" si="60"/>
        <v/>
      </c>
      <c r="AI729" s="1354"/>
      <c r="AJ729" s="1355"/>
      <c r="AK729" s="1365" t="s">
        <v>599</v>
      </c>
      <c r="AL729" s="1366"/>
      <c r="AM729" s="1366"/>
      <c r="AN729" s="1366"/>
      <c r="AO729" s="136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5"/>
      <c r="C730" s="1366"/>
      <c r="D730" s="1366"/>
      <c r="E730" s="1366"/>
      <c r="F730" s="1367"/>
      <c r="G730" s="1356"/>
      <c r="H730" s="1357"/>
      <c r="I730" s="1357"/>
      <c r="J730" s="1358"/>
      <c r="K730" s="1362"/>
      <c r="L730" s="1363"/>
      <c r="M730" s="1363"/>
      <c r="N730" s="1364"/>
      <c r="O730" s="1359"/>
      <c r="P730" s="1360"/>
      <c r="Q730" s="1360"/>
      <c r="R730" s="1360"/>
      <c r="S730" s="1361"/>
      <c r="T730" s="1359"/>
      <c r="U730" s="1360"/>
      <c r="V730" s="1360"/>
      <c r="W730" s="1361"/>
      <c r="X730" s="1370">
        <f t="shared" si="59"/>
        <v>0</v>
      </c>
      <c r="Y730" s="1371"/>
      <c r="Z730" s="1371"/>
      <c r="AA730" s="1371"/>
      <c r="AB730" s="1372"/>
      <c r="AC730" s="1374"/>
      <c r="AD730" s="1375"/>
      <c r="AE730" s="1375"/>
      <c r="AF730" s="1375"/>
      <c r="AG730" s="1376"/>
      <c r="AH730" s="1353" t="str">
        <f t="shared" si="60"/>
        <v/>
      </c>
      <c r="AI730" s="1354"/>
      <c r="AJ730" s="1355"/>
      <c r="AK730" s="1365" t="s">
        <v>599</v>
      </c>
      <c r="AL730" s="1366"/>
      <c r="AM730" s="1366"/>
      <c r="AN730" s="1366"/>
      <c r="AO730" s="136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5"/>
      <c r="C731" s="1366"/>
      <c r="D731" s="1366"/>
      <c r="E731" s="1366"/>
      <c r="F731" s="1367"/>
      <c r="G731" s="1356"/>
      <c r="H731" s="1357"/>
      <c r="I731" s="1357"/>
      <c r="J731" s="1358"/>
      <c r="K731" s="1362"/>
      <c r="L731" s="1363"/>
      <c r="M731" s="1363"/>
      <c r="N731" s="1364"/>
      <c r="O731" s="1359"/>
      <c r="P731" s="1360"/>
      <c r="Q731" s="1360"/>
      <c r="R731" s="1360"/>
      <c r="S731" s="1361"/>
      <c r="T731" s="1359"/>
      <c r="U731" s="1360"/>
      <c r="V731" s="1360"/>
      <c r="W731" s="1361"/>
      <c r="X731" s="1370">
        <f t="shared" si="59"/>
        <v>0</v>
      </c>
      <c r="Y731" s="1371"/>
      <c r="Z731" s="1371"/>
      <c r="AA731" s="1371"/>
      <c r="AB731" s="1372"/>
      <c r="AC731" s="1374"/>
      <c r="AD731" s="1375"/>
      <c r="AE731" s="1375"/>
      <c r="AF731" s="1375"/>
      <c r="AG731" s="1376"/>
      <c r="AH731" s="1353" t="str">
        <f t="shared" si="60"/>
        <v/>
      </c>
      <c r="AI731" s="1354"/>
      <c r="AJ731" s="1355"/>
      <c r="AK731" s="1365" t="s">
        <v>599</v>
      </c>
      <c r="AL731" s="1366"/>
      <c r="AM731" s="1366"/>
      <c r="AN731" s="1366"/>
      <c r="AO731" s="136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5"/>
      <c r="C732" s="1366"/>
      <c r="D732" s="1366"/>
      <c r="E732" s="1366"/>
      <c r="F732" s="1367"/>
      <c r="G732" s="1356"/>
      <c r="H732" s="1357"/>
      <c r="I732" s="1357"/>
      <c r="J732" s="1358"/>
      <c r="K732" s="1362"/>
      <c r="L732" s="1363"/>
      <c r="M732" s="1363"/>
      <c r="N732" s="1364"/>
      <c r="O732" s="1359"/>
      <c r="P732" s="1360"/>
      <c r="Q732" s="1360"/>
      <c r="R732" s="1360"/>
      <c r="S732" s="1361"/>
      <c r="T732" s="1359"/>
      <c r="U732" s="1360"/>
      <c r="V732" s="1360"/>
      <c r="W732" s="1361"/>
      <c r="X732" s="1370">
        <f t="shared" si="59"/>
        <v>0</v>
      </c>
      <c r="Y732" s="1371"/>
      <c r="Z732" s="1371"/>
      <c r="AA732" s="1371"/>
      <c r="AB732" s="1372"/>
      <c r="AC732" s="1374"/>
      <c r="AD732" s="1375"/>
      <c r="AE732" s="1375"/>
      <c r="AF732" s="1375"/>
      <c r="AG732" s="1376"/>
      <c r="AH732" s="1353" t="str">
        <f t="shared" si="60"/>
        <v/>
      </c>
      <c r="AI732" s="1354"/>
      <c r="AJ732" s="1355"/>
      <c r="AK732" s="1365" t="s">
        <v>599</v>
      </c>
      <c r="AL732" s="1366"/>
      <c r="AM732" s="1366"/>
      <c r="AN732" s="1366"/>
      <c r="AO732" s="136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5"/>
      <c r="C733" s="1366"/>
      <c r="D733" s="1366"/>
      <c r="E733" s="1366"/>
      <c r="F733" s="1367"/>
      <c r="G733" s="1356"/>
      <c r="H733" s="1357"/>
      <c r="I733" s="1357"/>
      <c r="J733" s="1358"/>
      <c r="K733" s="1362"/>
      <c r="L733" s="1363"/>
      <c r="M733" s="1363"/>
      <c r="N733" s="1364"/>
      <c r="O733" s="1359"/>
      <c r="P733" s="1360"/>
      <c r="Q733" s="1360"/>
      <c r="R733" s="1360"/>
      <c r="S733" s="1361"/>
      <c r="T733" s="1359"/>
      <c r="U733" s="1360"/>
      <c r="V733" s="1360"/>
      <c r="W733" s="1361"/>
      <c r="X733" s="1370">
        <f t="shared" si="59"/>
        <v>0</v>
      </c>
      <c r="Y733" s="1371"/>
      <c r="Z733" s="1371"/>
      <c r="AA733" s="1371"/>
      <c r="AB733" s="1372"/>
      <c r="AC733" s="1374"/>
      <c r="AD733" s="1375"/>
      <c r="AE733" s="1375"/>
      <c r="AF733" s="1375"/>
      <c r="AG733" s="1376"/>
      <c r="AH733" s="1353" t="str">
        <f t="shared" si="60"/>
        <v/>
      </c>
      <c r="AI733" s="1354"/>
      <c r="AJ733" s="1355"/>
      <c r="AK733" s="1365" t="s">
        <v>599</v>
      </c>
      <c r="AL733" s="1366"/>
      <c r="AM733" s="1366"/>
      <c r="AN733" s="1366"/>
      <c r="AO733" s="136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5"/>
      <c r="C734" s="1366"/>
      <c r="D734" s="1366"/>
      <c r="E734" s="1366"/>
      <c r="F734" s="1367"/>
      <c r="G734" s="1356"/>
      <c r="H734" s="1357"/>
      <c r="I734" s="1357"/>
      <c r="J734" s="1358"/>
      <c r="K734" s="1362"/>
      <c r="L734" s="1363"/>
      <c r="M734" s="1363"/>
      <c r="N734" s="1364"/>
      <c r="O734" s="1359"/>
      <c r="P734" s="1360"/>
      <c r="Q734" s="1360"/>
      <c r="R734" s="1360"/>
      <c r="S734" s="1361"/>
      <c r="T734" s="1359"/>
      <c r="U734" s="1360"/>
      <c r="V734" s="1360"/>
      <c r="W734" s="1361"/>
      <c r="X734" s="1370">
        <f t="shared" si="59"/>
        <v>0</v>
      </c>
      <c r="Y734" s="1371"/>
      <c r="Z734" s="1371"/>
      <c r="AA734" s="1371"/>
      <c r="AB734" s="1372"/>
      <c r="AC734" s="1374"/>
      <c r="AD734" s="1375"/>
      <c r="AE734" s="1375"/>
      <c r="AF734" s="1375"/>
      <c r="AG734" s="1376"/>
      <c r="AH734" s="1353" t="str">
        <f t="shared" si="60"/>
        <v/>
      </c>
      <c r="AI734" s="1354"/>
      <c r="AJ734" s="1355"/>
      <c r="AK734" s="1365" t="s">
        <v>599</v>
      </c>
      <c r="AL734" s="1366"/>
      <c r="AM734" s="1366"/>
      <c r="AN734" s="1366"/>
      <c r="AO734" s="136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5"/>
      <c r="C735" s="1366"/>
      <c r="D735" s="1366"/>
      <c r="E735" s="1366"/>
      <c r="F735" s="1367"/>
      <c r="G735" s="1356"/>
      <c r="H735" s="1357"/>
      <c r="I735" s="1357"/>
      <c r="J735" s="1358"/>
      <c r="K735" s="1362"/>
      <c r="L735" s="1363"/>
      <c r="M735" s="1363"/>
      <c r="N735" s="1364"/>
      <c r="O735" s="1359"/>
      <c r="P735" s="1360"/>
      <c r="Q735" s="1360"/>
      <c r="R735" s="1360"/>
      <c r="S735" s="1361"/>
      <c r="T735" s="1359"/>
      <c r="U735" s="1360"/>
      <c r="V735" s="1360"/>
      <c r="W735" s="1361"/>
      <c r="X735" s="1370">
        <f t="shared" si="59"/>
        <v>0</v>
      </c>
      <c r="Y735" s="1371"/>
      <c r="Z735" s="1371"/>
      <c r="AA735" s="1371"/>
      <c r="AB735" s="1372"/>
      <c r="AC735" s="1374"/>
      <c r="AD735" s="1375"/>
      <c r="AE735" s="1375"/>
      <c r="AF735" s="1375"/>
      <c r="AG735" s="1376"/>
      <c r="AH735" s="1353" t="str">
        <f t="shared" si="60"/>
        <v/>
      </c>
      <c r="AI735" s="1354"/>
      <c r="AJ735" s="1355"/>
      <c r="AK735" s="1365" t="s">
        <v>599</v>
      </c>
      <c r="AL735" s="1366"/>
      <c r="AM735" s="1366"/>
      <c r="AN735" s="1366"/>
      <c r="AO735" s="136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5"/>
      <c r="C736" s="1366"/>
      <c r="D736" s="1366"/>
      <c r="E736" s="1366"/>
      <c r="F736" s="1367"/>
      <c r="G736" s="1356"/>
      <c r="H736" s="1357"/>
      <c r="I736" s="1357"/>
      <c r="J736" s="1358"/>
      <c r="K736" s="1362"/>
      <c r="L736" s="1363"/>
      <c r="M736" s="1363"/>
      <c r="N736" s="1364"/>
      <c r="O736" s="1359"/>
      <c r="P736" s="1360"/>
      <c r="Q736" s="1360"/>
      <c r="R736" s="1360"/>
      <c r="S736" s="1361"/>
      <c r="T736" s="1359"/>
      <c r="U736" s="1360"/>
      <c r="V736" s="1360"/>
      <c r="W736" s="1361"/>
      <c r="X736" s="1370">
        <f t="shared" si="59"/>
        <v>0</v>
      </c>
      <c r="Y736" s="1371"/>
      <c r="Z736" s="1371"/>
      <c r="AA736" s="1371"/>
      <c r="AB736" s="1372"/>
      <c r="AC736" s="1374"/>
      <c r="AD736" s="1375"/>
      <c r="AE736" s="1375"/>
      <c r="AF736" s="1375"/>
      <c r="AG736" s="1376"/>
      <c r="AH736" s="1353" t="str">
        <f t="shared" si="60"/>
        <v/>
      </c>
      <c r="AI736" s="1354"/>
      <c r="AJ736" s="1355"/>
      <c r="AK736" s="1365" t="s">
        <v>599</v>
      </c>
      <c r="AL736" s="1366"/>
      <c r="AM736" s="1366"/>
      <c r="AN736" s="1366"/>
      <c r="AO736" s="136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5"/>
      <c r="C737" s="1366"/>
      <c r="D737" s="1366"/>
      <c r="E737" s="1366"/>
      <c r="F737" s="1367"/>
      <c r="G737" s="1356"/>
      <c r="H737" s="1357"/>
      <c r="I737" s="1357"/>
      <c r="J737" s="1358"/>
      <c r="K737" s="1362"/>
      <c r="L737" s="1363"/>
      <c r="M737" s="1363"/>
      <c r="N737" s="1364"/>
      <c r="O737" s="1359"/>
      <c r="P737" s="1360"/>
      <c r="Q737" s="1360"/>
      <c r="R737" s="1360"/>
      <c r="S737" s="1361"/>
      <c r="T737" s="1359"/>
      <c r="U737" s="1360"/>
      <c r="V737" s="1360"/>
      <c r="W737" s="1361"/>
      <c r="X737" s="1370">
        <f t="shared" si="59"/>
        <v>0</v>
      </c>
      <c r="Y737" s="1371"/>
      <c r="Z737" s="1371"/>
      <c r="AA737" s="1371"/>
      <c r="AB737" s="1372"/>
      <c r="AC737" s="1374"/>
      <c r="AD737" s="1375"/>
      <c r="AE737" s="1375"/>
      <c r="AF737" s="1375"/>
      <c r="AG737" s="1376"/>
      <c r="AH737" s="1353" t="str">
        <f t="shared" si="60"/>
        <v/>
      </c>
      <c r="AI737" s="1354"/>
      <c r="AJ737" s="1355"/>
      <c r="AK737" s="1365" t="s">
        <v>599</v>
      </c>
      <c r="AL737" s="1366"/>
      <c r="AM737" s="1366"/>
      <c r="AN737" s="1366"/>
      <c r="AO737" s="136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5"/>
      <c r="C738" s="1366"/>
      <c r="D738" s="1366"/>
      <c r="E738" s="1366"/>
      <c r="F738" s="1367"/>
      <c r="G738" s="1356"/>
      <c r="H738" s="1357"/>
      <c r="I738" s="1357"/>
      <c r="J738" s="1358"/>
      <c r="K738" s="1362"/>
      <c r="L738" s="1363"/>
      <c r="M738" s="1363"/>
      <c r="N738" s="1364"/>
      <c r="O738" s="1359"/>
      <c r="P738" s="1360"/>
      <c r="Q738" s="1360"/>
      <c r="R738" s="1360"/>
      <c r="S738" s="1361"/>
      <c r="T738" s="1359"/>
      <c r="U738" s="1360"/>
      <c r="V738" s="1360"/>
      <c r="W738" s="1361"/>
      <c r="X738" s="1370">
        <f t="shared" si="59"/>
        <v>0</v>
      </c>
      <c r="Y738" s="1371"/>
      <c r="Z738" s="1371"/>
      <c r="AA738" s="1371"/>
      <c r="AB738" s="1372"/>
      <c r="AC738" s="1374"/>
      <c r="AD738" s="1375"/>
      <c r="AE738" s="1375"/>
      <c r="AF738" s="1375"/>
      <c r="AG738" s="1376"/>
      <c r="AH738" s="1353" t="str">
        <f t="shared" si="60"/>
        <v/>
      </c>
      <c r="AI738" s="1354"/>
      <c r="AJ738" s="1355"/>
      <c r="AK738" s="1365" t="s">
        <v>599</v>
      </c>
      <c r="AL738" s="1366"/>
      <c r="AM738" s="1366"/>
      <c r="AN738" s="1366"/>
      <c r="AO738" s="136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5"/>
      <c r="C739" s="1366"/>
      <c r="D739" s="1366"/>
      <c r="E739" s="1366"/>
      <c r="F739" s="1367"/>
      <c r="G739" s="1356"/>
      <c r="H739" s="1357"/>
      <c r="I739" s="1357"/>
      <c r="J739" s="1358"/>
      <c r="K739" s="1362"/>
      <c r="L739" s="1363"/>
      <c r="M739" s="1363"/>
      <c r="N739" s="1364"/>
      <c r="O739" s="1359"/>
      <c r="P739" s="1360"/>
      <c r="Q739" s="1360"/>
      <c r="R739" s="1360"/>
      <c r="S739" s="1361"/>
      <c r="T739" s="1359"/>
      <c r="U739" s="1360"/>
      <c r="V739" s="1360"/>
      <c r="W739" s="1361"/>
      <c r="X739" s="1370">
        <f t="shared" si="59"/>
        <v>0</v>
      </c>
      <c r="Y739" s="1371"/>
      <c r="Z739" s="1371"/>
      <c r="AA739" s="1371"/>
      <c r="AB739" s="1372"/>
      <c r="AC739" s="1374"/>
      <c r="AD739" s="1375"/>
      <c r="AE739" s="1375"/>
      <c r="AF739" s="1375"/>
      <c r="AG739" s="1376"/>
      <c r="AH739" s="1353" t="str">
        <f t="shared" si="60"/>
        <v/>
      </c>
      <c r="AI739" s="1354"/>
      <c r="AJ739" s="1355"/>
      <c r="AK739" s="1365" t="s">
        <v>599</v>
      </c>
      <c r="AL739" s="1366"/>
      <c r="AM739" s="1366"/>
      <c r="AN739" s="1366"/>
      <c r="AO739" s="136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5"/>
      <c r="C740" s="1366"/>
      <c r="D740" s="1366"/>
      <c r="E740" s="1366"/>
      <c r="F740" s="1367"/>
      <c r="G740" s="1356"/>
      <c r="H740" s="1357"/>
      <c r="I740" s="1357"/>
      <c r="J740" s="1358"/>
      <c r="K740" s="1362"/>
      <c r="L740" s="1363"/>
      <c r="M740" s="1363"/>
      <c r="N740" s="1364"/>
      <c r="O740" s="1359"/>
      <c r="P740" s="1360"/>
      <c r="Q740" s="1360"/>
      <c r="R740" s="1360"/>
      <c r="S740" s="1361"/>
      <c r="T740" s="1359"/>
      <c r="U740" s="1360"/>
      <c r="V740" s="1360"/>
      <c r="W740" s="1361"/>
      <c r="X740" s="1370">
        <f t="shared" si="59"/>
        <v>0</v>
      </c>
      <c r="Y740" s="1371"/>
      <c r="Z740" s="1371"/>
      <c r="AA740" s="1371"/>
      <c r="AB740" s="1372"/>
      <c r="AC740" s="1374"/>
      <c r="AD740" s="1375"/>
      <c r="AE740" s="1375"/>
      <c r="AF740" s="1375"/>
      <c r="AG740" s="1376"/>
      <c r="AH740" s="1353" t="str">
        <f t="shared" si="60"/>
        <v/>
      </c>
      <c r="AI740" s="1354"/>
      <c r="AJ740" s="1355"/>
      <c r="AK740" s="1365" t="s">
        <v>599</v>
      </c>
      <c r="AL740" s="1366"/>
      <c r="AM740" s="1366"/>
      <c r="AN740" s="1366"/>
      <c r="AO740" s="136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5"/>
      <c r="C741" s="1366"/>
      <c r="D741" s="1366"/>
      <c r="E741" s="1366"/>
      <c r="F741" s="1367"/>
      <c r="G741" s="1356"/>
      <c r="H741" s="1357"/>
      <c r="I741" s="1357"/>
      <c r="J741" s="1358"/>
      <c r="K741" s="1362"/>
      <c r="L741" s="1363"/>
      <c r="M741" s="1363"/>
      <c r="N741" s="1364"/>
      <c r="O741" s="1359"/>
      <c r="P741" s="1360"/>
      <c r="Q741" s="1360"/>
      <c r="R741" s="1360"/>
      <c r="S741" s="1361"/>
      <c r="T741" s="1359"/>
      <c r="U741" s="1360"/>
      <c r="V741" s="1360"/>
      <c r="W741" s="1361"/>
      <c r="X741" s="1370">
        <f t="shared" si="59"/>
        <v>0</v>
      </c>
      <c r="Y741" s="1371"/>
      <c r="Z741" s="1371"/>
      <c r="AA741" s="1371"/>
      <c r="AB741" s="1372"/>
      <c r="AC741" s="1374"/>
      <c r="AD741" s="1375"/>
      <c r="AE741" s="1375"/>
      <c r="AF741" s="1375"/>
      <c r="AG741" s="1376"/>
      <c r="AH741" s="1353" t="str">
        <f t="shared" si="60"/>
        <v/>
      </c>
      <c r="AI741" s="1354"/>
      <c r="AJ741" s="1355"/>
      <c r="AK741" s="1365" t="s">
        <v>599</v>
      </c>
      <c r="AL741" s="1366"/>
      <c r="AM741" s="1366"/>
      <c r="AN741" s="1366"/>
      <c r="AO741" s="136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5"/>
      <c r="C742" s="1366"/>
      <c r="D742" s="1366"/>
      <c r="E742" s="1366"/>
      <c r="F742" s="1367"/>
      <c r="G742" s="1356"/>
      <c r="H742" s="1357"/>
      <c r="I742" s="1357"/>
      <c r="J742" s="1358"/>
      <c r="K742" s="1362"/>
      <c r="L742" s="1363"/>
      <c r="M742" s="1363"/>
      <c r="N742" s="1364"/>
      <c r="O742" s="1359"/>
      <c r="P742" s="1360"/>
      <c r="Q742" s="1360"/>
      <c r="R742" s="1360"/>
      <c r="S742" s="1361"/>
      <c r="T742" s="1359"/>
      <c r="U742" s="1360"/>
      <c r="V742" s="1360"/>
      <c r="W742" s="1361"/>
      <c r="X742" s="1370">
        <f t="shared" ref="X742:X751" si="61">O742+T742</f>
        <v>0</v>
      </c>
      <c r="Y742" s="1371"/>
      <c r="Z742" s="1371"/>
      <c r="AA742" s="1371"/>
      <c r="AB742" s="1372"/>
      <c r="AC742" s="1374"/>
      <c r="AD742" s="1375"/>
      <c r="AE742" s="1375"/>
      <c r="AF742" s="1375"/>
      <c r="AG742" s="1376"/>
      <c r="AH742" s="1353" t="str">
        <f t="shared" si="60"/>
        <v/>
      </c>
      <c r="AI742" s="1354"/>
      <c r="AJ742" s="1355"/>
      <c r="AK742" s="1365" t="s">
        <v>599</v>
      </c>
      <c r="AL742" s="1366"/>
      <c r="AM742" s="1366"/>
      <c r="AN742" s="1366"/>
      <c r="AO742" s="136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5"/>
      <c r="C743" s="1366"/>
      <c r="D743" s="1366"/>
      <c r="E743" s="1366"/>
      <c r="F743" s="1367"/>
      <c r="G743" s="1356"/>
      <c r="H743" s="1357"/>
      <c r="I743" s="1357"/>
      <c r="J743" s="1358"/>
      <c r="K743" s="1362"/>
      <c r="L743" s="1363"/>
      <c r="M743" s="1363"/>
      <c r="N743" s="1364"/>
      <c r="O743" s="1359"/>
      <c r="P743" s="1360"/>
      <c r="Q743" s="1360"/>
      <c r="R743" s="1360"/>
      <c r="S743" s="1361"/>
      <c r="T743" s="1359"/>
      <c r="U743" s="1360"/>
      <c r="V743" s="1360"/>
      <c r="W743" s="1361"/>
      <c r="X743" s="1370">
        <f t="shared" si="61"/>
        <v>0</v>
      </c>
      <c r="Y743" s="1371"/>
      <c r="Z743" s="1371"/>
      <c r="AA743" s="1371"/>
      <c r="AB743" s="1372"/>
      <c r="AC743" s="1374"/>
      <c r="AD743" s="1375"/>
      <c r="AE743" s="1375"/>
      <c r="AF743" s="1375"/>
      <c r="AG743" s="1376"/>
      <c r="AH743" s="1353" t="str">
        <f t="shared" si="60"/>
        <v/>
      </c>
      <c r="AI743" s="1354"/>
      <c r="AJ743" s="1355"/>
      <c r="AK743" s="1365" t="s">
        <v>599</v>
      </c>
      <c r="AL743" s="1366"/>
      <c r="AM743" s="1366"/>
      <c r="AN743" s="1366"/>
      <c r="AO743" s="136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5"/>
      <c r="C744" s="1366"/>
      <c r="D744" s="1366"/>
      <c r="E744" s="1366"/>
      <c r="F744" s="1367"/>
      <c r="G744" s="1356"/>
      <c r="H744" s="1357"/>
      <c r="I744" s="1357"/>
      <c r="J744" s="1358"/>
      <c r="K744" s="1362"/>
      <c r="L744" s="1363"/>
      <c r="M744" s="1363"/>
      <c r="N744" s="1364"/>
      <c r="O744" s="1359"/>
      <c r="P744" s="1360"/>
      <c r="Q744" s="1360"/>
      <c r="R744" s="1360"/>
      <c r="S744" s="1361"/>
      <c r="T744" s="1359"/>
      <c r="U744" s="1360"/>
      <c r="V744" s="1360"/>
      <c r="W744" s="1361"/>
      <c r="X744" s="1370">
        <f t="shared" si="61"/>
        <v>0</v>
      </c>
      <c r="Y744" s="1371"/>
      <c r="Z744" s="1371"/>
      <c r="AA744" s="1371"/>
      <c r="AB744" s="1372"/>
      <c r="AC744" s="1374"/>
      <c r="AD744" s="1375"/>
      <c r="AE744" s="1375"/>
      <c r="AF744" s="1375"/>
      <c r="AG744" s="1376"/>
      <c r="AH744" s="1353" t="str">
        <f t="shared" si="60"/>
        <v/>
      </c>
      <c r="AI744" s="1354"/>
      <c r="AJ744" s="1355"/>
      <c r="AK744" s="1365" t="s">
        <v>599</v>
      </c>
      <c r="AL744" s="1366"/>
      <c r="AM744" s="1366"/>
      <c r="AN744" s="1366"/>
      <c r="AO744" s="136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5"/>
      <c r="C745" s="1366"/>
      <c r="D745" s="1366"/>
      <c r="E745" s="1366"/>
      <c r="F745" s="1367"/>
      <c r="G745" s="1356"/>
      <c r="H745" s="1357"/>
      <c r="I745" s="1357"/>
      <c r="J745" s="1358"/>
      <c r="K745" s="1362"/>
      <c r="L745" s="1363"/>
      <c r="M745" s="1363"/>
      <c r="N745" s="1364"/>
      <c r="O745" s="1359"/>
      <c r="P745" s="1360"/>
      <c r="Q745" s="1360"/>
      <c r="R745" s="1360"/>
      <c r="S745" s="1361"/>
      <c r="T745" s="1359"/>
      <c r="U745" s="1360"/>
      <c r="V745" s="1360"/>
      <c r="W745" s="1361"/>
      <c r="X745" s="1370">
        <f t="shared" si="61"/>
        <v>0</v>
      </c>
      <c r="Y745" s="1371"/>
      <c r="Z745" s="1371"/>
      <c r="AA745" s="1371"/>
      <c r="AB745" s="1372"/>
      <c r="AC745" s="1374"/>
      <c r="AD745" s="1375"/>
      <c r="AE745" s="1375"/>
      <c r="AF745" s="1375"/>
      <c r="AG745" s="1376"/>
      <c r="AH745" s="1353" t="str">
        <f t="shared" si="60"/>
        <v/>
      </c>
      <c r="AI745" s="1354"/>
      <c r="AJ745" s="1355"/>
      <c r="AK745" s="1365" t="s">
        <v>599</v>
      </c>
      <c r="AL745" s="1366"/>
      <c r="AM745" s="1366"/>
      <c r="AN745" s="1366"/>
      <c r="AO745" s="136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5"/>
      <c r="C746" s="1366"/>
      <c r="D746" s="1366"/>
      <c r="E746" s="1366"/>
      <c r="F746" s="1367"/>
      <c r="G746" s="1356"/>
      <c r="H746" s="1357"/>
      <c r="I746" s="1357"/>
      <c r="J746" s="1358"/>
      <c r="K746" s="1362"/>
      <c r="L746" s="1363"/>
      <c r="M746" s="1363"/>
      <c r="N746" s="1364"/>
      <c r="O746" s="1359"/>
      <c r="P746" s="1360"/>
      <c r="Q746" s="1360"/>
      <c r="R746" s="1360"/>
      <c r="S746" s="1361"/>
      <c r="T746" s="1359"/>
      <c r="U746" s="1360"/>
      <c r="V746" s="1360"/>
      <c r="W746" s="1361"/>
      <c r="X746" s="1370">
        <f t="shared" si="61"/>
        <v>0</v>
      </c>
      <c r="Y746" s="1371"/>
      <c r="Z746" s="1371"/>
      <c r="AA746" s="1371"/>
      <c r="AB746" s="1372"/>
      <c r="AC746" s="1374"/>
      <c r="AD746" s="1375"/>
      <c r="AE746" s="1375"/>
      <c r="AF746" s="1375"/>
      <c r="AG746" s="1376"/>
      <c r="AH746" s="1353" t="str">
        <f t="shared" si="60"/>
        <v/>
      </c>
      <c r="AI746" s="1354"/>
      <c r="AJ746" s="1355"/>
      <c r="AK746" s="1365" t="s">
        <v>599</v>
      </c>
      <c r="AL746" s="1366"/>
      <c r="AM746" s="1366"/>
      <c r="AN746" s="1366"/>
      <c r="AO746" s="136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5"/>
      <c r="C747" s="1366"/>
      <c r="D747" s="1366"/>
      <c r="E747" s="1366"/>
      <c r="F747" s="1367"/>
      <c r="G747" s="1356"/>
      <c r="H747" s="1357"/>
      <c r="I747" s="1357"/>
      <c r="J747" s="1358"/>
      <c r="K747" s="1362"/>
      <c r="L747" s="1363"/>
      <c r="M747" s="1363"/>
      <c r="N747" s="1364"/>
      <c r="O747" s="1359"/>
      <c r="P747" s="1360"/>
      <c r="Q747" s="1360"/>
      <c r="R747" s="1360"/>
      <c r="S747" s="1361"/>
      <c r="T747" s="1359"/>
      <c r="U747" s="1360"/>
      <c r="V747" s="1360"/>
      <c r="W747" s="1361"/>
      <c r="X747" s="1370">
        <f t="shared" si="61"/>
        <v>0</v>
      </c>
      <c r="Y747" s="1371"/>
      <c r="Z747" s="1371"/>
      <c r="AA747" s="1371"/>
      <c r="AB747" s="1372"/>
      <c r="AC747" s="1374"/>
      <c r="AD747" s="1375"/>
      <c r="AE747" s="1375"/>
      <c r="AF747" s="1375"/>
      <c r="AG747" s="1376"/>
      <c r="AH747" s="1353" t="str">
        <f t="shared" si="60"/>
        <v/>
      </c>
      <c r="AI747" s="1354"/>
      <c r="AJ747" s="1355"/>
      <c r="AK747" s="1365" t="s">
        <v>599</v>
      </c>
      <c r="AL747" s="1366"/>
      <c r="AM747" s="1366"/>
      <c r="AN747" s="1366"/>
      <c r="AO747" s="136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5"/>
      <c r="C748" s="1366"/>
      <c r="D748" s="1366"/>
      <c r="E748" s="1366"/>
      <c r="F748" s="1367"/>
      <c r="G748" s="1356"/>
      <c r="H748" s="1357"/>
      <c r="I748" s="1357"/>
      <c r="J748" s="1358"/>
      <c r="K748" s="1362"/>
      <c r="L748" s="1363"/>
      <c r="M748" s="1363"/>
      <c r="N748" s="1364"/>
      <c r="O748" s="1359"/>
      <c r="P748" s="1360"/>
      <c r="Q748" s="1360"/>
      <c r="R748" s="1360"/>
      <c r="S748" s="1361"/>
      <c r="T748" s="1359"/>
      <c r="U748" s="1360"/>
      <c r="V748" s="1360"/>
      <c r="W748" s="1361"/>
      <c r="X748" s="1370">
        <f t="shared" si="61"/>
        <v>0</v>
      </c>
      <c r="Y748" s="1371"/>
      <c r="Z748" s="1371"/>
      <c r="AA748" s="1371"/>
      <c r="AB748" s="1372"/>
      <c r="AC748" s="1374"/>
      <c r="AD748" s="1375"/>
      <c r="AE748" s="1375"/>
      <c r="AF748" s="1375"/>
      <c r="AG748" s="1376"/>
      <c r="AH748" s="1353" t="str">
        <f t="shared" si="60"/>
        <v/>
      </c>
      <c r="AI748" s="1354"/>
      <c r="AJ748" s="1355"/>
      <c r="AK748" s="1365" t="s">
        <v>599</v>
      </c>
      <c r="AL748" s="1366"/>
      <c r="AM748" s="1366"/>
      <c r="AN748" s="1366"/>
      <c r="AO748" s="136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5"/>
      <c r="C749" s="1366"/>
      <c r="D749" s="1366"/>
      <c r="E749" s="1366"/>
      <c r="F749" s="1367"/>
      <c r="G749" s="1356"/>
      <c r="H749" s="1357"/>
      <c r="I749" s="1357"/>
      <c r="J749" s="1358"/>
      <c r="K749" s="1362"/>
      <c r="L749" s="1363"/>
      <c r="M749" s="1363"/>
      <c r="N749" s="1364"/>
      <c r="O749" s="1359"/>
      <c r="P749" s="1360"/>
      <c r="Q749" s="1360"/>
      <c r="R749" s="1360"/>
      <c r="S749" s="1361"/>
      <c r="T749" s="1359"/>
      <c r="U749" s="1360"/>
      <c r="V749" s="1360"/>
      <c r="W749" s="1361"/>
      <c r="X749" s="1370">
        <f t="shared" si="61"/>
        <v>0</v>
      </c>
      <c r="Y749" s="1371"/>
      <c r="Z749" s="1371"/>
      <c r="AA749" s="1371"/>
      <c r="AB749" s="1372"/>
      <c r="AC749" s="1374"/>
      <c r="AD749" s="1375"/>
      <c r="AE749" s="1375"/>
      <c r="AF749" s="1375"/>
      <c r="AG749" s="1376"/>
      <c r="AH749" s="1353" t="str">
        <f t="shared" si="60"/>
        <v/>
      </c>
      <c r="AI749" s="1354"/>
      <c r="AJ749" s="1355"/>
      <c r="AK749" s="1365" t="s">
        <v>599</v>
      </c>
      <c r="AL749" s="1366"/>
      <c r="AM749" s="1366"/>
      <c r="AN749" s="1366"/>
      <c r="AO749" s="136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5"/>
      <c r="C750" s="1366"/>
      <c r="D750" s="1366"/>
      <c r="E750" s="1366"/>
      <c r="F750" s="1367"/>
      <c r="G750" s="1356"/>
      <c r="H750" s="1357"/>
      <c r="I750" s="1357"/>
      <c r="J750" s="1358"/>
      <c r="K750" s="1362"/>
      <c r="L750" s="1363"/>
      <c r="M750" s="1363"/>
      <c r="N750" s="1364"/>
      <c r="O750" s="1359"/>
      <c r="P750" s="1360"/>
      <c r="Q750" s="1360"/>
      <c r="R750" s="1360"/>
      <c r="S750" s="1361"/>
      <c r="T750" s="1359"/>
      <c r="U750" s="1360"/>
      <c r="V750" s="1360"/>
      <c r="W750" s="1361"/>
      <c r="X750" s="1370">
        <f t="shared" si="61"/>
        <v>0</v>
      </c>
      <c r="Y750" s="1371"/>
      <c r="Z750" s="1371"/>
      <c r="AA750" s="1371"/>
      <c r="AB750" s="1372"/>
      <c r="AC750" s="1374"/>
      <c r="AD750" s="1375"/>
      <c r="AE750" s="1375"/>
      <c r="AF750" s="1375"/>
      <c r="AG750" s="1376"/>
      <c r="AH750" s="1353" t="str">
        <f t="shared" si="60"/>
        <v/>
      </c>
      <c r="AI750" s="1354"/>
      <c r="AJ750" s="1355"/>
      <c r="AK750" s="1365" t="s">
        <v>599</v>
      </c>
      <c r="AL750" s="1366"/>
      <c r="AM750" s="1366"/>
      <c r="AN750" s="1366"/>
      <c r="AO750" s="136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5"/>
      <c r="C751" s="1366"/>
      <c r="D751" s="1366"/>
      <c r="E751" s="1366"/>
      <c r="F751" s="1367"/>
      <c r="G751" s="1356"/>
      <c r="H751" s="1357"/>
      <c r="I751" s="1357"/>
      <c r="J751" s="1358"/>
      <c r="K751" s="1362"/>
      <c r="L751" s="1363"/>
      <c r="M751" s="1363"/>
      <c r="N751" s="1364"/>
      <c r="O751" s="1359"/>
      <c r="P751" s="1360"/>
      <c r="Q751" s="1360"/>
      <c r="R751" s="1360"/>
      <c r="S751" s="1361"/>
      <c r="T751" s="1359"/>
      <c r="U751" s="1360"/>
      <c r="V751" s="1360"/>
      <c r="W751" s="1361"/>
      <c r="X751" s="1370">
        <f t="shared" si="61"/>
        <v>0</v>
      </c>
      <c r="Y751" s="1371"/>
      <c r="Z751" s="1371"/>
      <c r="AA751" s="1371"/>
      <c r="AB751" s="1372"/>
      <c r="AC751" s="1374"/>
      <c r="AD751" s="1375"/>
      <c r="AE751" s="1375"/>
      <c r="AF751" s="1375"/>
      <c r="AG751" s="1376"/>
      <c r="AH751" s="1353" t="str">
        <f t="shared" si="60"/>
        <v/>
      </c>
      <c r="AI751" s="1354"/>
      <c r="AJ751" s="1355"/>
      <c r="AK751" s="1365" t="s">
        <v>599</v>
      </c>
      <c r="AL751" s="1366"/>
      <c r="AM751" s="1366"/>
      <c r="AN751" s="1366"/>
      <c r="AO751" s="136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5"/>
      <c r="C752" s="1366"/>
      <c r="D752" s="1366"/>
      <c r="E752" s="1366"/>
      <c r="F752" s="1367"/>
      <c r="G752" s="1356"/>
      <c r="H752" s="1357"/>
      <c r="I752" s="1357"/>
      <c r="J752" s="1358"/>
      <c r="K752" s="1362"/>
      <c r="L752" s="1363"/>
      <c r="M752" s="1363"/>
      <c r="N752" s="1364"/>
      <c r="O752" s="1359"/>
      <c r="P752" s="1360"/>
      <c r="Q752" s="1360"/>
      <c r="R752" s="1360"/>
      <c r="S752" s="1361"/>
      <c r="T752" s="1359"/>
      <c r="U752" s="1360"/>
      <c r="V752" s="1360"/>
      <c r="W752" s="1361"/>
      <c r="X752" s="1370">
        <f>O752+T752</f>
        <v>0</v>
      </c>
      <c r="Y752" s="1371"/>
      <c r="Z752" s="1371"/>
      <c r="AA752" s="1371"/>
      <c r="AB752" s="1372"/>
      <c r="AC752" s="1374"/>
      <c r="AD752" s="1375"/>
      <c r="AE752" s="1375"/>
      <c r="AF752" s="1375"/>
      <c r="AG752" s="1376"/>
      <c r="AH752" s="1353" t="str">
        <f>IF($AC752&gt;0,($X752/$BA701), "")</f>
        <v/>
      </c>
      <c r="AI752" s="1354"/>
      <c r="AJ752" s="1355"/>
      <c r="AK752" s="1365" t="s">
        <v>599</v>
      </c>
      <c r="AL752" s="1366"/>
      <c r="AM752" s="1366"/>
      <c r="AN752" s="1366"/>
      <c r="AO752" s="136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00" t="s">
        <v>125</v>
      </c>
      <c r="C753" s="1501"/>
      <c r="D753" s="1501"/>
      <c r="E753" s="1501"/>
      <c r="F753" s="1502"/>
      <c r="G753" s="1761">
        <f>SUM(G718:G752)</f>
        <v>116</v>
      </c>
      <c r="H753" s="1762"/>
      <c r="I753" s="1762"/>
      <c r="J753" s="1763"/>
      <c r="K753" s="937" t="s">
        <v>124</v>
      </c>
      <c r="L753" s="5"/>
      <c r="M753" s="5"/>
      <c r="N753" s="46"/>
      <c r="O753" s="1370">
        <f>SUMPRODUCT(G718:G752,O718:O752)</f>
        <v>136749</v>
      </c>
      <c r="P753" s="1371"/>
      <c r="Q753" s="1371"/>
      <c r="R753" s="1371"/>
      <c r="S753" s="1372"/>
      <c r="T753"/>
      <c r="U753"/>
      <c r="V753"/>
      <c r="W753"/>
      <c r="X753" s="939" t="s">
        <v>915</v>
      </c>
      <c r="Y753" s="938"/>
      <c r="Z753" s="938"/>
      <c r="AA753" s="938"/>
      <c r="AB753" s="940"/>
      <c r="AC753" s="1645">
        <f>BI703</f>
        <v>0.4853448275862069</v>
      </c>
      <c r="AD753" s="1646"/>
      <c r="AE753" s="1646"/>
      <c r="AF753" s="1646"/>
      <c r="AG753" s="1647"/>
      <c r="AH753" s="1645">
        <f>IFERROR(BV703,"")</f>
        <v>0.48251162800868574</v>
      </c>
      <c r="AI753" s="1646"/>
      <c r="AJ753" s="164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3" t="s">
        <v>2181</v>
      </c>
      <c r="C754" s="1373"/>
      <c r="D754" s="1373"/>
      <c r="E754" s="1373"/>
      <c r="F754" s="1373"/>
      <c r="G754" s="1373"/>
      <c r="H754" s="1373"/>
      <c r="I754" s="1373"/>
      <c r="J754" s="1373"/>
      <c r="K754" s="1373"/>
      <c r="L754" s="1373"/>
      <c r="M754" s="1373"/>
      <c r="N754" s="1373"/>
      <c r="O754" s="1373"/>
      <c r="P754" s="1373"/>
      <c r="Q754" s="1373"/>
      <c r="R754" s="1373"/>
      <c r="S754" s="1373"/>
      <c r="T754" s="1373"/>
      <c r="U754" s="1373"/>
      <c r="V754" s="1373"/>
      <c r="W754" s="1373"/>
      <c r="X754" s="1373"/>
      <c r="Y754" s="1373"/>
      <c r="Z754" s="1373"/>
      <c r="AA754" s="1373"/>
      <c r="AB754" s="1373"/>
      <c r="AC754" s="1373"/>
      <c r="AD754" s="1373"/>
      <c r="AE754" s="1373"/>
      <c r="AF754" s="1373"/>
      <c r="AG754" s="1373"/>
      <c r="AH754" s="137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3"/>
      <c r="C755" s="1373"/>
      <c r="D755" s="1373"/>
      <c r="E755" s="1373"/>
      <c r="F755" s="1373"/>
      <c r="G755" s="1373"/>
      <c r="H755" s="1373"/>
      <c r="I755" s="1373"/>
      <c r="J755" s="1373"/>
      <c r="K755" s="1373"/>
      <c r="L755" s="1373"/>
      <c r="M755" s="1373"/>
      <c r="N755" s="1373"/>
      <c r="O755" s="1373"/>
      <c r="P755" s="1373"/>
      <c r="Q755" s="1373"/>
      <c r="R755" s="1373"/>
      <c r="S755" s="1373"/>
      <c r="T755" s="1373"/>
      <c r="U755" s="1373"/>
      <c r="V755" s="1373"/>
      <c r="W755" s="1373"/>
      <c r="X755" s="1373"/>
      <c r="Y755" s="1373"/>
      <c r="Z755" s="1373"/>
      <c r="AA755" s="1373"/>
      <c r="AB755" s="1373"/>
      <c r="AC755" s="1373"/>
      <c r="AD755" s="1373"/>
      <c r="AE755" s="1373"/>
      <c r="AF755" s="1373"/>
      <c r="AG755" s="1373"/>
      <c r="AH755" s="137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17">
        <f>CS634</f>
        <v>116</v>
      </c>
      <c r="P756" s="1517"/>
      <c r="Q756" s="1517"/>
      <c r="R756" s="1517"/>
      <c r="S756" s="1004"/>
      <c r="T756" s="1004"/>
      <c r="U756" s="118" t="s">
        <v>2180</v>
      </c>
      <c r="V756" s="1067"/>
      <c r="W756" s="1067"/>
      <c r="X756" s="1067"/>
      <c r="Y756" s="1068"/>
      <c r="Z756" s="1068"/>
      <c r="AA756" s="1068"/>
      <c r="AB756" s="1068"/>
      <c r="AC756" s="1067"/>
      <c r="AD756" s="1067"/>
      <c r="AE756" s="1067"/>
      <c r="AF756" s="1067"/>
      <c r="AG756" s="1648">
        <v>58</v>
      </c>
      <c r="AH756" s="1648"/>
      <c r="AI756" s="1648"/>
      <c r="AJ756" s="164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37" t="str">
        <f>IF(G753&lt;&gt;AG440,"! Total Low-Income Units in the Unit Mix Table above does not match the number of Total Low-Income Units on row #"&amp;TEXT(ROW(D440),"#"),"")</f>
        <v/>
      </c>
      <c r="D757" s="1437"/>
      <c r="E757" s="1437"/>
      <c r="F757" s="1437"/>
      <c r="G757" s="1437"/>
      <c r="H757" s="1437"/>
      <c r="I757" s="1437"/>
      <c r="J757" s="1437"/>
      <c r="K757" s="1437"/>
      <c r="L757" s="1437"/>
      <c r="M757" s="1437"/>
      <c r="N757" s="1437"/>
      <c r="O757" s="1437"/>
      <c r="P757" s="1437"/>
      <c r="Q757" s="1437"/>
      <c r="R757" s="1437"/>
      <c r="S757" s="1437"/>
      <c r="T757" s="1437"/>
      <c r="U757" s="1437"/>
      <c r="V757" s="1437"/>
      <c r="W757" s="1437"/>
      <c r="X757" s="1437"/>
      <c r="Y757" s="1437"/>
      <c r="Z757" s="1437"/>
      <c r="AA757" s="1437"/>
      <c r="AB757" s="1437"/>
      <c r="AC757" s="1437"/>
      <c r="AD757" s="1437"/>
      <c r="AE757" s="1437"/>
      <c r="AF757" s="1437"/>
      <c r="AG757" s="1437"/>
      <c r="AH757" s="1437"/>
      <c r="AI757" s="1437"/>
      <c r="AJ757" s="1437"/>
      <c r="AK757" s="1437"/>
      <c r="AL757" s="1437"/>
      <c r="AM757" s="143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37"/>
      <c r="D758" s="1437"/>
      <c r="E758" s="1437"/>
      <c r="F758" s="1437"/>
      <c r="G758" s="1437"/>
      <c r="H758" s="1437"/>
      <c r="I758" s="1437"/>
      <c r="J758" s="1437"/>
      <c r="K758" s="1437"/>
      <c r="L758" s="1437"/>
      <c r="M758" s="1437"/>
      <c r="N758" s="1437"/>
      <c r="O758" s="1437"/>
      <c r="P758" s="1437"/>
      <c r="Q758" s="1437"/>
      <c r="R758" s="1437"/>
      <c r="S758" s="1437"/>
      <c r="T758" s="1437"/>
      <c r="U758" s="1437"/>
      <c r="V758" s="1437"/>
      <c r="W758" s="1437"/>
      <c r="X758" s="1437"/>
      <c r="Y758" s="1437"/>
      <c r="Z758" s="1437"/>
      <c r="AA758" s="1437"/>
      <c r="AB758" s="1437"/>
      <c r="AC758" s="1437"/>
      <c r="AD758" s="1437"/>
      <c r="AE758" s="1437"/>
      <c r="AF758" s="1437"/>
      <c r="AG758" s="1437"/>
      <c r="AH758" s="1437"/>
      <c r="AI758" s="1437"/>
      <c r="AJ758" s="1437"/>
      <c r="AK758" s="1437"/>
      <c r="AL758" s="1437"/>
      <c r="AM758" s="143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60" t="s">
        <v>599</v>
      </c>
      <c r="AE759" s="1760"/>
      <c r="AF759" s="176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2404</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2405</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96" t="s">
        <v>390</v>
      </c>
      <c r="K769" s="1397"/>
      <c r="L769" s="1397"/>
      <c r="M769" s="1397"/>
      <c r="N769" s="1398"/>
      <c r="O769" s="1369" t="s">
        <v>286</v>
      </c>
      <c r="P769" s="1369"/>
      <c r="Q769" s="1369"/>
      <c r="R769" s="1369"/>
      <c r="S769" s="1369"/>
      <c r="T769" s="1748" t="s">
        <v>1866</v>
      </c>
      <c r="U769" s="1749"/>
      <c r="V769" s="1749"/>
      <c r="W769" s="1750"/>
      <c r="X769" s="1396" t="s">
        <v>455</v>
      </c>
      <c r="Y769" s="1397"/>
      <c r="Z769" s="1397"/>
      <c r="AA769" s="1397"/>
      <c r="AB769" s="1398"/>
      <c r="AC769" s="1396" t="s">
        <v>287</v>
      </c>
      <c r="AD769" s="1397"/>
      <c r="AE769" s="1397"/>
      <c r="AF769" s="1397"/>
      <c r="AG769" s="13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99"/>
      <c r="K770" s="1400"/>
      <c r="L770" s="1400"/>
      <c r="M770" s="1400"/>
      <c r="N770" s="1401"/>
      <c r="O770" s="1369"/>
      <c r="P770" s="1369"/>
      <c r="Q770" s="1369"/>
      <c r="R770" s="1369"/>
      <c r="S770" s="1369"/>
      <c r="T770" s="1751"/>
      <c r="U770" s="1752"/>
      <c r="V770" s="1752"/>
      <c r="W770" s="1753"/>
      <c r="X770" s="1399"/>
      <c r="Y770" s="1400"/>
      <c r="Z770" s="1400"/>
      <c r="AA770" s="1400"/>
      <c r="AB770" s="1401"/>
      <c r="AC770" s="1399"/>
      <c r="AD770" s="1400"/>
      <c r="AE770" s="1400"/>
      <c r="AF770" s="1400"/>
      <c r="AG770" s="14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99"/>
      <c r="K771" s="1400"/>
      <c r="L771" s="1400"/>
      <c r="M771" s="1400"/>
      <c r="N771" s="1401"/>
      <c r="O771" s="1369"/>
      <c r="P771" s="1369"/>
      <c r="Q771" s="1369"/>
      <c r="R771" s="1369"/>
      <c r="S771" s="1369"/>
      <c r="T771" s="1751"/>
      <c r="U771" s="1752"/>
      <c r="V771" s="1752"/>
      <c r="W771" s="1753"/>
      <c r="X771" s="1399"/>
      <c r="Y771" s="1400"/>
      <c r="Z771" s="1400"/>
      <c r="AA771" s="1400"/>
      <c r="AB771" s="1401"/>
      <c r="AC771" s="1399"/>
      <c r="AD771" s="1400"/>
      <c r="AE771" s="1400"/>
      <c r="AF771" s="1400"/>
      <c r="AG771" s="14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402"/>
      <c r="K772" s="1403"/>
      <c r="L772" s="1403"/>
      <c r="M772" s="1403"/>
      <c r="N772" s="1404"/>
      <c r="O772" s="1369"/>
      <c r="P772" s="1369"/>
      <c r="Q772" s="1369"/>
      <c r="R772" s="1369"/>
      <c r="S772" s="1369"/>
      <c r="T772" s="1754"/>
      <c r="U772" s="1755"/>
      <c r="V772" s="1755"/>
      <c r="W772" s="1756"/>
      <c r="X772" s="1402"/>
      <c r="Y772" s="1403"/>
      <c r="Z772" s="1403"/>
      <c r="AA772" s="1403"/>
      <c r="AB772" s="1404"/>
      <c r="AC772" s="1402"/>
      <c r="AD772" s="1403"/>
      <c r="AE772" s="1403"/>
      <c r="AF772" s="1403"/>
      <c r="AG772" s="14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5" t="s">
        <v>163</v>
      </c>
      <c r="K773" s="1366"/>
      <c r="L773" s="1366"/>
      <c r="M773" s="1366"/>
      <c r="N773" s="1367"/>
      <c r="O773" s="1368">
        <v>1</v>
      </c>
      <c r="P773" s="1368"/>
      <c r="Q773" s="1368"/>
      <c r="R773" s="1368"/>
      <c r="S773" s="1368"/>
      <c r="T773" s="1362">
        <v>851</v>
      </c>
      <c r="U773" s="1363"/>
      <c r="V773" s="1363"/>
      <c r="W773" s="1364"/>
      <c r="X773" s="1359">
        <v>0</v>
      </c>
      <c r="Y773" s="1360"/>
      <c r="Z773" s="1360"/>
      <c r="AA773" s="1360"/>
      <c r="AB773" s="1361"/>
      <c r="AC773" s="1370">
        <f>X773*O773</f>
        <v>0</v>
      </c>
      <c r="AD773" s="1371"/>
      <c r="AE773" s="1371"/>
      <c r="AF773" s="1371"/>
      <c r="AG773" s="137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5"/>
      <c r="K774" s="1366"/>
      <c r="L774" s="1366"/>
      <c r="M774" s="1366"/>
      <c r="N774" s="1367"/>
      <c r="O774" s="1368"/>
      <c r="P774" s="1368"/>
      <c r="Q774" s="1368"/>
      <c r="R774" s="1368"/>
      <c r="S774" s="1368"/>
      <c r="T774" s="1362"/>
      <c r="U774" s="1363"/>
      <c r="V774" s="1363"/>
      <c r="W774" s="1364"/>
      <c r="X774" s="1359"/>
      <c r="Y774" s="1360"/>
      <c r="Z774" s="1360"/>
      <c r="AA774" s="1360"/>
      <c r="AB774" s="1361"/>
      <c r="AC774" s="1370">
        <f>X774*O774</f>
        <v>0</v>
      </c>
      <c r="AD774" s="1371"/>
      <c r="AE774" s="1371"/>
      <c r="AF774" s="1371"/>
      <c r="AG774" s="137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5"/>
      <c r="K775" s="1366"/>
      <c r="L775" s="1366"/>
      <c r="M775" s="1366"/>
      <c r="N775" s="1367"/>
      <c r="O775" s="1368"/>
      <c r="P775" s="1368"/>
      <c r="Q775" s="1368"/>
      <c r="R775" s="1368"/>
      <c r="S775" s="1368"/>
      <c r="T775" s="1362"/>
      <c r="U775" s="1363"/>
      <c r="V775" s="1363"/>
      <c r="W775" s="1364"/>
      <c r="X775" s="1359"/>
      <c r="Y775" s="1360"/>
      <c r="Z775" s="1360"/>
      <c r="AA775" s="1360"/>
      <c r="AB775" s="1361"/>
      <c r="AC775" s="1370">
        <f>X775*O775</f>
        <v>0</v>
      </c>
      <c r="AD775" s="1371"/>
      <c r="AE775" s="1371"/>
      <c r="AF775" s="1371"/>
      <c r="AG775" s="137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5"/>
      <c r="K776" s="1366"/>
      <c r="L776" s="1366"/>
      <c r="M776" s="1366"/>
      <c r="N776" s="1367"/>
      <c r="O776" s="1368"/>
      <c r="P776" s="1368"/>
      <c r="Q776" s="1368"/>
      <c r="R776" s="1368"/>
      <c r="S776" s="1368"/>
      <c r="T776" s="1362"/>
      <c r="U776" s="1363"/>
      <c r="V776" s="1363"/>
      <c r="W776" s="1364"/>
      <c r="X776" s="1359"/>
      <c r="Y776" s="1360"/>
      <c r="Z776" s="1360"/>
      <c r="AA776" s="1360"/>
      <c r="AB776" s="1361"/>
      <c r="AC776" s="1370">
        <f>X776*O776</f>
        <v>0</v>
      </c>
      <c r="AD776" s="1371"/>
      <c r="AE776" s="1371"/>
      <c r="AF776" s="1371"/>
      <c r="AG776" s="137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00" t="s">
        <v>125</v>
      </c>
      <c r="K777" s="1501"/>
      <c r="L777" s="1501"/>
      <c r="M777" s="1501"/>
      <c r="N777" s="1502"/>
      <c r="O777" s="1511">
        <f>SUM(O773:S776)</f>
        <v>1</v>
      </c>
      <c r="P777" s="1512"/>
      <c r="Q777" s="1512"/>
      <c r="R777" s="1512"/>
      <c r="S777" s="1513"/>
      <c r="X777" s="1500" t="s">
        <v>124</v>
      </c>
      <c r="Y777" s="1501"/>
      <c r="Z777" s="1501"/>
      <c r="AA777" s="1501"/>
      <c r="AB777" s="1502"/>
      <c r="AC777" s="1370">
        <f>SUM(AC773:AG776)</f>
        <v>0</v>
      </c>
      <c r="AD777" s="1371"/>
      <c r="AE777" s="1371"/>
      <c r="AF777" s="1371"/>
      <c r="AG777" s="137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92" t="s">
        <v>677</v>
      </c>
      <c r="K779" s="1692"/>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96" t="s">
        <v>390</v>
      </c>
      <c r="K783" s="1397"/>
      <c r="L783" s="1397"/>
      <c r="M783" s="1397"/>
      <c r="N783" s="1398"/>
      <c r="O783" s="1369" t="s">
        <v>286</v>
      </c>
      <c r="P783" s="1369"/>
      <c r="Q783" s="1369"/>
      <c r="R783" s="1369"/>
      <c r="S783" s="1369"/>
      <c r="T783" s="1748" t="s">
        <v>1866</v>
      </c>
      <c r="U783" s="1749"/>
      <c r="V783" s="1749"/>
      <c r="W783" s="1750"/>
      <c r="X783" s="1396" t="s">
        <v>455</v>
      </c>
      <c r="Y783" s="1397"/>
      <c r="Z783" s="1397"/>
      <c r="AA783" s="1397"/>
      <c r="AB783" s="1398"/>
      <c r="AC783" s="1396" t="s">
        <v>287</v>
      </c>
      <c r="AD783" s="1397"/>
      <c r="AE783" s="1397"/>
      <c r="AF783" s="1397"/>
      <c r="AG783" s="13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99"/>
      <c r="K784" s="1400"/>
      <c r="L784" s="1400"/>
      <c r="M784" s="1400"/>
      <c r="N784" s="1401"/>
      <c r="O784" s="1369"/>
      <c r="P784" s="1369"/>
      <c r="Q784" s="1369"/>
      <c r="R784" s="1369"/>
      <c r="S784" s="1369"/>
      <c r="T784" s="1751"/>
      <c r="U784" s="1752"/>
      <c r="V784" s="1752"/>
      <c r="W784" s="1753"/>
      <c r="X784" s="1399"/>
      <c r="Y784" s="1400"/>
      <c r="Z784" s="1400"/>
      <c r="AA784" s="1400"/>
      <c r="AB784" s="1401"/>
      <c r="AC784" s="1399"/>
      <c r="AD784" s="1400"/>
      <c r="AE784" s="1400"/>
      <c r="AF784" s="1400"/>
      <c r="AG784" s="14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99"/>
      <c r="K785" s="1400"/>
      <c r="L785" s="1400"/>
      <c r="M785" s="1400"/>
      <c r="N785" s="1401"/>
      <c r="O785" s="1369"/>
      <c r="P785" s="1369"/>
      <c r="Q785" s="1369"/>
      <c r="R785" s="1369"/>
      <c r="S785" s="1369"/>
      <c r="T785" s="1751"/>
      <c r="U785" s="1752"/>
      <c r="V785" s="1752"/>
      <c r="W785" s="1753"/>
      <c r="X785" s="1399"/>
      <c r="Y785" s="1400"/>
      <c r="Z785" s="1400"/>
      <c r="AA785" s="1400"/>
      <c r="AB785" s="1401"/>
      <c r="AC785" s="1399"/>
      <c r="AD785" s="1400"/>
      <c r="AE785" s="1400"/>
      <c r="AF785" s="1400"/>
      <c r="AG785" s="14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402"/>
      <c r="K786" s="1403"/>
      <c r="L786" s="1403"/>
      <c r="M786" s="1403"/>
      <c r="N786" s="1404"/>
      <c r="O786" s="1369"/>
      <c r="P786" s="1369"/>
      <c r="Q786" s="1369"/>
      <c r="R786" s="1369"/>
      <c r="S786" s="1369"/>
      <c r="T786" s="1754"/>
      <c r="U786" s="1755"/>
      <c r="V786" s="1755"/>
      <c r="W786" s="1756"/>
      <c r="X786" s="1402"/>
      <c r="Y786" s="1403"/>
      <c r="Z786" s="1403"/>
      <c r="AA786" s="1403"/>
      <c r="AB786" s="1404"/>
      <c r="AC786" s="1402"/>
      <c r="AD786" s="1403"/>
      <c r="AE786" s="1403"/>
      <c r="AF786" s="1403"/>
      <c r="AG786" s="14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5"/>
      <c r="K787" s="1366"/>
      <c r="L787" s="1366"/>
      <c r="M787" s="1366"/>
      <c r="N787" s="1367"/>
      <c r="O787" s="1368"/>
      <c r="P787" s="1368"/>
      <c r="Q787" s="1368"/>
      <c r="R787" s="1368"/>
      <c r="S787" s="1368"/>
      <c r="T787" s="1362"/>
      <c r="U787" s="1363"/>
      <c r="V787" s="1363"/>
      <c r="W787" s="1364"/>
      <c r="X787" s="1359"/>
      <c r="Y787" s="1360"/>
      <c r="Z787" s="1360"/>
      <c r="AA787" s="1360"/>
      <c r="AB787" s="1361"/>
      <c r="AC787" s="1370">
        <f t="shared" ref="AC787:AC796" si="62">X787*O787</f>
        <v>0</v>
      </c>
      <c r="AD787" s="1371"/>
      <c r="AE787" s="1371"/>
      <c r="AF787" s="1371"/>
      <c r="AG787" s="137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5"/>
      <c r="K788" s="1366"/>
      <c r="L788" s="1366"/>
      <c r="M788" s="1366"/>
      <c r="N788" s="1367"/>
      <c r="O788" s="1368"/>
      <c r="P788" s="1368"/>
      <c r="Q788" s="1368"/>
      <c r="R788" s="1368"/>
      <c r="S788" s="1368"/>
      <c r="T788" s="1362"/>
      <c r="U788" s="1363"/>
      <c r="V788" s="1363"/>
      <c r="W788" s="1364"/>
      <c r="X788" s="1359"/>
      <c r="Y788" s="1360"/>
      <c r="Z788" s="1360"/>
      <c r="AA788" s="1360"/>
      <c r="AB788" s="1361"/>
      <c r="AC788" s="1370">
        <f t="shared" si="62"/>
        <v>0</v>
      </c>
      <c r="AD788" s="1371"/>
      <c r="AE788" s="1371"/>
      <c r="AF788" s="1371"/>
      <c r="AG788" s="137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5"/>
      <c r="K789" s="1366"/>
      <c r="L789" s="1366"/>
      <c r="M789" s="1366"/>
      <c r="N789" s="1367"/>
      <c r="O789" s="1368"/>
      <c r="P789" s="1368"/>
      <c r="Q789" s="1368"/>
      <c r="R789" s="1368"/>
      <c r="S789" s="1368"/>
      <c r="T789" s="1362"/>
      <c r="U789" s="1363"/>
      <c r="V789" s="1363"/>
      <c r="W789" s="1364"/>
      <c r="X789" s="1359"/>
      <c r="Y789" s="1360"/>
      <c r="Z789" s="1360"/>
      <c r="AA789" s="1360"/>
      <c r="AB789" s="1361"/>
      <c r="AC789" s="1370">
        <f t="shared" si="62"/>
        <v>0</v>
      </c>
      <c r="AD789" s="1371"/>
      <c r="AE789" s="1371"/>
      <c r="AF789" s="1371"/>
      <c r="AG789" s="137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5"/>
      <c r="K790" s="1366"/>
      <c r="L790" s="1366"/>
      <c r="M790" s="1366"/>
      <c r="N790" s="1367"/>
      <c r="O790" s="1368"/>
      <c r="P790" s="1368"/>
      <c r="Q790" s="1368"/>
      <c r="R790" s="1368"/>
      <c r="S790" s="1368"/>
      <c r="T790" s="1362"/>
      <c r="U790" s="1363"/>
      <c r="V790" s="1363"/>
      <c r="W790" s="1364"/>
      <c r="X790" s="1359"/>
      <c r="Y790" s="1360"/>
      <c r="Z790" s="1360"/>
      <c r="AA790" s="1360"/>
      <c r="AB790" s="1361"/>
      <c r="AC790" s="1370">
        <f t="shared" si="62"/>
        <v>0</v>
      </c>
      <c r="AD790" s="1371"/>
      <c r="AE790" s="1371"/>
      <c r="AF790" s="1371"/>
      <c r="AG790" s="137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5"/>
      <c r="K791" s="1366"/>
      <c r="L791" s="1366"/>
      <c r="M791" s="1366"/>
      <c r="N791" s="1367"/>
      <c r="O791" s="1368"/>
      <c r="P791" s="1368"/>
      <c r="Q791" s="1368"/>
      <c r="R791" s="1368"/>
      <c r="S791" s="1368"/>
      <c r="T791" s="1362"/>
      <c r="U791" s="1363"/>
      <c r="V791" s="1363"/>
      <c r="W791" s="1364"/>
      <c r="X791" s="1359"/>
      <c r="Y791" s="1360"/>
      <c r="Z791" s="1360"/>
      <c r="AA791" s="1360"/>
      <c r="AB791" s="1361"/>
      <c r="AC791" s="1370">
        <f t="shared" si="62"/>
        <v>0</v>
      </c>
      <c r="AD791" s="1371"/>
      <c r="AE791" s="1371"/>
      <c r="AF791" s="1371"/>
      <c r="AG791" s="137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5"/>
      <c r="K792" s="1366"/>
      <c r="L792" s="1366"/>
      <c r="M792" s="1366"/>
      <c r="N792" s="1367"/>
      <c r="O792" s="1368"/>
      <c r="P792" s="1368"/>
      <c r="Q792" s="1368"/>
      <c r="R792" s="1368"/>
      <c r="S792" s="1368"/>
      <c r="T792" s="1362"/>
      <c r="U792" s="1363"/>
      <c r="V792" s="1363"/>
      <c r="W792" s="1364"/>
      <c r="X792" s="1359"/>
      <c r="Y792" s="1360"/>
      <c r="Z792" s="1360"/>
      <c r="AA792" s="1360"/>
      <c r="AB792" s="1361"/>
      <c r="AC792" s="1370">
        <f t="shared" si="62"/>
        <v>0</v>
      </c>
      <c r="AD792" s="1371"/>
      <c r="AE792" s="1371"/>
      <c r="AF792" s="1371"/>
      <c r="AG792" s="137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5"/>
      <c r="K793" s="1366"/>
      <c r="L793" s="1366"/>
      <c r="M793" s="1366"/>
      <c r="N793" s="1367"/>
      <c r="O793" s="1368"/>
      <c r="P793" s="1368"/>
      <c r="Q793" s="1368"/>
      <c r="R793" s="1368"/>
      <c r="S793" s="1368"/>
      <c r="T793" s="1362"/>
      <c r="U793" s="1363"/>
      <c r="V793" s="1363"/>
      <c r="W793" s="1364"/>
      <c r="X793" s="1359"/>
      <c r="Y793" s="1360"/>
      <c r="Z793" s="1360"/>
      <c r="AA793" s="1360"/>
      <c r="AB793" s="1361"/>
      <c r="AC793" s="1370">
        <f t="shared" si="62"/>
        <v>0</v>
      </c>
      <c r="AD793" s="1371"/>
      <c r="AE793" s="1371"/>
      <c r="AF793" s="1371"/>
      <c r="AG793" s="137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5"/>
      <c r="K794" s="1366"/>
      <c r="L794" s="1366"/>
      <c r="M794" s="1366"/>
      <c r="N794" s="1367"/>
      <c r="O794" s="1368"/>
      <c r="P794" s="1368"/>
      <c r="Q794" s="1368"/>
      <c r="R794" s="1368"/>
      <c r="S794" s="1368"/>
      <c r="T794" s="1362"/>
      <c r="U794" s="1363"/>
      <c r="V794" s="1363"/>
      <c r="W794" s="1364"/>
      <c r="X794" s="1359"/>
      <c r="Y794" s="1360"/>
      <c r="Z794" s="1360"/>
      <c r="AA794" s="1360"/>
      <c r="AB794" s="1361"/>
      <c r="AC794" s="1370">
        <f t="shared" si="62"/>
        <v>0</v>
      </c>
      <c r="AD794" s="1371"/>
      <c r="AE794" s="1371"/>
      <c r="AF794" s="1371"/>
      <c r="AG794" s="137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5"/>
      <c r="K795" s="1366"/>
      <c r="L795" s="1366"/>
      <c r="M795" s="1366"/>
      <c r="N795" s="1367"/>
      <c r="O795" s="1368"/>
      <c r="P795" s="1368"/>
      <c r="Q795" s="1368"/>
      <c r="R795" s="1368"/>
      <c r="S795" s="1368"/>
      <c r="T795" s="1362"/>
      <c r="U795" s="1363"/>
      <c r="V795" s="1363"/>
      <c r="W795" s="1364"/>
      <c r="X795" s="1359"/>
      <c r="Y795" s="1360"/>
      <c r="Z795" s="1360"/>
      <c r="AA795" s="1360"/>
      <c r="AB795" s="1361"/>
      <c r="AC795" s="1370">
        <f t="shared" si="62"/>
        <v>0</v>
      </c>
      <c r="AD795" s="1371"/>
      <c r="AE795" s="1371"/>
      <c r="AF795" s="1371"/>
      <c r="AG795" s="137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5"/>
      <c r="K796" s="1366"/>
      <c r="L796" s="1366"/>
      <c r="M796" s="1366"/>
      <c r="N796" s="1367"/>
      <c r="O796" s="1368"/>
      <c r="P796" s="1368"/>
      <c r="Q796" s="1368"/>
      <c r="R796" s="1368"/>
      <c r="S796" s="1368"/>
      <c r="T796" s="1362"/>
      <c r="U796" s="1363"/>
      <c r="V796" s="1363"/>
      <c r="W796" s="1364"/>
      <c r="X796" s="1359"/>
      <c r="Y796" s="1360"/>
      <c r="Z796" s="1360"/>
      <c r="AA796" s="1360"/>
      <c r="AB796" s="1361"/>
      <c r="AC796" s="1370">
        <f t="shared" si="62"/>
        <v>0</v>
      </c>
      <c r="AD796" s="1371"/>
      <c r="AE796" s="1371"/>
      <c r="AF796" s="1371"/>
      <c r="AG796" s="1372"/>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4" t="s">
        <v>477</v>
      </c>
      <c r="BO796" s="1675"/>
      <c r="BP796" s="3"/>
      <c r="BQ796" s="3"/>
      <c r="BR796" s="3"/>
      <c r="BS796" s="14" t="s">
        <v>642</v>
      </c>
      <c r="BT796" s="14"/>
      <c r="BU796" s="14"/>
      <c r="BV796" s="14"/>
      <c r="BW796" s="14"/>
      <c r="BX796" s="14"/>
      <c r="BY796" s="14"/>
      <c r="BZ796" s="14"/>
      <c r="CA796" s="14"/>
      <c r="CB796" s="1671" t="str">
        <f>T189</f>
        <v>Los Angeles</v>
      </c>
      <c r="CC796" s="1672"/>
      <c r="CD796" s="1672"/>
      <c r="CE796" s="1672"/>
      <c r="CF796" s="1672"/>
      <c r="CG796" s="1672"/>
      <c r="CH796" s="167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00" t="s">
        <v>125</v>
      </c>
      <c r="K797" s="1501"/>
      <c r="L797" s="1501"/>
      <c r="M797" s="1501"/>
      <c r="N797" s="1502"/>
      <c r="O797" s="1392">
        <f>SUM(O787:S796)</f>
        <v>0</v>
      </c>
      <c r="P797" s="1392"/>
      <c r="Q797" s="1392"/>
      <c r="R797" s="1392"/>
      <c r="S797" s="1392"/>
      <c r="T797"/>
      <c r="U797"/>
      <c r="V797"/>
      <c r="W797"/>
      <c r="X797" s="937" t="s">
        <v>124</v>
      </c>
      <c r="Y797" s="11"/>
      <c r="Z797" s="11"/>
      <c r="AA797" s="11"/>
      <c r="AB797" s="944"/>
      <c r="AC797" s="1370">
        <f>SUM(AC787:AG796)</f>
        <v>0</v>
      </c>
      <c r="AD797" s="1371"/>
      <c r="AE797" s="1371"/>
      <c r="AF797" s="1371"/>
      <c r="AG797" s="137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5" t="str">
        <f>IF(O797&lt;&gt;AG438,"! Total market rate units in the Unit Mix Table above does not match the number of  market rate units on row #"&amp;TEXT(ROW(D438),"#"),"")</f>
        <v/>
      </c>
      <c r="D798" s="1445"/>
      <c r="E798" s="1445"/>
      <c r="F798" s="1445"/>
      <c r="G798" s="1445"/>
      <c r="H798" s="1445"/>
      <c r="I798" s="1445"/>
      <c r="J798" s="1445"/>
      <c r="K798" s="1445"/>
      <c r="L798" s="1445"/>
      <c r="M798" s="1445"/>
      <c r="N798" s="1445"/>
      <c r="O798" s="1445"/>
      <c r="P798" s="1445"/>
      <c r="Q798" s="1445"/>
      <c r="R798" s="1445"/>
      <c r="S798" s="1445"/>
      <c r="T798" s="1445"/>
      <c r="U798" s="1445"/>
      <c r="V798" s="1445"/>
      <c r="W798" s="1445"/>
      <c r="X798" s="1445"/>
      <c r="Y798" s="1445"/>
      <c r="Z798" s="1445"/>
      <c r="AA798" s="1445"/>
      <c r="AB798" s="1445"/>
      <c r="AC798" s="1445"/>
      <c r="AD798" s="1445"/>
      <c r="AE798" s="1445"/>
      <c r="AF798" s="1445"/>
      <c r="AG798" s="1445"/>
      <c r="AH798" s="1445"/>
      <c r="AI798" s="1445"/>
      <c r="AJ798" s="1445"/>
      <c r="AK798" s="1445"/>
      <c r="AL798" s="1445"/>
      <c r="AM798" s="1445"/>
      <c r="AN798" s="144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5"/>
      <c r="D799" s="1445"/>
      <c r="E799" s="1445"/>
      <c r="F799" s="1445"/>
      <c r="G799" s="1445"/>
      <c r="H799" s="1445"/>
      <c r="I799" s="1445"/>
      <c r="J799" s="1445"/>
      <c r="K799" s="1445"/>
      <c r="L799" s="1445"/>
      <c r="M799" s="1445"/>
      <c r="N799" s="1445"/>
      <c r="O799" s="1445"/>
      <c r="P799" s="1445"/>
      <c r="Q799" s="1445"/>
      <c r="R799" s="1445"/>
      <c r="S799" s="1445"/>
      <c r="T799" s="1445"/>
      <c r="U799" s="1445"/>
      <c r="V799" s="1445"/>
      <c r="W799" s="1445"/>
      <c r="X799" s="1445"/>
      <c r="Y799" s="1445"/>
      <c r="Z799" s="1445"/>
      <c r="AA799" s="1445"/>
      <c r="AB799" s="1445"/>
      <c r="AC799" s="1445"/>
      <c r="AD799" s="1445"/>
      <c r="AE799" s="1445"/>
      <c r="AF799" s="1445"/>
      <c r="AG799" s="1445"/>
      <c r="AH799" s="1445"/>
      <c r="AI799" s="1445"/>
      <c r="AJ799" s="1445"/>
      <c r="AK799" s="1445"/>
      <c r="AL799" s="1445"/>
      <c r="AM799" s="1445"/>
      <c r="AN799" s="144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26">
        <f>O753+AC777+AC797</f>
        <v>136749</v>
      </c>
      <c r="Z800" s="1726"/>
      <c r="AA800" s="1726"/>
      <c r="AB800" s="1726"/>
      <c r="AC800" s="172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6">
        <f>(O753+AC777+AC797)*12</f>
        <v>1640988</v>
      </c>
      <c r="Z801" s="1726"/>
      <c r="AA801" s="1726"/>
      <c r="AB801" s="1726"/>
      <c r="AC801" s="172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422">
        <v>58</v>
      </c>
      <c r="AA806" s="1423"/>
      <c r="AB806" s="1423"/>
      <c r="AC806" s="1423"/>
      <c r="AD806" s="1423"/>
      <c r="AE806" s="142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47">
        <v>15</v>
      </c>
      <c r="AA807" s="1423"/>
      <c r="AB807" s="1423"/>
      <c r="AC807" s="1423"/>
      <c r="AD807" s="1423"/>
      <c r="AE807" s="142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7" t="s">
        <v>2767</v>
      </c>
      <c r="AA808" s="1593"/>
      <c r="AB808" s="1593"/>
      <c r="AC808" s="1593"/>
      <c r="AD808" s="1593"/>
      <c r="AE808" s="159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89">
        <f>'Subsidy Contract Calculation'!J40</f>
        <v>1350000</v>
      </c>
      <c r="AA809" s="1390"/>
      <c r="AB809" s="1390"/>
      <c r="AC809" s="1390"/>
      <c r="AD809" s="1390"/>
      <c r="AE809" s="13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3">
        <v>70000</v>
      </c>
      <c r="AA813" s="1394"/>
      <c r="AB813" s="1394"/>
      <c r="AC813" s="1394"/>
      <c r="AD813" s="1394"/>
      <c r="AE813" s="139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3">
        <v>30000</v>
      </c>
      <c r="AA814" s="1394"/>
      <c r="AB814" s="1394"/>
      <c r="AC814" s="1394"/>
      <c r="AD814" s="1394"/>
      <c r="AE814" s="139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3"/>
      <c r="AA815" s="1394"/>
      <c r="AB815" s="1394"/>
      <c r="AC815" s="1394"/>
      <c r="AD815" s="1394"/>
      <c r="AE815" s="139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409" t="s">
        <v>2728</v>
      </c>
      <c r="Q816" s="1410"/>
      <c r="R816" s="1410"/>
      <c r="S816" s="1410"/>
      <c r="T816" s="1410"/>
      <c r="U816" s="1410"/>
      <c r="V816" s="1410"/>
      <c r="W816" s="1410"/>
      <c r="X816" s="1410"/>
      <c r="Y816" s="1411"/>
      <c r="Z816" s="1393">
        <v>64150</v>
      </c>
      <c r="AA816" s="1394"/>
      <c r="AB816" s="1394"/>
      <c r="AC816" s="1394"/>
      <c r="AD816" s="1394"/>
      <c r="AE816" s="139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89">
        <f>SUM(Z813:AE816)</f>
        <v>164150</v>
      </c>
      <c r="AA817" s="1390"/>
      <c r="AB817" s="1390"/>
      <c r="AC817" s="1390"/>
      <c r="AD817" s="1390"/>
      <c r="AE817" s="13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89">
        <f>Z817+Y801+Z809</f>
        <v>3155138</v>
      </c>
      <c r="AA818" s="1390"/>
      <c r="AB818" s="1390"/>
      <c r="AC818" s="1390"/>
      <c r="AD818" s="1390"/>
      <c r="AE818" s="13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44" t="s">
        <v>126</v>
      </c>
      <c r="N823" s="1644"/>
      <c r="O823" s="1644"/>
      <c r="P823" s="1758"/>
      <c r="Q823" s="1677" t="s">
        <v>291</v>
      </c>
      <c r="R823" s="1677"/>
      <c r="S823" s="1677"/>
      <c r="T823" s="1677"/>
      <c r="U823" s="1677" t="s">
        <v>292</v>
      </c>
      <c r="V823" s="1677"/>
      <c r="W823" s="1677"/>
      <c r="X823" s="1677"/>
      <c r="Y823" s="1677" t="s">
        <v>293</v>
      </c>
      <c r="Z823" s="1677"/>
      <c r="AA823" s="1677"/>
      <c r="AB823" s="1677"/>
      <c r="AC823" s="1677" t="s">
        <v>362</v>
      </c>
      <c r="AD823" s="1677"/>
      <c r="AE823" s="1677"/>
      <c r="AF823" s="1677"/>
      <c r="AG823" s="1759" t="s">
        <v>336</v>
      </c>
      <c r="AH823" s="1759"/>
      <c r="AI823" s="1759"/>
      <c r="AJ823" s="175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381"/>
      <c r="N824" s="1381"/>
      <c r="O824" s="1381"/>
      <c r="P824" s="1382"/>
      <c r="Q824" s="1677"/>
      <c r="R824" s="1677"/>
      <c r="S824" s="1677"/>
      <c r="T824" s="1677"/>
      <c r="U824" s="1677"/>
      <c r="V824" s="1677"/>
      <c r="W824" s="1677"/>
      <c r="X824" s="1677"/>
      <c r="Y824" s="1677"/>
      <c r="Z824" s="1677"/>
      <c r="AA824" s="1677"/>
      <c r="AB824" s="1677"/>
      <c r="AC824" s="1677"/>
      <c r="AD824" s="1677"/>
      <c r="AE824" s="1677"/>
      <c r="AF824" s="1677"/>
      <c r="AG824" s="1759"/>
      <c r="AH824" s="1759"/>
      <c r="AI824" s="1759"/>
      <c r="AJ824" s="175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2" t="s">
        <v>40</v>
      </c>
      <c r="D825" s="1474"/>
      <c r="E825" s="1474"/>
      <c r="F825" s="1474"/>
      <c r="G825" s="1474"/>
      <c r="H825" s="1474"/>
      <c r="I825" s="48"/>
      <c r="J825" s="48"/>
      <c r="K825" s="48"/>
      <c r="L825" s="49"/>
      <c r="M825" s="1386">
        <v>6</v>
      </c>
      <c r="N825" s="1386"/>
      <c r="O825" s="1386"/>
      <c r="P825" s="1386"/>
      <c r="Q825" s="1386">
        <v>8</v>
      </c>
      <c r="R825" s="1386"/>
      <c r="S825" s="1386"/>
      <c r="T825" s="1386"/>
      <c r="U825" s="1386"/>
      <c r="V825" s="1386"/>
      <c r="W825" s="1386"/>
      <c r="X825" s="1386"/>
      <c r="Y825" s="1386"/>
      <c r="Z825" s="1386"/>
      <c r="AA825" s="1386"/>
      <c r="AB825" s="1386"/>
      <c r="AC825" s="1413"/>
      <c r="AD825" s="1414"/>
      <c r="AE825" s="1414"/>
      <c r="AF825" s="1415"/>
      <c r="AG825" s="1413"/>
      <c r="AH825" s="1414"/>
      <c r="AI825" s="1414"/>
      <c r="AJ825" s="141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387" t="s">
        <v>41</v>
      </c>
      <c r="D826" s="1388"/>
      <c r="E826" s="1388"/>
      <c r="F826" s="1388"/>
      <c r="G826" s="1388"/>
      <c r="H826" s="1388"/>
      <c r="I826" s="5"/>
      <c r="J826" s="5"/>
      <c r="K826" s="5"/>
      <c r="L826" s="46"/>
      <c r="M826" s="1386"/>
      <c r="N826" s="1386"/>
      <c r="O826" s="1386"/>
      <c r="P826" s="1386"/>
      <c r="Q826" s="1386"/>
      <c r="R826" s="1386"/>
      <c r="S826" s="1386"/>
      <c r="T826" s="1386"/>
      <c r="U826" s="1386"/>
      <c r="V826" s="1386"/>
      <c r="W826" s="1386"/>
      <c r="X826" s="1386"/>
      <c r="Y826" s="1386"/>
      <c r="Z826" s="1386"/>
      <c r="AA826" s="1386"/>
      <c r="AB826" s="1386"/>
      <c r="AC826" s="1413"/>
      <c r="AD826" s="1414"/>
      <c r="AE826" s="1414"/>
      <c r="AF826" s="1415"/>
      <c r="AG826" s="1413"/>
      <c r="AH826" s="1414"/>
      <c r="AI826" s="1414"/>
      <c r="AJ826" s="141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387" t="s">
        <v>42</v>
      </c>
      <c r="D827" s="1388"/>
      <c r="E827" s="1388"/>
      <c r="F827" s="1388"/>
      <c r="G827" s="1388"/>
      <c r="H827" s="1388"/>
      <c r="I827" s="60"/>
      <c r="J827" s="60"/>
      <c r="K827" s="60"/>
      <c r="L827" s="61"/>
      <c r="M827" s="1386"/>
      <c r="N827" s="1386"/>
      <c r="O827" s="1386"/>
      <c r="P827" s="1386"/>
      <c r="Q827" s="1386"/>
      <c r="R827" s="1386"/>
      <c r="S827" s="1386"/>
      <c r="T827" s="1386"/>
      <c r="U827" s="1386"/>
      <c r="V827" s="1386"/>
      <c r="W827" s="1386"/>
      <c r="X827" s="1386"/>
      <c r="Y827" s="1386"/>
      <c r="Z827" s="1386"/>
      <c r="AA827" s="1386"/>
      <c r="AB827" s="1386"/>
      <c r="AC827" s="1413"/>
      <c r="AD827" s="1414"/>
      <c r="AE827" s="1414"/>
      <c r="AF827" s="1415"/>
      <c r="AG827" s="1413"/>
      <c r="AH827" s="1414"/>
      <c r="AI827" s="1414"/>
      <c r="AJ827" s="141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387" t="s">
        <v>771</v>
      </c>
      <c r="D828" s="1388"/>
      <c r="E828" s="1388"/>
      <c r="F828" s="1388"/>
      <c r="G828" s="1388"/>
      <c r="H828" s="1388"/>
      <c r="I828" s="60"/>
      <c r="J828" s="60"/>
      <c r="K828" s="60"/>
      <c r="L828" s="61"/>
      <c r="M828" s="1386"/>
      <c r="N828" s="1386"/>
      <c r="O828" s="1386"/>
      <c r="P828" s="1386"/>
      <c r="Q828" s="1386"/>
      <c r="R828" s="1386"/>
      <c r="S828" s="1386"/>
      <c r="T828" s="1386"/>
      <c r="U828" s="1386"/>
      <c r="V828" s="1386"/>
      <c r="W828" s="1386"/>
      <c r="X828" s="1386"/>
      <c r="Y828" s="1386"/>
      <c r="Z828" s="1386"/>
      <c r="AA828" s="1386"/>
      <c r="AB828" s="1386"/>
      <c r="AC828" s="1413"/>
      <c r="AD828" s="1414"/>
      <c r="AE828" s="1414"/>
      <c r="AF828" s="1415"/>
      <c r="AG828" s="1413"/>
      <c r="AH828" s="1414"/>
      <c r="AI828" s="1414"/>
      <c r="AJ828" s="141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387" t="s">
        <v>467</v>
      </c>
      <c r="D829" s="1388"/>
      <c r="E829" s="1388"/>
      <c r="F829" s="1388"/>
      <c r="G829" s="1388"/>
      <c r="H829" s="1388"/>
      <c r="I829" s="60"/>
      <c r="J829" s="60"/>
      <c r="K829" s="60"/>
      <c r="L829" s="61"/>
      <c r="M829" s="1386">
        <v>16</v>
      </c>
      <c r="N829" s="1386"/>
      <c r="O829" s="1386"/>
      <c r="P829" s="1386"/>
      <c r="Q829" s="1386">
        <v>23</v>
      </c>
      <c r="R829" s="1386"/>
      <c r="S829" s="1386"/>
      <c r="T829" s="1386"/>
      <c r="U829" s="1386"/>
      <c r="V829" s="1386"/>
      <c r="W829" s="1386"/>
      <c r="X829" s="1386"/>
      <c r="Y829" s="1386"/>
      <c r="Z829" s="1386"/>
      <c r="AA829" s="1386"/>
      <c r="AB829" s="1386"/>
      <c r="AC829" s="1413"/>
      <c r="AD829" s="1414"/>
      <c r="AE829" s="1414"/>
      <c r="AF829" s="1415"/>
      <c r="AG829" s="1413"/>
      <c r="AH829" s="1414"/>
      <c r="AI829" s="1414"/>
      <c r="AJ829" s="141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1" t="s">
        <v>792</v>
      </c>
      <c r="D830" s="1388"/>
      <c r="E830" s="1388"/>
      <c r="F830" s="1388"/>
      <c r="G830" s="1388"/>
      <c r="H830" s="1388"/>
      <c r="I830" s="60"/>
      <c r="J830" s="60"/>
      <c r="K830" s="60"/>
      <c r="L830" s="61"/>
      <c r="M830" s="1386"/>
      <c r="N830" s="1386"/>
      <c r="O830" s="1386"/>
      <c r="P830" s="1386"/>
      <c r="Q830" s="1386"/>
      <c r="R830" s="1386"/>
      <c r="S830" s="1386"/>
      <c r="T830" s="1386"/>
      <c r="U830" s="1386"/>
      <c r="V830" s="1386"/>
      <c r="W830" s="1386"/>
      <c r="X830" s="1386"/>
      <c r="Y830" s="1386"/>
      <c r="Z830" s="1386"/>
      <c r="AA830" s="1386"/>
      <c r="AB830" s="1386"/>
      <c r="AC830" s="1413"/>
      <c r="AD830" s="1414"/>
      <c r="AE830" s="1414"/>
      <c r="AF830" s="1415"/>
      <c r="AG830" s="1413"/>
      <c r="AH830" s="1414"/>
      <c r="AI830" s="1414"/>
      <c r="AJ830" s="141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409" t="s">
        <v>2765</v>
      </c>
      <c r="G831" s="1410"/>
      <c r="H831" s="1410"/>
      <c r="I831" s="1410"/>
      <c r="J831" s="1410"/>
      <c r="K831" s="1410"/>
      <c r="L831" s="1410"/>
      <c r="M831" s="1386">
        <v>7</v>
      </c>
      <c r="N831" s="1386"/>
      <c r="O831" s="1386"/>
      <c r="P831" s="1386"/>
      <c r="Q831" s="1386">
        <v>10</v>
      </c>
      <c r="R831" s="1386"/>
      <c r="S831" s="1386"/>
      <c r="T831" s="1386"/>
      <c r="U831" s="1386"/>
      <c r="V831" s="1386"/>
      <c r="W831" s="1386"/>
      <c r="X831" s="1386"/>
      <c r="Y831" s="1386"/>
      <c r="Z831" s="1386"/>
      <c r="AA831" s="1386"/>
      <c r="AB831" s="1386"/>
      <c r="AC831" s="1413"/>
      <c r="AD831" s="1414"/>
      <c r="AE831" s="1414"/>
      <c r="AF831" s="1415"/>
      <c r="AG831" s="1413"/>
      <c r="AH831" s="1414"/>
      <c r="AI831" s="1414"/>
      <c r="AJ831" s="141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00" t="s">
        <v>124</v>
      </c>
      <c r="D832" s="1501"/>
      <c r="E832" s="1501"/>
      <c r="F832" s="1501"/>
      <c r="G832" s="1501"/>
      <c r="H832" s="1501"/>
      <c r="I832" s="1501"/>
      <c r="J832" s="1501"/>
      <c r="K832" s="1501"/>
      <c r="L832" s="1502"/>
      <c r="M832" s="1670">
        <f>SUM(M825:P831)</f>
        <v>29</v>
      </c>
      <c r="N832" s="1670"/>
      <c r="O832" s="1670"/>
      <c r="P832" s="1670"/>
      <c r="Q832" s="1670">
        <f>SUM(Q825:T831)</f>
        <v>41</v>
      </c>
      <c r="R832" s="1670"/>
      <c r="S832" s="1670"/>
      <c r="T832" s="1670"/>
      <c r="U832" s="1670">
        <f>SUM(U825:X831)</f>
        <v>0</v>
      </c>
      <c r="V832" s="1670"/>
      <c r="W832" s="1670"/>
      <c r="X832" s="1670"/>
      <c r="Y832" s="1670">
        <f>SUM(Y825:AB831)</f>
        <v>0</v>
      </c>
      <c r="Z832" s="1670"/>
      <c r="AA832" s="1670"/>
      <c r="AB832" s="1670"/>
      <c r="AC832" s="1670">
        <f>SUM(AC825:AF831)</f>
        <v>0</v>
      </c>
      <c r="AD832" s="1670"/>
      <c r="AE832" s="1670"/>
      <c r="AF832" s="1670"/>
      <c r="AG832" s="1670">
        <f>SUM(AG825:AJ831)</f>
        <v>0</v>
      </c>
      <c r="AH832" s="1670"/>
      <c r="AI832" s="1670"/>
      <c r="AJ832" s="167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8" t="s">
        <v>2729</v>
      </c>
      <c r="D837" s="1679"/>
      <c r="E837" s="1679"/>
      <c r="F837" s="1679"/>
      <c r="G837" s="1679"/>
      <c r="H837" s="1679"/>
      <c r="I837" s="1679"/>
      <c r="J837" s="1679"/>
      <c r="K837" s="1679"/>
      <c r="L837" s="1679"/>
      <c r="M837" s="1679"/>
      <c r="N837" s="1679"/>
      <c r="O837" s="1679"/>
      <c r="P837" s="1679"/>
      <c r="Q837" s="1679"/>
      <c r="R837" s="1679"/>
      <c r="S837" s="1679"/>
      <c r="T837" s="1679"/>
      <c r="U837" s="1679"/>
      <c r="V837" s="1679"/>
      <c r="W837" s="1679"/>
      <c r="X837" s="1679"/>
      <c r="Y837" s="1679"/>
      <c r="Z837" s="1679"/>
      <c r="AA837" s="1679"/>
      <c r="AB837" s="1679"/>
      <c r="AC837" s="1679"/>
      <c r="AD837" s="1679"/>
      <c r="AE837" s="1679"/>
      <c r="AF837" s="1679"/>
      <c r="AG837" s="1679"/>
      <c r="AH837" s="1679"/>
      <c r="AI837" s="1679"/>
      <c r="AJ837" s="168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6">
        <f>ROUNDDOWN(BC939*2,2)</f>
        <v>0</v>
      </c>
      <c r="BJ841" s="1676"/>
      <c r="BK841" s="1676"/>
      <c r="BL841" s="167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32">
        <v>25000</v>
      </c>
      <c r="X842" s="1532"/>
      <c r="Y842" s="1532"/>
      <c r="Z842" s="1532"/>
      <c r="AA842" s="1532"/>
      <c r="AB842" s="1532"/>
      <c r="AC842" s="153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32">
        <v>5000</v>
      </c>
      <c r="X843" s="1532"/>
      <c r="Y843" s="1532"/>
      <c r="Z843" s="1532"/>
      <c r="AA843" s="1532"/>
      <c r="AB843" s="1532"/>
      <c r="AC843" s="153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32">
        <v>7500</v>
      </c>
      <c r="X844" s="1532"/>
      <c r="Y844" s="1532"/>
      <c r="Z844" s="1532"/>
      <c r="AA844" s="1532"/>
      <c r="AB844" s="1532"/>
      <c r="AC844" s="153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32">
        <v>30000</v>
      </c>
      <c r="X845" s="1532"/>
      <c r="Y845" s="1532"/>
      <c r="Z845" s="1532"/>
      <c r="AA845" s="1532"/>
      <c r="AB845" s="1532"/>
      <c r="AC845" s="153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409" t="s">
        <v>2730</v>
      </c>
      <c r="N846" s="1410"/>
      <c r="O846" s="1410"/>
      <c r="P846" s="1410"/>
      <c r="Q846" s="1410"/>
      <c r="R846" s="1410"/>
      <c r="S846" s="1410"/>
      <c r="T846" s="1410"/>
      <c r="U846" s="1410"/>
      <c r="V846" s="1411"/>
      <c r="W846" s="1532">
        <f>50000-W844-W843</f>
        <v>37500</v>
      </c>
      <c r="X846" s="1532"/>
      <c r="Y846" s="1532"/>
      <c r="Z846" s="1532"/>
      <c r="AA846" s="1532"/>
      <c r="AB846" s="1532"/>
      <c r="AC846" s="1532"/>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389">
        <f>SUM(W842:AC846)</f>
        <v>105000</v>
      </c>
      <c r="X847" s="1390"/>
      <c r="Y847" s="1390"/>
      <c r="Z847" s="1390"/>
      <c r="AA847" s="1390"/>
      <c r="AB847" s="1390"/>
      <c r="AC847" s="139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2"/>
      <c r="BH848" s="1662"/>
      <c r="BI848" s="1662"/>
      <c r="BJ848" s="1662"/>
      <c r="BK848" s="1662"/>
      <c r="BL848" s="1662"/>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00" t="s">
        <v>346</v>
      </c>
      <c r="K849" s="1501"/>
      <c r="L849" s="1501"/>
      <c r="M849" s="1501"/>
      <c r="N849" s="1501"/>
      <c r="O849" s="1501"/>
      <c r="P849" s="1501"/>
      <c r="Q849" s="1501"/>
      <c r="R849" s="1501"/>
      <c r="S849" s="1501"/>
      <c r="T849" s="1501"/>
      <c r="U849" s="1501"/>
      <c r="V849" s="1502"/>
      <c r="W849" s="1393">
        <v>104400</v>
      </c>
      <c r="X849" s="1394"/>
      <c r="Y849" s="1394"/>
      <c r="Z849" s="1394"/>
      <c r="AA849" s="1394"/>
      <c r="AB849" s="1394"/>
      <c r="AC849" s="139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29">
        <v>0</v>
      </c>
      <c r="X851" s="1729"/>
      <c r="Y851" s="1729"/>
      <c r="Z851" s="1729"/>
      <c r="AA851" s="1729"/>
      <c r="AB851" s="1729"/>
      <c r="AC851" s="1729"/>
      <c r="AZ851" s="1741">
        <f>SUM(AZ818:AZ846)</f>
        <v>7.5000000000000011E-2</v>
      </c>
      <c r="BA851" s="174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29">
        <v>0</v>
      </c>
      <c r="X852" s="1729"/>
      <c r="Y852" s="1729"/>
      <c r="Z852" s="1729"/>
      <c r="AA852" s="1729"/>
      <c r="AB852" s="1729"/>
      <c r="AC852" s="1729"/>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29">
        <v>45000</v>
      </c>
      <c r="X853" s="1729"/>
      <c r="Y853" s="1729"/>
      <c r="Z853" s="1729"/>
      <c r="AA853" s="1729"/>
      <c r="AB853" s="1729"/>
      <c r="AC853" s="1729"/>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29">
        <f>87750-W853</f>
        <v>42750</v>
      </c>
      <c r="X854" s="1729"/>
      <c r="Y854" s="1729"/>
      <c r="Z854" s="1729"/>
      <c r="AA854" s="1729"/>
      <c r="AB854" s="1729"/>
      <c r="AC854" s="1729"/>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9">
        <f>SUM(W851:AC854)</f>
        <v>87750</v>
      </c>
      <c r="X855" s="1739"/>
      <c r="Y855" s="1739"/>
      <c r="Z855" s="1739"/>
      <c r="AA855" s="1739"/>
      <c r="AB855" s="1739"/>
      <c r="AC855" s="173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64">
        <v>120000</v>
      </c>
      <c r="X857" s="1665"/>
      <c r="Y857" s="1665"/>
      <c r="Z857" s="1665"/>
      <c r="AA857" s="1665"/>
      <c r="AB857" s="1665"/>
      <c r="AC857" s="166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2">
        <v>1.25</v>
      </c>
      <c r="U858" s="1713"/>
      <c r="V858" s="174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64">
        <v>25000</v>
      </c>
      <c r="X859" s="1665"/>
      <c r="Y859" s="1665"/>
      <c r="Z859" s="1665"/>
      <c r="AA859" s="1665"/>
      <c r="AB859" s="1665"/>
      <c r="AC859" s="166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2">
        <v>1</v>
      </c>
      <c r="U860" s="1713"/>
      <c r="V860" s="174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409" t="s">
        <v>348</v>
      </c>
      <c r="N861" s="1410"/>
      <c r="O861" s="1410"/>
      <c r="P861" s="1410"/>
      <c r="Q861" s="1410"/>
      <c r="R861" s="1410"/>
      <c r="S861" s="1410"/>
      <c r="T861" s="1410"/>
      <c r="U861" s="1410"/>
      <c r="V861" s="1411"/>
      <c r="W861" s="1664">
        <v>25000</v>
      </c>
      <c r="X861" s="1665"/>
      <c r="Y861" s="1665"/>
      <c r="Z861" s="1665"/>
      <c r="AA861" s="1665"/>
      <c r="AB861" s="1665"/>
      <c r="AC861" s="166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4">
        <f>SUM(W857:AC861)</f>
        <v>170000</v>
      </c>
      <c r="X862" s="1745"/>
      <c r="Y862" s="1745"/>
      <c r="Z862" s="1745"/>
      <c r="AA862" s="1745"/>
      <c r="AB862" s="1745"/>
      <c r="AC862" s="174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4">
        <v>87750</v>
      </c>
      <c r="X863" s="1665"/>
      <c r="Y863" s="1665"/>
      <c r="Z863" s="1665"/>
      <c r="AA863" s="1665"/>
      <c r="AB863" s="1665"/>
      <c r="AC863" s="166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32">
        <v>20000</v>
      </c>
      <c r="X865" s="1532"/>
      <c r="Y865" s="1532"/>
      <c r="Z865" s="1532"/>
      <c r="AA865" s="1532"/>
      <c r="AB865" s="1532"/>
      <c r="AC865" s="153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32">
        <v>50000</v>
      </c>
      <c r="X866" s="1532"/>
      <c r="Y866" s="1532"/>
      <c r="Z866" s="1532"/>
      <c r="AA866" s="1532"/>
      <c r="AB866" s="1532"/>
      <c r="AC866" s="153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32">
        <v>15000</v>
      </c>
      <c r="X867" s="1532"/>
      <c r="Y867" s="1532"/>
      <c r="Z867" s="1532"/>
      <c r="AA867" s="1532"/>
      <c r="AB867" s="1532"/>
      <c r="AC867" s="153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32">
        <v>5000</v>
      </c>
      <c r="X868" s="1532"/>
      <c r="Y868" s="1532"/>
      <c r="Z868" s="1532"/>
      <c r="AA868" s="1532"/>
      <c r="AB868" s="1532"/>
      <c r="AC868" s="153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32">
        <v>10000</v>
      </c>
      <c r="X869" s="1532"/>
      <c r="Y869" s="1532"/>
      <c r="Z869" s="1532"/>
      <c r="AA869" s="1532"/>
      <c r="AB869" s="1532"/>
      <c r="AC869" s="153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32">
        <v>5000</v>
      </c>
      <c r="X870" s="1532"/>
      <c r="Y870" s="1532"/>
      <c r="Z870" s="1532"/>
      <c r="AA870" s="1532"/>
      <c r="AB870" s="1532"/>
      <c r="AC870" s="153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409" t="s">
        <v>2731</v>
      </c>
      <c r="N871" s="1410"/>
      <c r="O871" s="1410"/>
      <c r="P871" s="1410"/>
      <c r="Q871" s="1410"/>
      <c r="R871" s="1410"/>
      <c r="S871" s="1410"/>
      <c r="T871" s="1410"/>
      <c r="U871" s="1410"/>
      <c r="V871" s="1411"/>
      <c r="W871" s="1532">
        <v>10000</v>
      </c>
      <c r="X871" s="1532"/>
      <c r="Y871" s="1532"/>
      <c r="Z871" s="1532"/>
      <c r="AA871" s="1532"/>
      <c r="AB871" s="1532"/>
      <c r="AC871" s="153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26">
        <f>SUM(W865:AC871)</f>
        <v>115000</v>
      </c>
      <c r="X872" s="1726"/>
      <c r="Y872" s="1726"/>
      <c r="Z872" s="1726"/>
      <c r="AA872" s="1726"/>
      <c r="AB872" s="1726"/>
      <c r="AC872" s="172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409" t="s">
        <v>335</v>
      </c>
      <c r="N874" s="1410"/>
      <c r="O874" s="1410"/>
      <c r="P874" s="1410"/>
      <c r="Q874" s="1410"/>
      <c r="R874" s="1410"/>
      <c r="S874" s="1410"/>
      <c r="T874" s="1410"/>
      <c r="U874" s="1410"/>
      <c r="V874" s="1411"/>
      <c r="W874" s="1393"/>
      <c r="X874" s="1394"/>
      <c r="Y874" s="1394"/>
      <c r="Z874" s="1394"/>
      <c r="AA874" s="1394"/>
      <c r="AB874" s="1394"/>
      <c r="AC874" s="139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409" t="s">
        <v>335</v>
      </c>
      <c r="N875" s="1410"/>
      <c r="O875" s="1410"/>
      <c r="P875" s="1410"/>
      <c r="Q875" s="1410"/>
      <c r="R875" s="1410"/>
      <c r="S875" s="1410"/>
      <c r="T875" s="1410"/>
      <c r="U875" s="1410"/>
      <c r="V875" s="1411"/>
      <c r="W875" s="1393"/>
      <c r="X875" s="1394"/>
      <c r="Y875" s="1394"/>
      <c r="Z875" s="1394"/>
      <c r="AA875" s="1394"/>
      <c r="AB875" s="1394"/>
      <c r="AC875" s="139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409" t="s">
        <v>335</v>
      </c>
      <c r="N876" s="1410"/>
      <c r="O876" s="1410"/>
      <c r="P876" s="1410"/>
      <c r="Q876" s="1410"/>
      <c r="R876" s="1410"/>
      <c r="S876" s="1410"/>
      <c r="T876" s="1410"/>
      <c r="U876" s="1410"/>
      <c r="V876" s="1411"/>
      <c r="W876" s="1393"/>
      <c r="X876" s="1394"/>
      <c r="Y876" s="1394"/>
      <c r="Z876" s="1394"/>
      <c r="AA876" s="1394"/>
      <c r="AB876" s="1394"/>
      <c r="AC876" s="139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409" t="s">
        <v>335</v>
      </c>
      <c r="N877" s="1410"/>
      <c r="O877" s="1410"/>
      <c r="P877" s="1410"/>
      <c r="Q877" s="1410"/>
      <c r="R877" s="1410"/>
      <c r="S877" s="1410"/>
      <c r="T877" s="1410"/>
      <c r="U877" s="1410"/>
      <c r="V877" s="1411"/>
      <c r="W877" s="1393"/>
      <c r="X877" s="1394"/>
      <c r="Y877" s="1394"/>
      <c r="Z877" s="1394"/>
      <c r="AA877" s="1394"/>
      <c r="AB877" s="1394"/>
      <c r="AC877" s="139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409" t="s">
        <v>335</v>
      </c>
      <c r="N878" s="1410"/>
      <c r="O878" s="1410"/>
      <c r="P878" s="1410"/>
      <c r="Q878" s="1410"/>
      <c r="R878" s="1410"/>
      <c r="S878" s="1410"/>
      <c r="T878" s="1410"/>
      <c r="U878" s="1410"/>
      <c r="V878" s="1411"/>
      <c r="W878" s="1393"/>
      <c r="X878" s="1394"/>
      <c r="Y878" s="1394"/>
      <c r="Z878" s="1394"/>
      <c r="AA878" s="1394"/>
      <c r="AB878" s="1394"/>
      <c r="AC878" s="139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389">
        <f>SUM(W874:AC878)</f>
        <v>0</v>
      </c>
      <c r="X879" s="1390"/>
      <c r="Y879" s="1390"/>
      <c r="Z879" s="1390"/>
      <c r="AA879" s="1390"/>
      <c r="AB879" s="1390"/>
      <c r="AC879" s="13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390">
        <f>W847+W855+W862+W863+W872+W879+W849</f>
        <v>669900</v>
      </c>
      <c r="AD883" s="1390"/>
      <c r="AE883" s="1390"/>
      <c r="AF883" s="1390"/>
      <c r="AG883" s="1390"/>
      <c r="AH883" s="13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27">
        <f>O797+O777+G753</f>
        <v>117</v>
      </c>
      <c r="AD884" s="1727"/>
      <c r="AE884" s="1727"/>
      <c r="AF884" s="1727"/>
      <c r="AG884" s="1727"/>
      <c r="AH884" s="172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57" t="s">
        <v>32</v>
      </c>
      <c r="F885" s="1657"/>
      <c r="G885" s="1657"/>
      <c r="H885" s="1657"/>
      <c r="I885" s="1657"/>
      <c r="J885" s="1657"/>
      <c r="K885" s="1657"/>
      <c r="L885" s="1657"/>
      <c r="M885" s="1657"/>
      <c r="N885" s="1657"/>
      <c r="O885" s="1657"/>
      <c r="P885" s="1657"/>
      <c r="Q885" s="1657"/>
      <c r="R885" s="1657"/>
      <c r="S885" s="1657"/>
      <c r="T885" s="1657"/>
      <c r="U885" s="1657"/>
      <c r="V885" s="1657"/>
      <c r="W885" s="1657"/>
      <c r="X885" s="1657"/>
      <c r="Y885" s="1657"/>
      <c r="Z885" s="1657"/>
      <c r="AA885" s="1657"/>
      <c r="AB885" s="1658"/>
      <c r="AC885" s="1726">
        <f>IF(ISERROR((ROUNDDOWN(AC883/AC884,0))),0,(ROUNDDOWN(AC883/AC884,0)))</f>
        <v>5725</v>
      </c>
      <c r="AD885" s="1726"/>
      <c r="AE885" s="1726"/>
      <c r="AF885" s="1726"/>
      <c r="AG885" s="1726"/>
      <c r="AH885" s="172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0">
        <f>'Sources and Uses Budget'!C75</f>
        <v>950000</v>
      </c>
      <c r="AD886" s="1731"/>
      <c r="AE886" s="1731"/>
      <c r="AF886" s="1731"/>
      <c r="AG886" s="1731"/>
      <c r="AH886" s="1731"/>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395"/>
      <c r="AD887" s="1532"/>
      <c r="AE887" s="1532"/>
      <c r="AF887" s="1532"/>
      <c r="AG887" s="1532"/>
      <c r="AH887" s="153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394">
        <v>20000</v>
      </c>
      <c r="AD888" s="1394"/>
      <c r="AE888" s="1394"/>
      <c r="AF888" s="1394"/>
      <c r="AG888" s="1394"/>
      <c r="AH888" s="139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94">
        <v>29250</v>
      </c>
      <c r="AD889" s="1394"/>
      <c r="AE889" s="1394"/>
      <c r="AF889" s="1394"/>
      <c r="AG889" s="1394"/>
      <c r="AH889" s="139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13"/>
      <c r="AD890" s="1414"/>
      <c r="AE890" s="1414"/>
      <c r="AF890" s="1414"/>
      <c r="AG890" s="1414"/>
      <c r="AH890" s="141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94">
        <v>4000</v>
      </c>
      <c r="AD891" s="1394"/>
      <c r="AE891" s="1394"/>
      <c r="AF891" s="1394"/>
      <c r="AG891" s="1394"/>
      <c r="AH891" s="139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394"/>
      <c r="AD892" s="1394"/>
      <c r="AE892" s="1394"/>
      <c r="AF892" s="1394"/>
      <c r="AG892" s="1394"/>
      <c r="AH892" s="139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7" t="s">
        <v>975</v>
      </c>
      <c r="D893" s="1668"/>
      <c r="E893" s="1668"/>
      <c r="F893" s="1668"/>
      <c r="G893" s="1668"/>
      <c r="H893" s="1668"/>
      <c r="I893" s="1668"/>
      <c r="J893" s="1668"/>
      <c r="K893" s="1668"/>
      <c r="L893" s="1668"/>
      <c r="M893" s="1668"/>
      <c r="N893" s="1668"/>
      <c r="O893" s="1668"/>
      <c r="P893" s="1668"/>
      <c r="Q893" s="1668"/>
      <c r="R893" s="1668"/>
      <c r="S893" s="1668"/>
      <c r="T893" s="1668"/>
      <c r="U893" s="1668"/>
      <c r="V893" s="1668"/>
      <c r="W893" s="1668"/>
      <c r="X893" s="1668"/>
      <c r="Y893" s="1668"/>
      <c r="Z893" s="1668"/>
      <c r="AA893" s="1668"/>
      <c r="AB893" s="1669"/>
      <c r="AC893" s="1532"/>
      <c r="AD893" s="1532"/>
      <c r="AE893" s="1532"/>
      <c r="AF893" s="1532"/>
      <c r="AG893" s="1532"/>
      <c r="AH893" s="153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7" t="s">
        <v>975</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532"/>
      <c r="AD894" s="1532"/>
      <c r="AE894" s="1532"/>
      <c r="AF894" s="1532"/>
      <c r="AG894" s="1532"/>
      <c r="AH894" s="153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393">
        <v>0</v>
      </c>
      <c r="AA898" s="1394"/>
      <c r="AB898" s="1394"/>
      <c r="AC898" s="1394"/>
      <c r="AD898" s="1394"/>
      <c r="AE898" s="1395"/>
      <c r="AF898" s="567"/>
      <c r="AZ898" s="34"/>
      <c r="BB898" s="30"/>
      <c r="BC898" s="850"/>
      <c r="BD898" s="1663"/>
      <c r="BE898" s="166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393">
        <v>0</v>
      </c>
      <c r="AA899" s="1394"/>
      <c r="AB899" s="1394"/>
      <c r="AC899" s="1394"/>
      <c r="AD899" s="1394"/>
      <c r="AE899" s="1395"/>
      <c r="AZ899" s="34"/>
      <c r="BB899" s="30"/>
      <c r="BC899" s="850"/>
      <c r="BD899" s="1663"/>
      <c r="BE899" s="166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393">
        <v>0</v>
      </c>
      <c r="AA900" s="1394"/>
      <c r="AB900" s="1394"/>
      <c r="AC900" s="1394"/>
      <c r="AD900" s="1394"/>
      <c r="AE900" s="1395"/>
      <c r="AZ900" s="34"/>
      <c r="BB900" s="30"/>
      <c r="BC900" s="850"/>
      <c r="BD900" s="1662"/>
      <c r="BE900" s="166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389">
        <f>Z898-(Z899+Z900)</f>
        <v>0</v>
      </c>
      <c r="AA901" s="1390"/>
      <c r="AB901" s="1390"/>
      <c r="AC901" s="1390"/>
      <c r="AD901" s="1390"/>
      <c r="AE901" s="1391"/>
      <c r="AZ901" s="34"/>
      <c r="BB901" s="30"/>
      <c r="BC901" s="850"/>
      <c r="BD901" s="1662"/>
      <c r="BE901" s="166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2"/>
      <c r="BE902" s="166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3"/>
      <c r="BE903" s="166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25"/>
      <c r="BE904" s="1725"/>
      <c r="BF904" s="172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6"/>
      <c r="BE905" s="1676"/>
      <c r="BF905" s="167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2"/>
      <c r="BE906" s="166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3"/>
      <c r="BE907" s="166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12" t="s">
        <v>96</v>
      </c>
      <c r="B909" s="1412"/>
      <c r="C909" s="1412"/>
      <c r="D909" s="1412"/>
      <c r="E909" s="1412"/>
      <c r="F909" s="1412"/>
      <c r="G909" s="1412"/>
      <c r="H909" s="1412"/>
      <c r="I909" s="1412"/>
      <c r="J909" s="1412"/>
      <c r="K909" s="1412"/>
      <c r="L909" s="1412"/>
      <c r="M909" s="1412"/>
      <c r="N909" s="1412"/>
      <c r="O909" s="1412"/>
      <c r="P909" s="1412"/>
      <c r="Q909" s="1412"/>
      <c r="R909" s="1412"/>
      <c r="S909" s="1412"/>
      <c r="T909" s="1412"/>
      <c r="U909" s="1412"/>
      <c r="V909" s="1412"/>
      <c r="W909" s="1412"/>
      <c r="X909" s="1412"/>
      <c r="Y909" s="1412"/>
      <c r="Z909" s="1412"/>
      <c r="AA909" s="1412"/>
      <c r="AB909" s="1412"/>
      <c r="AC909" s="1412"/>
      <c r="AD909" s="1412"/>
      <c r="AE909" s="1412"/>
      <c r="AF909" s="1412"/>
      <c r="AG909" s="1412"/>
      <c r="AH909" s="1412"/>
      <c r="AI909" s="1412"/>
      <c r="AJ909" s="1412"/>
      <c r="AK909" s="1412"/>
      <c r="AL909" s="1412"/>
      <c r="AM909" s="1412"/>
      <c r="AN909" s="1412"/>
      <c r="AO909" s="1412"/>
      <c r="AP909" s="1412"/>
      <c r="AQ909" s="1412"/>
      <c r="AR909" s="1412"/>
      <c r="AS909" s="1412"/>
      <c r="AT909" s="1412"/>
      <c r="AZ909" s="34"/>
      <c r="BA909" s="34"/>
      <c r="BB909" s="30"/>
      <c r="BC909" s="30"/>
      <c r="BD909" s="1663"/>
      <c r="BE909" s="166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12"/>
      <c r="B910" s="1412"/>
      <c r="C910" s="1412"/>
      <c r="D910" s="1412"/>
      <c r="E910" s="1412"/>
      <c r="F910" s="1412"/>
      <c r="G910" s="1412"/>
      <c r="H910" s="1412"/>
      <c r="I910" s="1412"/>
      <c r="J910" s="1412"/>
      <c r="K910" s="1412"/>
      <c r="L910" s="1412"/>
      <c r="M910" s="1412"/>
      <c r="N910" s="1412"/>
      <c r="O910" s="1412"/>
      <c r="P910" s="1412"/>
      <c r="Q910" s="1412"/>
      <c r="R910" s="1412"/>
      <c r="S910" s="1412"/>
      <c r="T910" s="1412"/>
      <c r="U910" s="1412"/>
      <c r="V910" s="1412"/>
      <c r="W910" s="1412"/>
      <c r="X910" s="1412"/>
      <c r="Y910" s="1412"/>
      <c r="Z910" s="1412"/>
      <c r="AA910" s="1412"/>
      <c r="AB910" s="1412"/>
      <c r="AC910" s="1412"/>
      <c r="AD910" s="1412"/>
      <c r="AE910" s="1412"/>
      <c r="AF910" s="1412"/>
      <c r="AG910" s="1412"/>
      <c r="AH910" s="1412"/>
      <c r="AI910" s="1412"/>
      <c r="AJ910" s="1412"/>
      <c r="AK910" s="1412"/>
      <c r="AL910" s="1412"/>
      <c r="AM910" s="1412"/>
      <c r="AN910" s="1412"/>
      <c r="AO910" s="1412"/>
      <c r="AP910" s="1412"/>
      <c r="AQ910" s="1412"/>
      <c r="AR910" s="1412"/>
      <c r="AS910" s="1412"/>
      <c r="AT910" s="141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9" t="s">
        <v>801</v>
      </c>
      <c r="G914" s="1570"/>
      <c r="H914" s="1570"/>
      <c r="I914" s="1570"/>
      <c r="J914" s="1570"/>
      <c r="K914" s="1570"/>
      <c r="L914" s="1570"/>
      <c r="M914" s="1570"/>
      <c r="N914" s="1570"/>
      <c r="O914" s="1570"/>
      <c r="P914" s="1570"/>
      <c r="Q914" s="1570"/>
      <c r="R914" s="1570"/>
      <c r="S914" s="1570"/>
      <c r="T914" s="1571"/>
      <c r="U914" s="1643" t="s">
        <v>31</v>
      </c>
      <c r="V914" s="1644"/>
      <c r="W914" s="1644"/>
      <c r="X914" s="1644"/>
      <c r="Y914" s="1644"/>
      <c r="Z914" s="164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377" t="s">
        <v>827</v>
      </c>
      <c r="G915" s="1378"/>
      <c r="H915" s="1378"/>
      <c r="I915" s="1378"/>
      <c r="J915" s="1378"/>
      <c r="K915" s="1378"/>
      <c r="L915" s="1378"/>
      <c r="M915" s="1378"/>
      <c r="N915" s="1378"/>
      <c r="O915" s="1378"/>
      <c r="P915" s="1378"/>
      <c r="Q915" s="1378"/>
      <c r="R915" s="1378"/>
      <c r="S915" s="1378"/>
      <c r="T915" s="1379"/>
      <c r="U915" s="1377"/>
      <c r="V915" s="1378"/>
      <c r="W915" s="1378"/>
      <c r="X915" s="1378"/>
      <c r="Y915" s="1378"/>
      <c r="Z915" s="137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380"/>
      <c r="G916" s="1381"/>
      <c r="H916" s="1381"/>
      <c r="I916" s="1381"/>
      <c r="J916" s="1381"/>
      <c r="K916" s="1381"/>
      <c r="L916" s="1381"/>
      <c r="M916" s="1381"/>
      <c r="N916" s="1381"/>
      <c r="O916" s="1381"/>
      <c r="P916" s="1381"/>
      <c r="Q916" s="1381"/>
      <c r="R916" s="1381"/>
      <c r="S916" s="1381"/>
      <c r="T916" s="1382"/>
      <c r="U916" s="1380"/>
      <c r="V916" s="1381"/>
      <c r="W916" s="1381"/>
      <c r="X916" s="1381"/>
      <c r="Y916" s="1381"/>
      <c r="Z916" s="1381"/>
      <c r="AA916" s="108"/>
      <c r="AB916" s="1740" t="s">
        <v>392</v>
      </c>
      <c r="AC916" s="1740"/>
      <c r="AD916" s="1740"/>
      <c r="AE916" s="174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455" t="s">
        <v>553</v>
      </c>
      <c r="V917" s="1456"/>
      <c r="W917" s="1456"/>
      <c r="X917" s="1456"/>
      <c r="Y917" s="1456"/>
      <c r="Z917" s="1457"/>
      <c r="AA917" s="1383">
        <v>40000000</v>
      </c>
      <c r="AB917" s="1384"/>
      <c r="AC917" s="1384"/>
      <c r="AD917" s="1384"/>
      <c r="AE917" s="1384"/>
      <c r="AF917" s="138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455" t="s">
        <v>553</v>
      </c>
      <c r="V918" s="1456"/>
      <c r="W918" s="1456"/>
      <c r="X918" s="1456"/>
      <c r="Y918" s="1456"/>
      <c r="Z918" s="1457"/>
      <c r="AA918" s="1383">
        <v>6000000</v>
      </c>
      <c r="AB918" s="1384"/>
      <c r="AC918" s="1384"/>
      <c r="AD918" s="1384"/>
      <c r="AE918" s="1384"/>
      <c r="AF918" s="138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455" t="s">
        <v>599</v>
      </c>
      <c r="V919" s="1456"/>
      <c r="W919" s="1456"/>
      <c r="X919" s="1456"/>
      <c r="Y919" s="1456"/>
      <c r="Z919" s="1457"/>
      <c r="AA919" s="1383"/>
      <c r="AB919" s="1384"/>
      <c r="AC919" s="1384"/>
      <c r="AD919" s="1384"/>
      <c r="AE919" s="1384"/>
      <c r="AF919" s="138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455" t="s">
        <v>599</v>
      </c>
      <c r="V920" s="1456"/>
      <c r="W920" s="1456"/>
      <c r="X920" s="1456"/>
      <c r="Y920" s="1456"/>
      <c r="Z920" s="1457"/>
      <c r="AA920" s="1383"/>
      <c r="AB920" s="1384"/>
      <c r="AC920" s="1384"/>
      <c r="AD920" s="1384"/>
      <c r="AE920" s="1384"/>
      <c r="AF920" s="138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455" t="s">
        <v>599</v>
      </c>
      <c r="V921" s="1456"/>
      <c r="W921" s="1456"/>
      <c r="X921" s="1456"/>
      <c r="Y921" s="1456"/>
      <c r="Z921" s="1457"/>
      <c r="AA921" s="1383"/>
      <c r="AB921" s="1384"/>
      <c r="AC921" s="1384"/>
      <c r="AD921" s="1384"/>
      <c r="AE921" s="1384"/>
      <c r="AF921" s="138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455" t="s">
        <v>599</v>
      </c>
      <c r="V922" s="1456"/>
      <c r="W922" s="1456"/>
      <c r="X922" s="1456"/>
      <c r="Y922" s="1456"/>
      <c r="Z922" s="1457"/>
      <c r="AA922" s="1383"/>
      <c r="AB922" s="1384"/>
      <c r="AC922" s="1384"/>
      <c r="AD922" s="1384"/>
      <c r="AE922" s="1384"/>
      <c r="AF922" s="138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455" t="s">
        <v>599</v>
      </c>
      <c r="V923" s="1456"/>
      <c r="W923" s="1456"/>
      <c r="X923" s="1456"/>
      <c r="Y923" s="1456"/>
      <c r="Z923" s="1457"/>
      <c r="AA923" s="1383"/>
      <c r="AB923" s="1384"/>
      <c r="AC923" s="1384"/>
      <c r="AD923" s="1384"/>
      <c r="AE923" s="1384"/>
      <c r="AF923" s="138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455" t="s">
        <v>599</v>
      </c>
      <c r="V924" s="1456"/>
      <c r="W924" s="1456"/>
      <c r="X924" s="1456"/>
      <c r="Y924" s="1456"/>
      <c r="Z924" s="1457"/>
      <c r="AA924" s="1383"/>
      <c r="AB924" s="1384"/>
      <c r="AC924" s="1384"/>
      <c r="AD924" s="1384"/>
      <c r="AE924" s="1384"/>
      <c r="AF924" s="138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06" t="s">
        <v>2553</v>
      </c>
      <c r="G925" s="1607"/>
      <c r="H925" s="1607"/>
      <c r="I925" s="1607"/>
      <c r="J925" s="1607"/>
      <c r="K925" s="1607"/>
      <c r="L925" s="1607"/>
      <c r="M925" s="1607"/>
      <c r="N925" s="1607"/>
      <c r="O925" s="1607"/>
      <c r="P925" s="1607"/>
      <c r="Q925" s="1607"/>
      <c r="R925" s="1607"/>
      <c r="S925" s="1607"/>
      <c r="T925" s="1608"/>
      <c r="U925" s="1455" t="s">
        <v>599</v>
      </c>
      <c r="V925" s="1456"/>
      <c r="W925" s="1456"/>
      <c r="X925" s="1456"/>
      <c r="Y925" s="1456"/>
      <c r="Z925" s="1457"/>
      <c r="AA925" s="1383"/>
      <c r="AB925" s="1384"/>
      <c r="AC925" s="1384"/>
      <c r="AD925" s="1384"/>
      <c r="AE925" s="1384"/>
      <c r="AF925" s="138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06" t="s">
        <v>687</v>
      </c>
      <c r="G926" s="1607"/>
      <c r="H926" s="1607"/>
      <c r="I926" s="1607"/>
      <c r="J926" s="1607"/>
      <c r="K926" s="1607"/>
      <c r="L926" s="1607"/>
      <c r="M926" s="1607"/>
      <c r="N926" s="1607"/>
      <c r="O926" s="1607"/>
      <c r="P926" s="1607"/>
      <c r="Q926" s="1607"/>
      <c r="R926" s="1607"/>
      <c r="S926" s="1607"/>
      <c r="T926" s="1608"/>
      <c r="U926" s="1455" t="s">
        <v>599</v>
      </c>
      <c r="V926" s="1456"/>
      <c r="W926" s="1456"/>
      <c r="X926" s="1456"/>
      <c r="Y926" s="1456"/>
      <c r="Z926" s="1457"/>
      <c r="AA926" s="1383"/>
      <c r="AB926" s="1384"/>
      <c r="AC926" s="1384"/>
      <c r="AD926" s="1384"/>
      <c r="AE926" s="1384"/>
      <c r="AF926" s="138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06" t="s">
        <v>2554</v>
      </c>
      <c r="G927" s="1607"/>
      <c r="H927" s="1607"/>
      <c r="I927" s="1607"/>
      <c r="J927" s="1607"/>
      <c r="K927" s="1607"/>
      <c r="L927" s="1607"/>
      <c r="M927" s="1607"/>
      <c r="N927" s="1607"/>
      <c r="O927" s="1607"/>
      <c r="P927" s="1607"/>
      <c r="Q927" s="1607"/>
      <c r="R927" s="1607"/>
      <c r="S927" s="1607"/>
      <c r="T927" s="1608"/>
      <c r="U927" s="1455" t="s">
        <v>599</v>
      </c>
      <c r="V927" s="1456"/>
      <c r="W927" s="1456"/>
      <c r="X927" s="1456"/>
      <c r="Y927" s="1456"/>
      <c r="Z927" s="1457"/>
      <c r="AA927" s="1383"/>
      <c r="AB927" s="1384"/>
      <c r="AC927" s="1384"/>
      <c r="AD927" s="1384"/>
      <c r="AE927" s="1384"/>
      <c r="AF927" s="138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06" t="s">
        <v>2555</v>
      </c>
      <c r="G928" s="1607"/>
      <c r="H928" s="1607"/>
      <c r="I928" s="1607"/>
      <c r="J928" s="1607"/>
      <c r="K928" s="1607"/>
      <c r="L928" s="1607"/>
      <c r="M928" s="1607"/>
      <c r="N928" s="1607"/>
      <c r="O928" s="1607"/>
      <c r="P928" s="1607"/>
      <c r="Q928" s="1607"/>
      <c r="R928" s="1607"/>
      <c r="S928" s="1607"/>
      <c r="T928" s="1608"/>
      <c r="U928" s="1455" t="s">
        <v>599</v>
      </c>
      <c r="V928" s="1456"/>
      <c r="W928" s="1456"/>
      <c r="X928" s="1456"/>
      <c r="Y928" s="1456"/>
      <c r="Z928" s="1457"/>
      <c r="AA928" s="1383"/>
      <c r="AB928" s="1384"/>
      <c r="AC928" s="1384"/>
      <c r="AD928" s="1384"/>
      <c r="AE928" s="1384"/>
      <c r="AF928" s="138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06" t="s">
        <v>2556</v>
      </c>
      <c r="G929" s="1607"/>
      <c r="H929" s="1607"/>
      <c r="I929" s="1607"/>
      <c r="J929" s="1607"/>
      <c r="K929" s="1607"/>
      <c r="L929" s="1607"/>
      <c r="M929" s="1607"/>
      <c r="N929" s="1607"/>
      <c r="O929" s="1607"/>
      <c r="P929" s="1607"/>
      <c r="Q929" s="1607"/>
      <c r="R929" s="1607"/>
      <c r="S929" s="1607"/>
      <c r="T929" s="1608"/>
      <c r="U929" s="1455" t="s">
        <v>599</v>
      </c>
      <c r="V929" s="1456"/>
      <c r="W929" s="1456"/>
      <c r="X929" s="1456"/>
      <c r="Y929" s="1456"/>
      <c r="Z929" s="1457"/>
      <c r="AA929" s="1383"/>
      <c r="AB929" s="1384"/>
      <c r="AC929" s="1384"/>
      <c r="AD929" s="1384"/>
      <c r="AE929" s="1384"/>
      <c r="AF929" s="138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06" t="s">
        <v>2557</v>
      </c>
      <c r="G930" s="1607"/>
      <c r="H930" s="1607"/>
      <c r="I930" s="1607"/>
      <c r="J930" s="1607"/>
      <c r="K930" s="1607"/>
      <c r="L930" s="1607"/>
      <c r="M930" s="1607"/>
      <c r="N930" s="1607"/>
      <c r="O930" s="1607"/>
      <c r="P930" s="1607"/>
      <c r="Q930" s="1607"/>
      <c r="R930" s="1607"/>
      <c r="S930" s="1607"/>
      <c r="T930" s="1608"/>
      <c r="U930" s="1455" t="s">
        <v>599</v>
      </c>
      <c r="V930" s="1456"/>
      <c r="W930" s="1456"/>
      <c r="X930" s="1456"/>
      <c r="Y930" s="1456"/>
      <c r="Z930" s="1457"/>
      <c r="AA930" s="1383"/>
      <c r="AB930" s="1384"/>
      <c r="AC930" s="1384"/>
      <c r="AD930" s="1384"/>
      <c r="AE930" s="1384"/>
      <c r="AF930" s="138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06" t="s">
        <v>2558</v>
      </c>
      <c r="G931" s="1607"/>
      <c r="H931" s="1607"/>
      <c r="I931" s="1607"/>
      <c r="J931" s="1607"/>
      <c r="K931" s="1607"/>
      <c r="L931" s="1607"/>
      <c r="M931" s="1607"/>
      <c r="N931" s="1607"/>
      <c r="O931" s="1607"/>
      <c r="P931" s="1607"/>
      <c r="Q931" s="1607"/>
      <c r="R931" s="1607"/>
      <c r="S931" s="1607"/>
      <c r="T931" s="1608"/>
      <c r="U931" s="1455" t="s">
        <v>599</v>
      </c>
      <c r="V931" s="1456"/>
      <c r="W931" s="1456"/>
      <c r="X931" s="1456"/>
      <c r="Y931" s="1456"/>
      <c r="Z931" s="1457"/>
      <c r="AA931" s="1383"/>
      <c r="AB931" s="1384"/>
      <c r="AC931" s="1384"/>
      <c r="AD931" s="1384"/>
      <c r="AE931" s="1384"/>
      <c r="AF931" s="138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455" t="s">
        <v>599</v>
      </c>
      <c r="V932" s="1456"/>
      <c r="W932" s="1456"/>
      <c r="X932" s="1456"/>
      <c r="Y932" s="1456"/>
      <c r="Z932" s="1457"/>
      <c r="AA932" s="1383"/>
      <c r="AB932" s="1384"/>
      <c r="AC932" s="1384"/>
      <c r="AD932" s="1384"/>
      <c r="AE932" s="1384"/>
      <c r="AF932" s="138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455" t="s">
        <v>599</v>
      </c>
      <c r="V933" s="1456"/>
      <c r="W933" s="1456"/>
      <c r="X933" s="1456"/>
      <c r="Y933" s="1456"/>
      <c r="Z933" s="1457"/>
      <c r="AA933" s="1383"/>
      <c r="AB933" s="1384"/>
      <c r="AC933" s="1384"/>
      <c r="AD933" s="1384"/>
      <c r="AE933" s="1384"/>
      <c r="AF933" s="138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455" t="s">
        <v>599</v>
      </c>
      <c r="V934" s="1456"/>
      <c r="W934" s="1456"/>
      <c r="X934" s="1456"/>
      <c r="Y934" s="1456"/>
      <c r="Z934" s="1457"/>
      <c r="AA934" s="1383"/>
      <c r="AB934" s="1384"/>
      <c r="AC934" s="1384"/>
      <c r="AD934" s="1384"/>
      <c r="AE934" s="1384"/>
      <c r="AF934" s="138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6" t="s">
        <v>2562</v>
      </c>
      <c r="G935" s="1737"/>
      <c r="H935" s="1737"/>
      <c r="I935" s="1737"/>
      <c r="J935" s="1737"/>
      <c r="K935" s="1737"/>
      <c r="L935" s="1737"/>
      <c r="M935" s="1737"/>
      <c r="N935" s="1737"/>
      <c r="O935" s="1737"/>
      <c r="P935" s="1737"/>
      <c r="Q935" s="1737"/>
      <c r="R935" s="1737"/>
      <c r="S935" s="1737"/>
      <c r="T935" s="1738"/>
      <c r="U935" s="1455" t="s">
        <v>599</v>
      </c>
      <c r="V935" s="1456"/>
      <c r="W935" s="1456"/>
      <c r="X935" s="1456"/>
      <c r="Y935" s="1456"/>
      <c r="Z935" s="1457"/>
      <c r="AA935" s="1383"/>
      <c r="AB935" s="1384"/>
      <c r="AC935" s="1384"/>
      <c r="AD935" s="1384"/>
      <c r="AE935" s="1384"/>
      <c r="AF935" s="138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6" t="s">
        <v>2563</v>
      </c>
      <c r="G936" s="1737"/>
      <c r="H936" s="1737"/>
      <c r="I936" s="1737"/>
      <c r="J936" s="1737"/>
      <c r="K936" s="1737"/>
      <c r="L936" s="1737"/>
      <c r="M936" s="1737"/>
      <c r="N936" s="1737"/>
      <c r="O936" s="1737"/>
      <c r="P936" s="1737"/>
      <c r="Q936" s="1737"/>
      <c r="R936" s="1737"/>
      <c r="S936" s="1737"/>
      <c r="T936" s="1738"/>
      <c r="U936" s="1455" t="s">
        <v>599</v>
      </c>
      <c r="V936" s="1456"/>
      <c r="W936" s="1456"/>
      <c r="X936" s="1456"/>
      <c r="Y936" s="1456"/>
      <c r="Z936" s="1457"/>
      <c r="AA936" s="1383"/>
      <c r="AB936" s="1384"/>
      <c r="AC936" s="1384"/>
      <c r="AD936" s="1384"/>
      <c r="AE936" s="1384"/>
      <c r="AF936" s="138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06" t="s">
        <v>2559</v>
      </c>
      <c r="G937" s="1607"/>
      <c r="H937" s="1607"/>
      <c r="I937" s="1607"/>
      <c r="J937" s="1607"/>
      <c r="K937" s="1607"/>
      <c r="L937" s="1607"/>
      <c r="M937" s="1607"/>
      <c r="N937" s="1607"/>
      <c r="O937" s="1607"/>
      <c r="P937" s="1607"/>
      <c r="Q937" s="1607"/>
      <c r="R937" s="1607"/>
      <c r="S937" s="1607"/>
      <c r="T937" s="1608"/>
      <c r="U937" s="1455" t="s">
        <v>599</v>
      </c>
      <c r="V937" s="1456"/>
      <c r="W937" s="1456"/>
      <c r="X937" s="1456"/>
      <c r="Y937" s="1456"/>
      <c r="Z937" s="1457"/>
      <c r="AA937" s="1383"/>
      <c r="AB937" s="1384"/>
      <c r="AC937" s="1384"/>
      <c r="AD937" s="1384"/>
      <c r="AE937" s="1384"/>
      <c r="AF937" s="138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06" t="s">
        <v>2560</v>
      </c>
      <c r="G938" s="1607"/>
      <c r="H938" s="1607"/>
      <c r="I938" s="1607"/>
      <c r="J938" s="1607"/>
      <c r="K938" s="1607"/>
      <c r="L938" s="1607"/>
      <c r="M938" s="1607"/>
      <c r="N938" s="1607"/>
      <c r="O938" s="1607"/>
      <c r="P938" s="1607"/>
      <c r="Q938" s="1607"/>
      <c r="R938" s="1607"/>
      <c r="S938" s="1607"/>
      <c r="T938" s="1608"/>
      <c r="U938" s="1455" t="s">
        <v>599</v>
      </c>
      <c r="V938" s="1456"/>
      <c r="W938" s="1456"/>
      <c r="X938" s="1456"/>
      <c r="Y938" s="1456"/>
      <c r="Z938" s="1457"/>
      <c r="AA938" s="1383"/>
      <c r="AB938" s="1384"/>
      <c r="AC938" s="1384"/>
      <c r="AD938" s="1384"/>
      <c r="AE938" s="1384"/>
      <c r="AF938" s="138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06" t="s">
        <v>2561</v>
      </c>
      <c r="G939" s="1607"/>
      <c r="H939" s="1607"/>
      <c r="I939" s="1607"/>
      <c r="J939" s="1607"/>
      <c r="K939" s="1607"/>
      <c r="L939" s="1607"/>
      <c r="M939" s="1607"/>
      <c r="N939" s="1607"/>
      <c r="O939" s="1607"/>
      <c r="P939" s="1607"/>
      <c r="Q939" s="1607"/>
      <c r="R939" s="1607"/>
      <c r="S939" s="1607"/>
      <c r="T939" s="1608"/>
      <c r="U939" s="1455" t="s">
        <v>599</v>
      </c>
      <c r="V939" s="1456"/>
      <c r="W939" s="1456"/>
      <c r="X939" s="1456"/>
      <c r="Y939" s="1456"/>
      <c r="Z939" s="1457"/>
      <c r="AA939" s="1383"/>
      <c r="AB939" s="1384"/>
      <c r="AC939" s="1384"/>
      <c r="AD939" s="1384"/>
      <c r="AE939" s="1384"/>
      <c r="AF939" s="138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455" t="s">
        <v>599</v>
      </c>
      <c r="V940" s="1456"/>
      <c r="W940" s="1456"/>
      <c r="X940" s="1456"/>
      <c r="Y940" s="1456"/>
      <c r="Z940" s="1457"/>
      <c r="AA940" s="1383"/>
      <c r="AB940" s="1384"/>
      <c r="AC940" s="1384"/>
      <c r="AD940" s="1384"/>
      <c r="AE940" s="1384"/>
      <c r="AF940" s="138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6" t="s">
        <v>2564</v>
      </c>
      <c r="G941" s="1737"/>
      <c r="H941" s="1737"/>
      <c r="I941" s="1737"/>
      <c r="J941" s="1737"/>
      <c r="K941" s="1737"/>
      <c r="L941" s="1737"/>
      <c r="M941" s="1737"/>
      <c r="N941" s="1737"/>
      <c r="O941" s="1737"/>
      <c r="P941" s="1737"/>
      <c r="Q941" s="1737"/>
      <c r="R941" s="1737"/>
      <c r="S941" s="1737"/>
      <c r="T941" s="1738"/>
      <c r="U941" s="1455" t="s">
        <v>599</v>
      </c>
      <c r="V941" s="1456"/>
      <c r="W941" s="1456"/>
      <c r="X941" s="1456"/>
      <c r="Y941" s="1456"/>
      <c r="Z941" s="1457"/>
      <c r="AA941" s="1383"/>
      <c r="AB941" s="1384"/>
      <c r="AC941" s="1384"/>
      <c r="AD941" s="1384"/>
      <c r="AE941" s="1384"/>
      <c r="AF941" s="138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455" t="s">
        <v>599</v>
      </c>
      <c r="V942" s="1456"/>
      <c r="W942" s="1456"/>
      <c r="X942" s="1456"/>
      <c r="Y942" s="1456"/>
      <c r="Z942" s="1457"/>
      <c r="AA942" s="1383"/>
      <c r="AB942" s="1384"/>
      <c r="AC942" s="1384"/>
      <c r="AD942" s="1384"/>
      <c r="AE942" s="1384"/>
      <c r="AF942" s="138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6" t="s">
        <v>2565</v>
      </c>
      <c r="G943" s="1737"/>
      <c r="H943" s="1737"/>
      <c r="I943" s="1737"/>
      <c r="J943" s="1737"/>
      <c r="K943" s="1737"/>
      <c r="L943" s="1737"/>
      <c r="M943" s="1737"/>
      <c r="N943" s="1737"/>
      <c r="O943" s="1737"/>
      <c r="P943" s="1737"/>
      <c r="Q943" s="1737"/>
      <c r="R943" s="1737"/>
      <c r="S943" s="1737"/>
      <c r="T943" s="1738"/>
      <c r="U943" s="1455" t="s">
        <v>599</v>
      </c>
      <c r="V943" s="1456"/>
      <c r="W943" s="1456"/>
      <c r="X943" s="1456"/>
      <c r="Y943" s="1456"/>
      <c r="Z943" s="1457"/>
      <c r="AA943" s="1383"/>
      <c r="AB943" s="1384"/>
      <c r="AC943" s="1384"/>
      <c r="AD943" s="1384"/>
      <c r="AE943" s="1384"/>
      <c r="AF943" s="138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455" t="s">
        <v>677</v>
      </c>
      <c r="Q944" s="1456"/>
      <c r="R944" s="1456"/>
      <c r="S944" s="1456"/>
      <c r="T944" s="1457"/>
      <c r="U944" s="1455" t="s">
        <v>599</v>
      </c>
      <c r="V944" s="1456"/>
      <c r="W944" s="1456"/>
      <c r="X944" s="1456"/>
      <c r="Y944" s="1456"/>
      <c r="Z944" s="1457"/>
      <c r="AA944" s="1383"/>
      <c r="AB944" s="1384"/>
      <c r="AC944" s="1384"/>
      <c r="AD944" s="1384"/>
      <c r="AE944" s="1384"/>
      <c r="AF944" s="138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06" t="s">
        <v>2552</v>
      </c>
      <c r="G945" s="1607"/>
      <c r="H945" s="1608"/>
      <c r="I945" s="1409" t="s">
        <v>335</v>
      </c>
      <c r="J945" s="1410"/>
      <c r="K945" s="1410"/>
      <c r="L945" s="1410"/>
      <c r="M945" s="1410"/>
      <c r="N945" s="1410"/>
      <c r="O945" s="1410"/>
      <c r="P945" s="1410"/>
      <c r="Q945" s="1410"/>
      <c r="R945" s="1410"/>
      <c r="S945" s="1410"/>
      <c r="T945" s="1411"/>
      <c r="U945" s="1455" t="s">
        <v>599</v>
      </c>
      <c r="V945" s="1456"/>
      <c r="W945" s="1456"/>
      <c r="X945" s="1456"/>
      <c r="Y945" s="1456"/>
      <c r="Z945" s="1457"/>
      <c r="AA945" s="1383"/>
      <c r="AB945" s="1384"/>
      <c r="AC945" s="1384"/>
      <c r="AD945" s="1384"/>
      <c r="AE945" s="1384"/>
      <c r="AF945" s="138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409" t="s">
        <v>335</v>
      </c>
      <c r="J946" s="1410"/>
      <c r="K946" s="1410"/>
      <c r="L946" s="1410"/>
      <c r="M946" s="1410"/>
      <c r="N946" s="1410"/>
      <c r="O946" s="1410"/>
      <c r="P946" s="1410"/>
      <c r="Q946" s="1410"/>
      <c r="R946" s="1410"/>
      <c r="S946" s="1410"/>
      <c r="T946" s="1411"/>
      <c r="U946" s="1455" t="s">
        <v>599</v>
      </c>
      <c r="V946" s="1456"/>
      <c r="W946" s="1456"/>
      <c r="X946" s="1456"/>
      <c r="Y946" s="1456"/>
      <c r="Z946" s="1457"/>
      <c r="AA946" s="1383"/>
      <c r="AB946" s="1384"/>
      <c r="AC946" s="1384"/>
      <c r="AD946" s="1384"/>
      <c r="AE946" s="1384"/>
      <c r="AF946" s="138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72" t="s">
        <v>335</v>
      </c>
      <c r="J947" s="1573"/>
      <c r="K947" s="1573"/>
      <c r="L947" s="1573"/>
      <c r="M947" s="1573"/>
      <c r="N947" s="1573"/>
      <c r="O947" s="1573"/>
      <c r="P947" s="1573"/>
      <c r="Q947" s="1573"/>
      <c r="R947" s="1573"/>
      <c r="S947" s="1573"/>
      <c r="T947" s="1574"/>
      <c r="U947" s="1455" t="s">
        <v>599</v>
      </c>
      <c r="V947" s="1456"/>
      <c r="W947" s="1456"/>
      <c r="X947" s="1456"/>
      <c r="Y947" s="1456"/>
      <c r="Z947" s="1457"/>
      <c r="AA947" s="1383"/>
      <c r="AB947" s="1384"/>
      <c r="AC947" s="1384"/>
      <c r="AD947" s="1384"/>
      <c r="AE947" s="1384"/>
      <c r="AF947" s="138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409" t="s">
        <v>2732</v>
      </c>
      <c r="J948" s="1573"/>
      <c r="K948" s="1573"/>
      <c r="L948" s="1573"/>
      <c r="M948" s="1573"/>
      <c r="N948" s="1573"/>
      <c r="O948" s="1573"/>
      <c r="P948" s="1573"/>
      <c r="Q948" s="1573"/>
      <c r="R948" s="1573"/>
      <c r="S948" s="1573"/>
      <c r="T948" s="1574"/>
      <c r="U948" s="1455" t="s">
        <v>553</v>
      </c>
      <c r="V948" s="1456"/>
      <c r="W948" s="1456"/>
      <c r="X948" s="1456"/>
      <c r="Y948" s="1456"/>
      <c r="Z948" s="1457"/>
      <c r="AA948" s="1383">
        <v>7000000</v>
      </c>
      <c r="AB948" s="1384"/>
      <c r="AC948" s="1384"/>
      <c r="AD948" s="1384"/>
      <c r="AE948" s="1384"/>
      <c r="AF948" s="138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72" t="s">
        <v>335</v>
      </c>
      <c r="J949" s="1573"/>
      <c r="K949" s="1573"/>
      <c r="L949" s="1573"/>
      <c r="M949" s="1573"/>
      <c r="N949" s="1573"/>
      <c r="O949" s="1573"/>
      <c r="P949" s="1573"/>
      <c r="Q949" s="1573"/>
      <c r="R949" s="1573"/>
      <c r="S949" s="1573"/>
      <c r="T949" s="1574"/>
      <c r="U949" s="1455" t="s">
        <v>599</v>
      </c>
      <c r="V949" s="1456"/>
      <c r="W949" s="1456"/>
      <c r="X949" s="1456"/>
      <c r="Y949" s="1456"/>
      <c r="Z949" s="1457"/>
      <c r="AA949" s="1383"/>
      <c r="AB949" s="1384"/>
      <c r="AC949" s="1384"/>
      <c r="AD949" s="1384"/>
      <c r="AE949" s="1384"/>
      <c r="AF949" s="138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2">
        <v>45524</v>
      </c>
      <c r="N954" s="1593"/>
      <c r="O954" s="1593"/>
      <c r="P954" s="1593"/>
      <c r="Q954" s="1593"/>
      <c r="R954" s="1593"/>
      <c r="S954" s="1594"/>
      <c r="U954" s="66" t="s">
        <v>11</v>
      </c>
      <c r="V954" s="5"/>
      <c r="W954" s="5"/>
      <c r="X954" s="5"/>
      <c r="Y954" s="5"/>
      <c r="Z954" s="5"/>
      <c r="AA954" s="5"/>
      <c r="AB954" s="5"/>
      <c r="AC954" s="5"/>
      <c r="AD954" s="46"/>
      <c r="AE954" s="1592"/>
      <c r="AF954" s="1593"/>
      <c r="AG954" s="1593"/>
      <c r="AH954" s="1593"/>
      <c r="AI954" s="1593"/>
      <c r="AJ954" s="1593"/>
      <c r="AK954" s="159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1" t="s">
        <v>2733</v>
      </c>
      <c r="N955" s="1506"/>
      <c r="O955" s="1506"/>
      <c r="P955" s="1506"/>
      <c r="Q955" s="1506"/>
      <c r="R955" s="1506"/>
      <c r="S955" s="1602"/>
      <c r="U955" s="66" t="s">
        <v>12</v>
      </c>
      <c r="V955" s="5"/>
      <c r="W955" s="5"/>
      <c r="X955" s="5"/>
      <c r="Y955" s="5"/>
      <c r="Z955" s="5"/>
      <c r="AA955" s="5"/>
      <c r="AB955" s="5"/>
      <c r="AC955" s="5"/>
      <c r="AD955" s="46"/>
      <c r="AE955" s="1601"/>
      <c r="AF955" s="1506"/>
      <c r="AG955" s="1506"/>
      <c r="AH955" s="1506"/>
      <c r="AI955" s="1506"/>
      <c r="AJ955" s="1506"/>
      <c r="AK955" s="160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03" t="s">
        <v>308</v>
      </c>
      <c r="K956" s="1604"/>
      <c r="L956" s="1604"/>
      <c r="M956" s="1604"/>
      <c r="N956" s="1604"/>
      <c r="O956" s="1604"/>
      <c r="P956" s="1604"/>
      <c r="Q956" s="1604"/>
      <c r="R956" s="1604"/>
      <c r="S956" s="1605"/>
      <c r="U956" s="66" t="s">
        <v>892</v>
      </c>
      <c r="V956" s="5"/>
      <c r="W956" s="5"/>
      <c r="AB956" s="1603" t="s">
        <v>308</v>
      </c>
      <c r="AC956" s="1604"/>
      <c r="AD956" s="1604"/>
      <c r="AE956" s="1604"/>
      <c r="AF956" s="1604"/>
      <c r="AG956" s="1604"/>
      <c r="AH956" s="1604"/>
      <c r="AI956" s="1604"/>
      <c r="AJ956" s="1604"/>
      <c r="AK956" s="160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16">
        <v>0.5</v>
      </c>
      <c r="N957" s="1617"/>
      <c r="O957" s="1617"/>
      <c r="P957" s="1617"/>
      <c r="Q957" s="1617"/>
      <c r="R957" s="1617"/>
      <c r="S957" s="1618"/>
      <c r="U957" s="66" t="s">
        <v>13</v>
      </c>
      <c r="V957" s="5"/>
      <c r="W957" s="5"/>
      <c r="X957" s="5"/>
      <c r="Y957" s="5"/>
      <c r="Z957" s="5"/>
      <c r="AA957" s="5"/>
      <c r="AB957" s="5"/>
      <c r="AC957" s="5"/>
      <c r="AD957" s="46"/>
      <c r="AE957" s="1724"/>
      <c r="AF957" s="1617"/>
      <c r="AG957" s="1617"/>
      <c r="AH957" s="1617"/>
      <c r="AI957" s="1617"/>
      <c r="AJ957" s="1617"/>
      <c r="AK957" s="161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422">
        <v>58</v>
      </c>
      <c r="N958" s="1423"/>
      <c r="O958" s="1423"/>
      <c r="P958" s="1423"/>
      <c r="Q958" s="1423"/>
      <c r="R958" s="1423"/>
      <c r="S958" s="1424"/>
      <c r="U958" s="66" t="s">
        <v>14</v>
      </c>
      <c r="V958" s="5"/>
      <c r="W958" s="5"/>
      <c r="X958" s="5"/>
      <c r="Y958" s="5"/>
      <c r="Z958" s="5"/>
      <c r="AA958" s="5"/>
      <c r="AB958" s="5"/>
      <c r="AC958" s="5"/>
      <c r="AD958" s="46"/>
      <c r="AE958" s="1422"/>
      <c r="AF958" s="1423"/>
      <c r="AG958" s="1423"/>
      <c r="AH958" s="1423"/>
      <c r="AI958" s="1423"/>
      <c r="AJ958" s="1423"/>
      <c r="AK958" s="1424"/>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383">
        <v>1350000</v>
      </c>
      <c r="N959" s="1384"/>
      <c r="O959" s="1384"/>
      <c r="P959" s="1384"/>
      <c r="Q959" s="1384"/>
      <c r="R959" s="1384"/>
      <c r="S959" s="1385"/>
      <c r="U959" s="66" t="s">
        <v>15</v>
      </c>
      <c r="V959" s="5"/>
      <c r="W959" s="5"/>
      <c r="X959" s="5"/>
      <c r="Y959" s="5"/>
      <c r="Z959" s="5"/>
      <c r="AA959" s="5"/>
      <c r="AB959" s="5"/>
      <c r="AC959" s="5"/>
      <c r="AD959" s="46"/>
      <c r="AE959" s="1383"/>
      <c r="AF959" s="1384"/>
      <c r="AG959" s="1384"/>
      <c r="AH959" s="1384"/>
      <c r="AI959" s="1384"/>
      <c r="AJ959" s="1384"/>
      <c r="AK959" s="138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383">
        <f>M959*15</f>
        <v>20250000</v>
      </c>
      <c r="N960" s="1384"/>
      <c r="O960" s="1384"/>
      <c r="P960" s="1384"/>
      <c r="Q960" s="1384"/>
      <c r="R960" s="1384"/>
      <c r="S960" s="1385"/>
      <c r="U960" s="66" t="s">
        <v>16</v>
      </c>
      <c r="V960" s="5"/>
      <c r="W960" s="5"/>
      <c r="X960" s="5"/>
      <c r="Y960" s="5"/>
      <c r="Z960" s="5"/>
      <c r="AA960" s="5"/>
      <c r="AB960" s="5"/>
      <c r="AC960" s="5"/>
      <c r="AD960" s="46"/>
      <c r="AE960" s="1383"/>
      <c r="AF960" s="1384"/>
      <c r="AG960" s="1384"/>
      <c r="AH960" s="1384"/>
      <c r="AI960" s="1384"/>
      <c r="AJ960" s="1384"/>
      <c r="AK960" s="138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13">
        <v>15</v>
      </c>
      <c r="N961" s="1614"/>
      <c r="O961" s="1614"/>
      <c r="P961" s="1614"/>
      <c r="Q961" s="1614"/>
      <c r="R961" s="1614"/>
      <c r="S961" s="1615"/>
      <c r="U961" s="121" t="s">
        <v>1773</v>
      </c>
      <c r="V961" s="5"/>
      <c r="W961" s="5"/>
      <c r="X961" s="5"/>
      <c r="Y961" s="5"/>
      <c r="Z961" s="5"/>
      <c r="AA961" s="5"/>
      <c r="AB961" s="5"/>
      <c r="AC961" s="5"/>
      <c r="AD961" s="46"/>
      <c r="AE961" s="1613"/>
      <c r="AF961" s="1614"/>
      <c r="AG961" s="1614"/>
      <c r="AH961" s="1614"/>
      <c r="AI961" s="1614"/>
      <c r="AJ961" s="1614"/>
      <c r="AK961" s="161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66"/>
      <c r="N966" s="1567"/>
      <c r="O966" s="1567"/>
      <c r="P966" s="1567"/>
      <c r="Q966" s="1567"/>
      <c r="R966" s="1567"/>
      <c r="S966" s="1568"/>
      <c r="T966" s="66" t="s">
        <v>799</v>
      </c>
      <c r="U966" s="5"/>
      <c r="V966" s="5"/>
      <c r="W966" s="5"/>
      <c r="X966" s="5"/>
      <c r="Y966" s="5"/>
      <c r="Z966" s="46"/>
      <c r="AA966" s="1566"/>
      <c r="AB966" s="1567"/>
      <c r="AC966" s="1567"/>
      <c r="AD966" s="1567"/>
      <c r="AE966" s="1567"/>
      <c r="AF966" s="1567"/>
      <c r="AG966" s="156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66"/>
      <c r="N967" s="1567"/>
      <c r="O967" s="1567"/>
      <c r="P967" s="1567"/>
      <c r="Q967" s="1567"/>
      <c r="R967" s="1567"/>
      <c r="S967" s="1568"/>
      <c r="T967" s="66" t="s">
        <v>798</v>
      </c>
      <c r="U967" s="5"/>
      <c r="V967" s="5"/>
      <c r="W967" s="5"/>
      <c r="X967" s="5"/>
      <c r="Y967" s="5"/>
      <c r="Z967" s="46"/>
      <c r="AA967" s="1566"/>
      <c r="AB967" s="1567"/>
      <c r="AC967" s="1567"/>
      <c r="AD967" s="1567"/>
      <c r="AE967" s="1567"/>
      <c r="AF967" s="1567"/>
      <c r="AG967" s="156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33" t="s">
        <v>599</v>
      </c>
      <c r="N968" s="1734"/>
      <c r="O968" s="1734"/>
      <c r="P968" s="1734"/>
      <c r="Q968" s="1734"/>
      <c r="R968" s="1734"/>
      <c r="S968" s="1735"/>
      <c r="T968" s="45" t="s">
        <v>338</v>
      </c>
      <c r="U968" s="5"/>
      <c r="V968" s="5"/>
      <c r="W968" s="5"/>
      <c r="X968" s="5"/>
      <c r="Y968" s="5"/>
      <c r="Z968" s="46"/>
      <c r="AA968" s="1566"/>
      <c r="AB968" s="1567"/>
      <c r="AC968" s="1567"/>
      <c r="AD968" s="1567"/>
      <c r="AE968" s="1567"/>
      <c r="AF968" s="1567"/>
      <c r="AG968" s="156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66"/>
      <c r="N969" s="1567"/>
      <c r="O969" s="1567"/>
      <c r="P969" s="1567"/>
      <c r="Q969" s="1567"/>
      <c r="R969" s="1567"/>
      <c r="S969" s="1568"/>
      <c r="T969" s="45" t="s">
        <v>339</v>
      </c>
      <c r="U969" s="5"/>
      <c r="V969" s="5"/>
      <c r="W969" s="5"/>
      <c r="X969" s="5"/>
      <c r="Y969" s="5"/>
      <c r="Z969" s="46"/>
      <c r="AA969" s="1566"/>
      <c r="AB969" s="1567"/>
      <c r="AC969" s="1567"/>
      <c r="AD969" s="1567"/>
      <c r="AE969" s="1567"/>
      <c r="AF969" s="1567"/>
      <c r="AG969" s="156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66"/>
      <c r="N970" s="1567"/>
      <c r="O970" s="1567"/>
      <c r="P970" s="1567"/>
      <c r="Q970" s="1567"/>
      <c r="R970" s="1567"/>
      <c r="S970" s="1568"/>
      <c r="T970" s="45" t="s">
        <v>377</v>
      </c>
      <c r="U970" s="5"/>
      <c r="V970" s="5"/>
      <c r="W970" s="5"/>
      <c r="X970" s="5"/>
      <c r="Y970" s="5"/>
      <c r="Z970" s="46"/>
      <c r="AA970" s="1566"/>
      <c r="AB970" s="1567"/>
      <c r="AC970" s="1567"/>
      <c r="AD970" s="1567"/>
      <c r="AE970" s="1567"/>
      <c r="AF970" s="1567"/>
      <c r="AG970" s="156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03" t="s">
        <v>308</v>
      </c>
      <c r="N971" s="1604"/>
      <c r="O971" s="1604"/>
      <c r="P971" s="1604"/>
      <c r="Q971" s="1604"/>
      <c r="R971" s="1604"/>
      <c r="S971" s="1605"/>
      <c r="T971" s="1619"/>
      <c r="U971" s="1620"/>
      <c r="V971" s="1620"/>
      <c r="W971" s="1620"/>
      <c r="X971" s="1620"/>
      <c r="Y971" s="1620"/>
      <c r="Z971" s="1621"/>
      <c r="AA971" s="1566"/>
      <c r="AB971" s="1567"/>
      <c r="AC971" s="1567"/>
      <c r="AD971" s="1567"/>
      <c r="AE971" s="1567"/>
      <c r="AF971" s="1567"/>
      <c r="AG971" s="156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66"/>
      <c r="N972" s="1567"/>
      <c r="O972" s="1567"/>
      <c r="P972" s="1567"/>
      <c r="Q972" s="1567"/>
      <c r="R972" s="1567"/>
      <c r="S972" s="1568"/>
      <c r="T972" s="1619"/>
      <c r="U972" s="1620"/>
      <c r="V972" s="1620"/>
      <c r="W972" s="1620"/>
      <c r="X972" s="1620"/>
      <c r="Y972" s="1620"/>
      <c r="Z972" s="1621"/>
      <c r="AA972" s="1566"/>
      <c r="AB972" s="1567"/>
      <c r="AC972" s="1567"/>
      <c r="AD972" s="1567"/>
      <c r="AE972" s="1567"/>
      <c r="AF972" s="1567"/>
      <c r="AG972" s="156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9" t="s">
        <v>677</v>
      </c>
      <c r="P973" s="1700"/>
      <c r="Q973" s="92"/>
      <c r="R973" s="92"/>
      <c r="S973" s="93"/>
      <c r="T973" s="41" t="s">
        <v>170</v>
      </c>
      <c r="U973" s="42"/>
      <c r="V973" s="42"/>
      <c r="W973" s="1654" t="s">
        <v>335</v>
      </c>
      <c r="X973" s="1655"/>
      <c r="Y973" s="1655"/>
      <c r="Z973" s="1655"/>
      <c r="AA973" s="1655"/>
      <c r="AB973" s="1655"/>
      <c r="AC973" s="1655"/>
      <c r="AD973" s="1655"/>
      <c r="AE973" s="1655"/>
      <c r="AF973" s="1655"/>
      <c r="AG973" s="165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2" t="s">
        <v>33</v>
      </c>
      <c r="G974" s="1474"/>
      <c r="H974" s="1474"/>
      <c r="I974" s="1474"/>
      <c r="J974" s="1474"/>
      <c r="K974" s="1474"/>
      <c r="L974" s="1474"/>
      <c r="M974" s="1566"/>
      <c r="N974" s="1567"/>
      <c r="O974" s="1567"/>
      <c r="P974" s="1567"/>
      <c r="Q974" s="1567"/>
      <c r="R974" s="1567"/>
      <c r="S974" s="1568"/>
      <c r="T974" s="47"/>
      <c r="U974" s="48"/>
      <c r="V974" s="48"/>
      <c r="W974" s="48"/>
      <c r="X974" s="48"/>
      <c r="Y974" s="48"/>
      <c r="Z974" s="124" t="s">
        <v>134</v>
      </c>
      <c r="AA974" s="1651"/>
      <c r="AB974" s="1652"/>
      <c r="AC974" s="1652"/>
      <c r="AD974" s="1652"/>
      <c r="AE974" s="1652"/>
      <c r="AF974" s="1652"/>
      <c r="AG974" s="165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2"/>
      <c r="BH975" s="1662"/>
      <c r="BI975" s="1662"/>
      <c r="BJ975" s="1662"/>
      <c r="BK975" s="1662"/>
      <c r="BL975" s="166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12" t="s">
        <v>556</v>
      </c>
      <c r="B978" s="1412"/>
      <c r="C978" s="1412"/>
      <c r="D978" s="1412"/>
      <c r="E978" s="1412"/>
      <c r="F978" s="1412"/>
      <c r="G978" s="1412"/>
      <c r="H978" s="1412"/>
      <c r="I978" s="1412"/>
      <c r="J978" s="1412"/>
      <c r="K978" s="1412"/>
      <c r="L978" s="1412"/>
      <c r="M978" s="1412"/>
      <c r="N978" s="1412"/>
      <c r="O978" s="1412"/>
      <c r="P978" s="1412"/>
      <c r="Q978" s="1412"/>
      <c r="R978" s="1412"/>
      <c r="S978" s="1412"/>
      <c r="T978" s="1412"/>
      <c r="U978" s="1412"/>
      <c r="V978" s="1412"/>
      <c r="W978" s="1412"/>
      <c r="X978" s="1412"/>
      <c r="Y978" s="1412"/>
      <c r="Z978" s="1412"/>
      <c r="AA978" s="1412"/>
      <c r="AB978" s="1412"/>
      <c r="AC978" s="1412"/>
      <c r="AD978" s="1412"/>
      <c r="AE978" s="1412"/>
      <c r="AF978" s="1412"/>
      <c r="AG978" s="1412"/>
      <c r="AH978" s="1412"/>
      <c r="AI978" s="1412"/>
      <c r="AJ978" s="1412"/>
      <c r="AK978" s="1412"/>
      <c r="AL978" s="1412"/>
      <c r="AM978" s="1412"/>
      <c r="AN978" s="1412"/>
      <c r="AO978" s="1412"/>
      <c r="AP978" s="1412"/>
      <c r="AQ978" s="1412"/>
      <c r="AR978" s="1412"/>
      <c r="AS978" s="1412"/>
      <c r="AT978" s="141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12"/>
      <c r="B979" s="1412"/>
      <c r="C979" s="1412"/>
      <c r="D979" s="1412"/>
      <c r="E979" s="1412"/>
      <c r="F979" s="1412"/>
      <c r="G979" s="1412"/>
      <c r="H979" s="1412"/>
      <c r="I979" s="1412"/>
      <c r="J979" s="1412"/>
      <c r="K979" s="1412"/>
      <c r="L979" s="1412"/>
      <c r="M979" s="1412"/>
      <c r="N979" s="1412"/>
      <c r="O979" s="1412"/>
      <c r="P979" s="1412"/>
      <c r="Q979" s="1412"/>
      <c r="R979" s="1412"/>
      <c r="S979" s="1412"/>
      <c r="T979" s="1412"/>
      <c r="U979" s="1412"/>
      <c r="V979" s="1412"/>
      <c r="W979" s="1412"/>
      <c r="X979" s="1412"/>
      <c r="Y979" s="1412"/>
      <c r="Z979" s="1412"/>
      <c r="AA979" s="1412"/>
      <c r="AB979" s="1412"/>
      <c r="AC979" s="1412"/>
      <c r="AD979" s="1412"/>
      <c r="AE979" s="1412"/>
      <c r="AF979" s="1412"/>
      <c r="AG979" s="1412"/>
      <c r="AH979" s="1412"/>
      <c r="AI979" s="1412"/>
      <c r="AJ979" s="1412"/>
      <c r="AK979" s="1412"/>
      <c r="AL979" s="1412"/>
      <c r="AM979" s="1412"/>
      <c r="AN979" s="1412"/>
      <c r="AO979" s="1412"/>
      <c r="AP979" s="1412"/>
      <c r="AQ979" s="1412"/>
      <c r="AR979" s="1412"/>
      <c r="AS979" s="1412"/>
      <c r="AT979" s="141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12"/>
      <c r="B980" s="1412"/>
      <c r="C980" s="1412"/>
      <c r="D980" s="1412"/>
      <c r="E980" s="1412"/>
      <c r="F980" s="1412"/>
      <c r="G980" s="1412"/>
      <c r="H980" s="1412"/>
      <c r="I980" s="1412"/>
      <c r="J980" s="1412"/>
      <c r="K980" s="1412"/>
      <c r="L980" s="1412"/>
      <c r="M980" s="1412"/>
      <c r="N980" s="1412"/>
      <c r="O980" s="1412"/>
      <c r="P980" s="1412"/>
      <c r="Q980" s="1412"/>
      <c r="R980" s="1412"/>
      <c r="S980" s="1412"/>
      <c r="T980" s="1412"/>
      <c r="U980" s="1412"/>
      <c r="V980" s="1412"/>
      <c r="W980" s="1412"/>
      <c r="X980" s="1412"/>
      <c r="Y980" s="1412"/>
      <c r="Z980" s="1412"/>
      <c r="AA980" s="1412"/>
      <c r="AB980" s="1412"/>
      <c r="AC980" s="1412"/>
      <c r="AD980" s="1412"/>
      <c r="AE980" s="1412"/>
      <c r="AF980" s="1412"/>
      <c r="AG980" s="1412"/>
      <c r="AH980" s="1412"/>
      <c r="AI980" s="1412"/>
      <c r="AJ980" s="1412"/>
      <c r="AK980" s="1412"/>
      <c r="AL980" s="1412"/>
      <c r="AM980" s="1412"/>
      <c r="AN980" s="1412"/>
      <c r="AO980" s="1412"/>
      <c r="AP980" s="1412"/>
      <c r="AQ980" s="1412"/>
      <c r="AR980" s="1412"/>
      <c r="AS980" s="1412"/>
      <c r="AT980" s="141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75" t="s">
        <v>646</v>
      </c>
      <c r="E984" s="1576"/>
      <c r="F984" s="1576"/>
      <c r="G984" s="1576"/>
      <c r="H984" s="1576"/>
      <c r="I984" s="1576"/>
      <c r="J984" s="1576"/>
      <c r="K984" s="1576"/>
      <c r="L984" s="1576"/>
      <c r="M984" s="1576"/>
      <c r="N984" s="1576"/>
      <c r="O984" s="1576"/>
      <c r="P984" s="1576"/>
      <c r="Q984" s="1577"/>
      <c r="R984" s="1575" t="s">
        <v>647</v>
      </c>
      <c r="S984" s="1576"/>
      <c r="T984" s="1576"/>
      <c r="U984" s="1576"/>
      <c r="V984" s="1576"/>
      <c r="W984" s="1576"/>
      <c r="X984" s="1576"/>
      <c r="Y984" s="1576"/>
      <c r="Z984" s="1576"/>
      <c r="AA984" s="1577"/>
      <c r="AB984" s="1575" t="s">
        <v>648</v>
      </c>
      <c r="AC984" s="1576"/>
      <c r="AD984" s="1576"/>
      <c r="AE984" s="1576"/>
      <c r="AF984" s="1576"/>
      <c r="AG984" s="1576"/>
      <c r="AH984" s="1576"/>
      <c r="AI984" s="1577"/>
      <c r="AJ984" s="1575" t="s">
        <v>649</v>
      </c>
      <c r="AK984" s="1576"/>
      <c r="AL984" s="1576"/>
      <c r="AM984" s="1576"/>
      <c r="AN984" s="1576"/>
      <c r="AO984" s="1576"/>
      <c r="AP984" s="1576"/>
      <c r="AQ984" s="157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38" t="s">
        <v>641</v>
      </c>
      <c r="E985" s="1439"/>
      <c r="F985" s="1439"/>
      <c r="G985" s="1439"/>
      <c r="H985" s="1439"/>
      <c r="I985" s="1439"/>
      <c r="J985" s="1439"/>
      <c r="K985" s="1439"/>
      <c r="L985" s="1439"/>
      <c r="M985" s="1439"/>
      <c r="N985" s="1439"/>
      <c r="O985" s="1439"/>
      <c r="P985" s="1439"/>
      <c r="Q985" s="1440"/>
      <c r="R985" s="1612">
        <f>IF(ISNA(IF($BN$796="4%",(INDEX($BP$806:$BT$863,MATCH($CB$796,$BO$806:$BO$863,0),MATCH(D985,$BP$805:$BT$805,0))),(INDEX($BW$806:$CA$863,MATCH($CB$796,$BV$806:$BV$863,0),MATCH(D985,$BW$805:$CA$805,0))))),0,IF($BN$796="4%",(INDEX($BP$806:$BT$863,MATCH($CB$796,$BO$806:$BO$863,0),MATCH(D985,$BP$805:$BT$805,0))),(INDEX($BW$806:$CA$863,MATCH($CB$796,$BV$806:$BV$863,0),MATCH(D985,$BW$805:$CA$805,0)))))</f>
        <v>437727</v>
      </c>
      <c r="S985" s="1612"/>
      <c r="T985" s="1612"/>
      <c r="U985" s="1612"/>
      <c r="V985" s="1612"/>
      <c r="W985" s="1612"/>
      <c r="X985" s="1612"/>
      <c r="Y985" s="1612"/>
      <c r="Z985" s="1612"/>
      <c r="AA985" s="1612"/>
      <c r="AB985" s="1441">
        <f>BN660</f>
        <v>45</v>
      </c>
      <c r="AC985" s="1442"/>
      <c r="AD985" s="1442"/>
      <c r="AE985" s="1442"/>
      <c r="AF985" s="1442"/>
      <c r="AG985" s="1442"/>
      <c r="AH985" s="1442"/>
      <c r="AI985" s="1443"/>
      <c r="AJ985" s="1540">
        <f>IF(ISERROR((R985*AB985)),0,(R985*AB985))</f>
        <v>19697715</v>
      </c>
      <c r="AK985" s="1541"/>
      <c r="AL985" s="1541"/>
      <c r="AM985" s="1541"/>
      <c r="AN985" s="1541"/>
      <c r="AO985" s="1541"/>
      <c r="AP985" s="1541"/>
      <c r="AQ985" s="154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38" t="s">
        <v>326</v>
      </c>
      <c r="E986" s="1439"/>
      <c r="F986" s="1439"/>
      <c r="G986" s="1439"/>
      <c r="H986" s="1439"/>
      <c r="I986" s="1439"/>
      <c r="J986" s="1439"/>
      <c r="K986" s="1439"/>
      <c r="L986" s="1439"/>
      <c r="M986" s="1439"/>
      <c r="N986" s="1439"/>
      <c r="O986" s="1439"/>
      <c r="P986" s="1439"/>
      <c r="Q986" s="1440"/>
      <c r="R986" s="1612">
        <f>IF(ISNA(IF($BN$796="4%",(INDEX($BP$806:$BT$863,MATCH($CB$796,$BO$806:$BO$863,0),MATCH(D986,$BP$805:$BT$805,0))),(INDEX($BW$806:$CA$863,MATCH($CB$796,$BV$806:$BV$863,0),MATCH(D986,$BW$805:$CA$805,0))))),0,IF($BN$796="4%",(INDEX($BP$806:$BT$863,MATCH($CB$796,$BO$806:$BO$863,0),MATCH(D986,$BP$805:$BT$805,0))),(INDEX($BW$806:$CA$863,MATCH($CB$796,$BV$806:$BV$863,0),MATCH(D986,$BW$805:$CA$805,0)))))</f>
        <v>504695</v>
      </c>
      <c r="S986" s="1612"/>
      <c r="T986" s="1612"/>
      <c r="U986" s="1612"/>
      <c r="V986" s="1612"/>
      <c r="W986" s="1612"/>
      <c r="X986" s="1612"/>
      <c r="Y986" s="1612"/>
      <c r="Z986" s="1612"/>
      <c r="AA986" s="1612"/>
      <c r="AB986" s="1441">
        <f>BS660</f>
        <v>71</v>
      </c>
      <c r="AC986" s="1442"/>
      <c r="AD986" s="1442"/>
      <c r="AE986" s="1442"/>
      <c r="AF986" s="1442"/>
      <c r="AG986" s="1442"/>
      <c r="AH986" s="1442"/>
      <c r="AI986" s="1443"/>
      <c r="AJ986" s="1540">
        <f>IF(ISERROR((R986*AB986)),0,(R986*AB986))</f>
        <v>35833345</v>
      </c>
      <c r="AK986" s="1541"/>
      <c r="AL986" s="1541"/>
      <c r="AM986" s="1541"/>
      <c r="AN986" s="1541"/>
      <c r="AO986" s="1541"/>
      <c r="AP986" s="1541"/>
      <c r="AQ986" s="154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38" t="s">
        <v>163</v>
      </c>
      <c r="E987" s="1439"/>
      <c r="F987" s="1439"/>
      <c r="G987" s="1439"/>
      <c r="H987" s="1439"/>
      <c r="I987" s="1439"/>
      <c r="J987" s="1439"/>
      <c r="K987" s="1439"/>
      <c r="L987" s="1439"/>
      <c r="M987" s="1439"/>
      <c r="N987" s="1439"/>
      <c r="O987" s="1439"/>
      <c r="P987" s="1439"/>
      <c r="Q987" s="1440"/>
      <c r="R987" s="1612">
        <f>IF(ISNA(IF($BN$796="4%",(INDEX($BP$806:$BT$863,MATCH($CB$796,$BO$806:$BO$863,0),MATCH(D987,$BP$805:$BT$805,0))),(INDEX($BW$806:$CA$863,MATCH($CB$796,$BV$806:$BV$863,0),MATCH(D987,$BW$805:$CA$805,0))))),0,IF($BN$796="4%",(INDEX($BP$806:$BT$863,MATCH($CB$796,$BO$806:$BO$863,0),MATCH(D987,$BP$805:$BT$805,0))),(INDEX($BW$806:$CA$863,MATCH($CB$796,$BV$806:$BV$863,0),MATCH(D987,$BW$805:$CA$805,0)))))</f>
        <v>608800</v>
      </c>
      <c r="S987" s="1612"/>
      <c r="T987" s="1612"/>
      <c r="U987" s="1612"/>
      <c r="V987" s="1612"/>
      <c r="W987" s="1612"/>
      <c r="X987" s="1612"/>
      <c r="Y987" s="1612"/>
      <c r="Z987" s="1612"/>
      <c r="AA987" s="1612"/>
      <c r="AB987" s="1441">
        <f>BX660</f>
        <v>1</v>
      </c>
      <c r="AC987" s="1442"/>
      <c r="AD987" s="1442"/>
      <c r="AE987" s="1442"/>
      <c r="AF987" s="1442"/>
      <c r="AG987" s="1442"/>
      <c r="AH987" s="1442"/>
      <c r="AI987" s="1443"/>
      <c r="AJ987" s="1540">
        <f>IF(ISERROR((R987*AB987)),0,(R987*AB987))</f>
        <v>608800</v>
      </c>
      <c r="AK987" s="1541"/>
      <c r="AL987" s="1541"/>
      <c r="AM987" s="1541"/>
      <c r="AN987" s="1541"/>
      <c r="AO987" s="1541"/>
      <c r="AP987" s="1541"/>
      <c r="AQ987" s="154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38" t="s">
        <v>164</v>
      </c>
      <c r="E988" s="1439"/>
      <c r="F988" s="1439"/>
      <c r="G988" s="1439"/>
      <c r="H988" s="1439"/>
      <c r="I988" s="1439"/>
      <c r="J988" s="1439"/>
      <c r="K988" s="1439"/>
      <c r="L988" s="1439"/>
      <c r="M988" s="1439"/>
      <c r="N988" s="1439"/>
      <c r="O988" s="1439"/>
      <c r="P988" s="1439"/>
      <c r="Q988" s="1440"/>
      <c r="R988" s="1612">
        <f>IF(ISNA(IF($BN$796="4%",(INDEX($BP$806:$BT$863,MATCH($CB$796,$BO$806:$BO$863,0),MATCH(D988,$BP$805:$BT$805,0))),(INDEX($BW$806:$CA$863,MATCH($CB$796,$BV$806:$BV$863,0),MATCH(D988,$BW$805:$CA$805,0))))),0,IF($BN$796="4%",(INDEX($BP$806:$BT$863,MATCH($CB$796,$BO$806:$BO$863,0),MATCH(D988,$BP$805:$BT$805,0))),(INDEX($BW$806:$CA$863,MATCH($CB$796,$BV$806:$BV$863,0),MATCH(D988,$BW$805:$CA$805,0)))))</f>
        <v>779264</v>
      </c>
      <c r="S988" s="1612"/>
      <c r="T988" s="1612"/>
      <c r="U988" s="1612"/>
      <c r="V988" s="1612"/>
      <c r="W988" s="1612"/>
      <c r="X988" s="1612"/>
      <c r="Y988" s="1612"/>
      <c r="Z988" s="1612"/>
      <c r="AA988" s="1612"/>
      <c r="AB988" s="1441">
        <f>CC660</f>
        <v>0</v>
      </c>
      <c r="AC988" s="1442"/>
      <c r="AD988" s="1442"/>
      <c r="AE988" s="1442"/>
      <c r="AF988" s="1442"/>
      <c r="AG988" s="1442"/>
      <c r="AH988" s="1442"/>
      <c r="AI988" s="1443"/>
      <c r="AJ988" s="1540">
        <f>IF(ISERROR((R988*AB988)),0,(R988*AB988))</f>
        <v>0</v>
      </c>
      <c r="AK988" s="1541"/>
      <c r="AL988" s="1541"/>
      <c r="AM988" s="1541"/>
      <c r="AN988" s="1541"/>
      <c r="AO988" s="1541"/>
      <c r="AP988" s="1541"/>
      <c r="AQ988" s="154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38" t="s">
        <v>468</v>
      </c>
      <c r="E989" s="1439"/>
      <c r="F989" s="1439"/>
      <c r="G989" s="1439"/>
      <c r="H989" s="1439"/>
      <c r="I989" s="1439"/>
      <c r="J989" s="1439"/>
      <c r="K989" s="1439"/>
      <c r="L989" s="1439"/>
      <c r="M989" s="1439"/>
      <c r="N989" s="1439"/>
      <c r="O989" s="1439"/>
      <c r="P989" s="1439"/>
      <c r="Q989" s="1440"/>
      <c r="R989" s="1612">
        <f>IF(ISNA(IF($BN$796="4%",(INDEX($BP$806:$BT$863,MATCH($CB$796,$BO$806:$BO$863,0),MATCH(D989,$BP$805:$BT$805,0))),(INDEX($BW$806:$CA$863,MATCH($CB$796,$BV$806:$BV$863,0),MATCH(D989,$BW$805:$CA$805,0))))),0,IF($BN$796="4%",(INDEX($BP$806:$BT$863,MATCH($CB$796,$BO$806:$BO$863,0),MATCH(D989,$BP$805:$BT$805,0))),(INDEX($BW$806:$CA$863,MATCH($CB$796,$BV$806:$BV$863,0),MATCH(D989,$BW$805:$CA$805,0)))))</f>
        <v>868149</v>
      </c>
      <c r="S989" s="1612"/>
      <c r="T989" s="1612"/>
      <c r="U989" s="1612"/>
      <c r="V989" s="1612"/>
      <c r="W989" s="1612"/>
      <c r="X989" s="1612"/>
      <c r="Y989" s="1612"/>
      <c r="Z989" s="1612"/>
      <c r="AA989" s="1612"/>
      <c r="AB989" s="1441">
        <f>CM660+CH660</f>
        <v>0</v>
      </c>
      <c r="AC989" s="1442"/>
      <c r="AD989" s="1442"/>
      <c r="AE989" s="1442"/>
      <c r="AF989" s="1442"/>
      <c r="AG989" s="1442"/>
      <c r="AH989" s="1442"/>
      <c r="AI989" s="1443"/>
      <c r="AJ989" s="1540">
        <f>IF(ISERROR((R989*AB989)),0,(R989*AB989))</f>
        <v>0</v>
      </c>
      <c r="AK989" s="1541"/>
      <c r="AL989" s="1541"/>
      <c r="AM989" s="1541"/>
      <c r="AN989" s="1541"/>
      <c r="AO989" s="1541"/>
      <c r="AP989" s="1541"/>
      <c r="AQ989" s="154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24" t="s">
        <v>800</v>
      </c>
      <c r="C990" s="1625"/>
      <c r="D990" s="1625"/>
      <c r="E990" s="1625"/>
      <c r="F990" s="1625"/>
      <c r="G990" s="1625"/>
      <c r="H990" s="1625"/>
      <c r="I990" s="1625"/>
      <c r="J990" s="1625"/>
      <c r="K990" s="1625"/>
      <c r="L990" s="1625"/>
      <c r="M990" s="1625"/>
      <c r="N990" s="1625"/>
      <c r="O990" s="1625"/>
      <c r="P990" s="1625"/>
      <c r="Q990" s="1625"/>
      <c r="R990" s="1625"/>
      <c r="S990" s="1625"/>
      <c r="T990" s="1625"/>
      <c r="U990" s="1625"/>
      <c r="V990" s="1625"/>
      <c r="W990" s="1625"/>
      <c r="X990" s="1625"/>
      <c r="Y990" s="1625"/>
      <c r="Z990" s="1625"/>
      <c r="AA990" s="1626"/>
      <c r="AB990" s="1441">
        <f>SUM(AB985:AI989)</f>
        <v>117</v>
      </c>
      <c r="AC990" s="1442"/>
      <c r="AD990" s="1442"/>
      <c r="AE990" s="1442"/>
      <c r="AF990" s="1442"/>
      <c r="AG990" s="1442"/>
      <c r="AH990" s="1442"/>
      <c r="AI990" s="1443"/>
      <c r="AJ990" s="1540"/>
      <c r="AK990" s="1541"/>
      <c r="AL990" s="1541"/>
      <c r="AM990" s="1541"/>
      <c r="AN990" s="1541"/>
      <c r="AO990" s="1541"/>
      <c r="AP990" s="1541"/>
      <c r="AQ990" s="154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609" t="s">
        <v>520</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0"/>
      <c r="AB991" s="1610"/>
      <c r="AC991" s="1610"/>
      <c r="AD991" s="1610"/>
      <c r="AE991" s="1610"/>
      <c r="AF991" s="1610"/>
      <c r="AG991" s="1610"/>
      <c r="AH991" s="1610"/>
      <c r="AI991" s="1611"/>
      <c r="AJ991" s="1540">
        <f>SUM(AJ985:AQ989)</f>
        <v>56139860</v>
      </c>
      <c r="AK991" s="1541"/>
      <c r="AL991" s="1541"/>
      <c r="AM991" s="1541"/>
      <c r="AN991" s="1541"/>
      <c r="AO991" s="1541"/>
      <c r="AP991" s="1541"/>
      <c r="AQ991" s="154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43"/>
      <c r="C992" s="1544"/>
      <c r="D992" s="1544"/>
      <c r="E992" s="1544"/>
      <c r="F992" s="1544"/>
      <c r="G992" s="1544"/>
      <c r="H992" s="1544"/>
      <c r="I992" s="1544"/>
      <c r="J992" s="1544"/>
      <c r="K992" s="1544"/>
      <c r="L992" s="1544"/>
      <c r="M992" s="1544"/>
      <c r="N992" s="1544"/>
      <c r="O992" s="1544"/>
      <c r="P992" s="1544"/>
      <c r="Q992" s="1544"/>
      <c r="R992" s="1544"/>
      <c r="S992" s="1544"/>
      <c r="T992" s="1544"/>
      <c r="U992" s="1544"/>
      <c r="V992" s="1544"/>
      <c r="W992" s="1544"/>
      <c r="X992" s="1544"/>
      <c r="Y992" s="1544"/>
      <c r="Z992" s="1544"/>
      <c r="AA992" s="1544"/>
      <c r="AB992" s="1544"/>
      <c r="AC992" s="1544"/>
      <c r="AD992" s="1544"/>
      <c r="AE992" s="1545"/>
      <c r="AF992" s="1549" t="s">
        <v>674</v>
      </c>
      <c r="AG992" s="1550"/>
      <c r="AH992" s="1550"/>
      <c r="AI992" s="1551"/>
      <c r="AJ992" s="1543"/>
      <c r="AK992" s="1544"/>
      <c r="AL992" s="1544"/>
      <c r="AM992" s="1544"/>
      <c r="AN992" s="1544"/>
      <c r="AO992" s="1544"/>
      <c r="AP992" s="1544"/>
      <c r="AQ992" s="154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56" t="s">
        <v>1326</v>
      </c>
      <c r="E993" s="1557"/>
      <c r="F993" s="1557"/>
      <c r="G993" s="1557"/>
      <c r="H993" s="1557"/>
      <c r="I993" s="1557"/>
      <c r="J993" s="1557"/>
      <c r="K993" s="1557"/>
      <c r="L993" s="1557"/>
      <c r="M993" s="1557"/>
      <c r="N993" s="1557"/>
      <c r="O993" s="1557"/>
      <c r="P993" s="1557"/>
      <c r="Q993" s="1557"/>
      <c r="R993" s="1557"/>
      <c r="S993" s="1557"/>
      <c r="T993" s="1557"/>
      <c r="U993" s="1557"/>
      <c r="V993" s="1557"/>
      <c r="W993" s="1557"/>
      <c r="X993" s="1557"/>
      <c r="Y993" s="1557"/>
      <c r="Z993" s="1557"/>
      <c r="AA993" s="1557"/>
      <c r="AB993" s="1557"/>
      <c r="AC993" s="1557"/>
      <c r="AD993" s="1557"/>
      <c r="AE993" s="1558"/>
      <c r="AF993" s="79"/>
      <c r="AG993" s="1552" t="s">
        <v>677</v>
      </c>
      <c r="AH993" s="1553"/>
      <c r="AI993" s="87"/>
      <c r="AJ993" s="1446">
        <f>ROUND(IF(AND(AG993="yes",D999&gt;0),AJ991*0.2,0),0)</f>
        <v>0</v>
      </c>
      <c r="AK993" s="1447"/>
      <c r="AL993" s="1447"/>
      <c r="AM993" s="1447"/>
      <c r="AN993" s="1447"/>
      <c r="AO993" s="1447"/>
      <c r="AP993" s="1447"/>
      <c r="AQ993" s="144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5" t="s">
        <v>2566</v>
      </c>
      <c r="E994" s="1596"/>
      <c r="F994" s="1596"/>
      <c r="G994" s="1596"/>
      <c r="H994" s="1596"/>
      <c r="I994" s="1596"/>
      <c r="J994" s="1596"/>
      <c r="K994" s="1596"/>
      <c r="L994" s="1596"/>
      <c r="M994" s="1596"/>
      <c r="N994" s="1596"/>
      <c r="O994" s="1596"/>
      <c r="P994" s="1596"/>
      <c r="Q994" s="1596"/>
      <c r="R994" s="1596"/>
      <c r="S994" s="1596"/>
      <c r="T994" s="1596"/>
      <c r="U994" s="1596"/>
      <c r="V994" s="1596"/>
      <c r="W994" s="1596"/>
      <c r="X994" s="1596"/>
      <c r="Y994" s="1596"/>
      <c r="Z994" s="1596"/>
      <c r="AA994" s="1596"/>
      <c r="AB994" s="1596"/>
      <c r="AC994" s="1596"/>
      <c r="AD994" s="1596"/>
      <c r="AE994" s="1597"/>
      <c r="AF994" s="73"/>
      <c r="AG994" s="14"/>
      <c r="AH994" s="14"/>
      <c r="AI994" s="83"/>
      <c r="AJ994" s="1449"/>
      <c r="AK994" s="1450"/>
      <c r="AL994" s="1450"/>
      <c r="AM994" s="1450"/>
      <c r="AN994" s="1450"/>
      <c r="AO994" s="1450"/>
      <c r="AP994" s="1450"/>
      <c r="AQ994" s="145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5"/>
      <c r="E995" s="1596"/>
      <c r="F995" s="1596"/>
      <c r="G995" s="1596"/>
      <c r="H995" s="1596"/>
      <c r="I995" s="1596"/>
      <c r="J995" s="1596"/>
      <c r="K995" s="1596"/>
      <c r="L995" s="1596"/>
      <c r="M995" s="1596"/>
      <c r="N995" s="1596"/>
      <c r="O995" s="1596"/>
      <c r="P995" s="1596"/>
      <c r="Q995" s="1596"/>
      <c r="R995" s="1596"/>
      <c r="S995" s="1596"/>
      <c r="T995" s="1596"/>
      <c r="U995" s="1596"/>
      <c r="V995" s="1596"/>
      <c r="W995" s="1596"/>
      <c r="X995" s="1596"/>
      <c r="Y995" s="1596"/>
      <c r="Z995" s="1596"/>
      <c r="AA995" s="1596"/>
      <c r="AB995" s="1596"/>
      <c r="AC995" s="1596"/>
      <c r="AD995" s="1596"/>
      <c r="AE995" s="1597"/>
      <c r="AF995" s="73"/>
      <c r="AG995" s="14"/>
      <c r="AH995" s="14"/>
      <c r="AI995" s="83"/>
      <c r="AJ995" s="1449"/>
      <c r="AK995" s="1450"/>
      <c r="AL995" s="1450"/>
      <c r="AM995" s="1450"/>
      <c r="AN995" s="1450"/>
      <c r="AO995" s="1450"/>
      <c r="AP995" s="1450"/>
      <c r="AQ995" s="145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5"/>
      <c r="E996" s="1596"/>
      <c r="F996" s="1596"/>
      <c r="G996" s="1596"/>
      <c r="H996" s="1596"/>
      <c r="I996" s="1596"/>
      <c r="J996" s="1596"/>
      <c r="K996" s="1596"/>
      <c r="L996" s="1596"/>
      <c r="M996" s="1596"/>
      <c r="N996" s="1596"/>
      <c r="O996" s="1596"/>
      <c r="P996" s="1596"/>
      <c r="Q996" s="1596"/>
      <c r="R996" s="1596"/>
      <c r="S996" s="1596"/>
      <c r="T996" s="1596"/>
      <c r="U996" s="1596"/>
      <c r="V996" s="1596"/>
      <c r="W996" s="1596"/>
      <c r="X996" s="1596"/>
      <c r="Y996" s="1596"/>
      <c r="Z996" s="1596"/>
      <c r="AA996" s="1596"/>
      <c r="AB996" s="1596"/>
      <c r="AC996" s="1596"/>
      <c r="AD996" s="1596"/>
      <c r="AE996" s="1597"/>
      <c r="AF996" s="73"/>
      <c r="AG996" s="14"/>
      <c r="AH996" s="14"/>
      <c r="AI996" s="83"/>
      <c r="AJ996" s="1449"/>
      <c r="AK996" s="1450"/>
      <c r="AL996" s="1450"/>
      <c r="AM996" s="1450"/>
      <c r="AN996" s="1450"/>
      <c r="AO996" s="1450"/>
      <c r="AP996" s="1450"/>
      <c r="AQ996" s="145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5"/>
      <c r="E997" s="1596"/>
      <c r="F997" s="1596"/>
      <c r="G997" s="1596"/>
      <c r="H997" s="1596"/>
      <c r="I997" s="1596"/>
      <c r="J997" s="1596"/>
      <c r="K997" s="1596"/>
      <c r="L997" s="1596"/>
      <c r="M997" s="1596"/>
      <c r="N997" s="1596"/>
      <c r="O997" s="1596"/>
      <c r="P997" s="1596"/>
      <c r="Q997" s="1596"/>
      <c r="R997" s="1596"/>
      <c r="S997" s="1596"/>
      <c r="T997" s="1596"/>
      <c r="U997" s="1596"/>
      <c r="V997" s="1596"/>
      <c r="W997" s="1596"/>
      <c r="X997" s="1596"/>
      <c r="Y997" s="1596"/>
      <c r="Z997" s="1596"/>
      <c r="AA997" s="1596"/>
      <c r="AB997" s="1596"/>
      <c r="AC997" s="1596"/>
      <c r="AD997" s="1596"/>
      <c r="AE997" s="1597"/>
      <c r="AF997" s="73"/>
      <c r="AG997" s="14"/>
      <c r="AH997" s="14"/>
      <c r="AI997" s="83"/>
      <c r="AJ997" s="1449"/>
      <c r="AK997" s="1450"/>
      <c r="AL997" s="1450"/>
      <c r="AM997" s="1450"/>
      <c r="AN997" s="1450"/>
      <c r="AO997" s="1450"/>
      <c r="AP997" s="1450"/>
      <c r="AQ997" s="145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8" t="s">
        <v>2567</v>
      </c>
      <c r="E998" s="1599"/>
      <c r="F998" s="1599"/>
      <c r="G998" s="1599"/>
      <c r="H998" s="1599"/>
      <c r="I998" s="1599"/>
      <c r="J998" s="1599"/>
      <c r="K998" s="1599"/>
      <c r="L998" s="1599"/>
      <c r="M998" s="1599"/>
      <c r="N998" s="1599"/>
      <c r="O998" s="1599"/>
      <c r="P998" s="1599"/>
      <c r="Q998" s="1599"/>
      <c r="R998" s="1599"/>
      <c r="S998" s="1599"/>
      <c r="T998" s="1599"/>
      <c r="U998" s="1599"/>
      <c r="V998" s="1599"/>
      <c r="W998" s="1599"/>
      <c r="X998" s="1599"/>
      <c r="Y998" s="1599"/>
      <c r="Z998" s="1599"/>
      <c r="AA998" s="1599"/>
      <c r="AB998" s="1599"/>
      <c r="AC998" s="1599"/>
      <c r="AD998" s="1599"/>
      <c r="AE998" s="1600"/>
      <c r="AF998" s="73"/>
      <c r="AG998" s="14"/>
      <c r="AH998" s="14"/>
      <c r="AI998" s="83"/>
      <c r="AJ998" s="1449"/>
      <c r="AK998" s="1450"/>
      <c r="AL998" s="1450"/>
      <c r="AM998" s="1450"/>
      <c r="AN998" s="1450"/>
      <c r="AO998" s="1450"/>
      <c r="AP998" s="1450"/>
      <c r="AQ998" s="145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27"/>
      <c r="E999" s="1628"/>
      <c r="F999" s="1628"/>
      <c r="G999" s="1628"/>
      <c r="H999" s="1628"/>
      <c r="I999" s="1628"/>
      <c r="J999" s="1628"/>
      <c r="K999" s="1628"/>
      <c r="L999" s="1628"/>
      <c r="M999" s="1628"/>
      <c r="N999" s="1628"/>
      <c r="O999" s="1628"/>
      <c r="P999" s="1628"/>
      <c r="Q999" s="1628"/>
      <c r="R999" s="1628"/>
      <c r="S999" s="1628"/>
      <c r="T999" s="1628"/>
      <c r="U999" s="1628"/>
      <c r="V999" s="1628"/>
      <c r="W999" s="1628"/>
      <c r="X999" s="1628"/>
      <c r="Y999" s="1628"/>
      <c r="Z999" s="1628"/>
      <c r="AA999" s="1628"/>
      <c r="AB999" s="1628"/>
      <c r="AC999" s="1628"/>
      <c r="AD999" s="1628"/>
      <c r="AE999" s="1629"/>
      <c r="AF999" s="77"/>
      <c r="AG999" s="7"/>
      <c r="AH999" s="7"/>
      <c r="AI999" s="78"/>
      <c r="AJ999" s="1452"/>
      <c r="AK999" s="1453"/>
      <c r="AL999" s="1453"/>
      <c r="AM999" s="1453"/>
      <c r="AN999" s="1453"/>
      <c r="AO999" s="1453"/>
      <c r="AP999" s="1453"/>
      <c r="AQ999" s="145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46" t="s">
        <v>1394</v>
      </c>
      <c r="E1000" s="1547"/>
      <c r="F1000" s="1547"/>
      <c r="G1000" s="1547"/>
      <c r="H1000" s="1547"/>
      <c r="I1000" s="1547"/>
      <c r="J1000" s="1547"/>
      <c r="K1000" s="1547"/>
      <c r="L1000" s="1547"/>
      <c r="M1000" s="1547"/>
      <c r="N1000" s="1547"/>
      <c r="O1000" s="1547"/>
      <c r="P1000" s="1547"/>
      <c r="Q1000" s="1547"/>
      <c r="R1000" s="1547"/>
      <c r="S1000" s="1547"/>
      <c r="T1000" s="1547"/>
      <c r="U1000" s="1547"/>
      <c r="V1000" s="1547"/>
      <c r="W1000" s="1547"/>
      <c r="X1000" s="1547"/>
      <c r="Y1000" s="1547"/>
      <c r="Z1000" s="1547"/>
      <c r="AA1000" s="1547"/>
      <c r="AB1000" s="1547"/>
      <c r="AC1000" s="1547"/>
      <c r="AD1000" s="1547"/>
      <c r="AE1000" s="1548"/>
      <c r="AF1000" s="79"/>
      <c r="AG1000" s="1554" t="s">
        <v>677</v>
      </c>
      <c r="AH1000" s="1555"/>
      <c r="AI1000" s="87"/>
      <c r="AJ1000" s="1446">
        <f>ROUND(IF(AG1000="yes",AJ991*0.05,0),0)</f>
        <v>0</v>
      </c>
      <c r="AK1000" s="1447"/>
      <c r="AL1000" s="1447"/>
      <c r="AM1000" s="1447"/>
      <c r="AN1000" s="1447"/>
      <c r="AO1000" s="1447"/>
      <c r="AP1000" s="1447"/>
      <c r="AQ1000" s="144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5" t="s">
        <v>1392</v>
      </c>
      <c r="E1001" s="1596"/>
      <c r="F1001" s="1596"/>
      <c r="G1001" s="1596"/>
      <c r="H1001" s="1596"/>
      <c r="I1001" s="1596"/>
      <c r="J1001" s="1596"/>
      <c r="K1001" s="1596"/>
      <c r="L1001" s="1596"/>
      <c r="M1001" s="1596"/>
      <c r="N1001" s="1596"/>
      <c r="O1001" s="1596"/>
      <c r="P1001" s="1596"/>
      <c r="Q1001" s="1596"/>
      <c r="R1001" s="1596"/>
      <c r="S1001" s="1596"/>
      <c r="T1001" s="1596"/>
      <c r="U1001" s="1596"/>
      <c r="V1001" s="1596"/>
      <c r="W1001" s="1596"/>
      <c r="X1001" s="1596"/>
      <c r="Y1001" s="1596"/>
      <c r="Z1001" s="1596"/>
      <c r="AA1001" s="1596"/>
      <c r="AB1001" s="1596"/>
      <c r="AC1001" s="1596"/>
      <c r="AD1001" s="1596"/>
      <c r="AE1001" s="1597"/>
      <c r="AF1001" s="73"/>
      <c r="AG1001" s="14"/>
      <c r="AH1001" s="14"/>
      <c r="AI1001" s="83"/>
      <c r="AJ1001" s="1449"/>
      <c r="AK1001" s="1450"/>
      <c r="AL1001" s="1450"/>
      <c r="AM1001" s="1450"/>
      <c r="AN1001" s="1450"/>
      <c r="AO1001" s="1450"/>
      <c r="AP1001" s="1450"/>
      <c r="AQ1001" s="145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5"/>
      <c r="E1002" s="1596"/>
      <c r="F1002" s="1596"/>
      <c r="G1002" s="1596"/>
      <c r="H1002" s="1596"/>
      <c r="I1002" s="1596"/>
      <c r="J1002" s="1596"/>
      <c r="K1002" s="1596"/>
      <c r="L1002" s="1596"/>
      <c r="M1002" s="1596"/>
      <c r="N1002" s="1596"/>
      <c r="O1002" s="1596"/>
      <c r="P1002" s="1596"/>
      <c r="Q1002" s="1596"/>
      <c r="R1002" s="1596"/>
      <c r="S1002" s="1596"/>
      <c r="T1002" s="1596"/>
      <c r="U1002" s="1596"/>
      <c r="V1002" s="1596"/>
      <c r="W1002" s="1596"/>
      <c r="X1002" s="1596"/>
      <c r="Y1002" s="1596"/>
      <c r="Z1002" s="1596"/>
      <c r="AA1002" s="1596"/>
      <c r="AB1002" s="1596"/>
      <c r="AC1002" s="1596"/>
      <c r="AD1002" s="1596"/>
      <c r="AE1002" s="1597"/>
      <c r="AF1002" s="73"/>
      <c r="AG1002" s="14"/>
      <c r="AH1002" s="14"/>
      <c r="AI1002" s="83"/>
      <c r="AJ1002" s="1449"/>
      <c r="AK1002" s="1450"/>
      <c r="AL1002" s="1450"/>
      <c r="AM1002" s="1450"/>
      <c r="AN1002" s="1450"/>
      <c r="AO1002" s="1450"/>
      <c r="AP1002" s="1450"/>
      <c r="AQ1002" s="1451"/>
      <c r="AR1002" s="68"/>
      <c r="AS1002" s="68"/>
      <c r="AT1002" s="68"/>
      <c r="AU1002" s="68"/>
      <c r="AV1002" s="68"/>
      <c r="AW1002" s="68"/>
      <c r="AX1002" s="68"/>
      <c r="AY1002" s="949">
        <f>G753+O797</f>
        <v>116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5"/>
      <c r="E1003" s="1596"/>
      <c r="F1003" s="1596"/>
      <c r="G1003" s="1596"/>
      <c r="H1003" s="1596"/>
      <c r="I1003" s="1596"/>
      <c r="J1003" s="1596"/>
      <c r="K1003" s="1596"/>
      <c r="L1003" s="1596"/>
      <c r="M1003" s="1596"/>
      <c r="N1003" s="1596"/>
      <c r="O1003" s="1596"/>
      <c r="P1003" s="1596"/>
      <c r="Q1003" s="1596"/>
      <c r="R1003" s="1596"/>
      <c r="S1003" s="1596"/>
      <c r="T1003" s="1596"/>
      <c r="U1003" s="1596"/>
      <c r="V1003" s="1596"/>
      <c r="W1003" s="1596"/>
      <c r="X1003" s="1596"/>
      <c r="Y1003" s="1596"/>
      <c r="Z1003" s="1596"/>
      <c r="AA1003" s="1596"/>
      <c r="AB1003" s="1596"/>
      <c r="AC1003" s="1596"/>
      <c r="AD1003" s="1596"/>
      <c r="AE1003" s="1597"/>
      <c r="AF1003" s="73"/>
      <c r="AG1003" s="14"/>
      <c r="AH1003" s="14"/>
      <c r="AI1003" s="83"/>
      <c r="AJ1003" s="1449"/>
      <c r="AK1003" s="1450"/>
      <c r="AL1003" s="1450"/>
      <c r="AM1003" s="1450"/>
      <c r="AN1003" s="1450"/>
      <c r="AO1003" s="1450"/>
      <c r="AP1003" s="1450"/>
      <c r="AQ1003" s="145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5"/>
      <c r="E1004" s="1596"/>
      <c r="F1004" s="1596"/>
      <c r="G1004" s="1596"/>
      <c r="H1004" s="1596"/>
      <c r="I1004" s="1596"/>
      <c r="J1004" s="1596"/>
      <c r="K1004" s="1596"/>
      <c r="L1004" s="1596"/>
      <c r="M1004" s="1596"/>
      <c r="N1004" s="1596"/>
      <c r="O1004" s="1596"/>
      <c r="P1004" s="1596"/>
      <c r="Q1004" s="1596"/>
      <c r="R1004" s="1596"/>
      <c r="S1004" s="1596"/>
      <c r="T1004" s="1596"/>
      <c r="U1004" s="1596"/>
      <c r="V1004" s="1596"/>
      <c r="W1004" s="1596"/>
      <c r="X1004" s="1596"/>
      <c r="Y1004" s="1596"/>
      <c r="Z1004" s="1596"/>
      <c r="AA1004" s="1596"/>
      <c r="AB1004" s="1596"/>
      <c r="AC1004" s="1596"/>
      <c r="AD1004" s="1596"/>
      <c r="AE1004" s="1597"/>
      <c r="AF1004" s="73"/>
      <c r="AG1004" s="14"/>
      <c r="AH1004" s="14"/>
      <c r="AI1004" s="83"/>
      <c r="AJ1004" s="1449"/>
      <c r="AK1004" s="1450"/>
      <c r="AL1004" s="1450"/>
      <c r="AM1004" s="1450"/>
      <c r="AN1004" s="1450"/>
      <c r="AO1004" s="1450"/>
      <c r="AP1004" s="1450"/>
      <c r="AQ1004" s="1451"/>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8"/>
      <c r="E1005" s="1599"/>
      <c r="F1005" s="1599"/>
      <c r="G1005" s="1599"/>
      <c r="H1005" s="1599"/>
      <c r="I1005" s="1599"/>
      <c r="J1005" s="1599"/>
      <c r="K1005" s="1599"/>
      <c r="L1005" s="1599"/>
      <c r="M1005" s="1599"/>
      <c r="N1005" s="1599"/>
      <c r="O1005" s="1599"/>
      <c r="P1005" s="1599"/>
      <c r="Q1005" s="1599"/>
      <c r="R1005" s="1599"/>
      <c r="S1005" s="1599"/>
      <c r="T1005" s="1599"/>
      <c r="U1005" s="1599"/>
      <c r="V1005" s="1599"/>
      <c r="W1005" s="1599"/>
      <c r="X1005" s="1599"/>
      <c r="Y1005" s="1599"/>
      <c r="Z1005" s="1599"/>
      <c r="AA1005" s="1599"/>
      <c r="AB1005" s="1599"/>
      <c r="AC1005" s="1599"/>
      <c r="AD1005" s="1599"/>
      <c r="AE1005" s="1600"/>
      <c r="AF1005" s="77"/>
      <c r="AG1005" s="7"/>
      <c r="AH1005" s="7"/>
      <c r="AI1005" s="78"/>
      <c r="AJ1005" s="1452"/>
      <c r="AK1005" s="1453"/>
      <c r="AL1005" s="1453"/>
      <c r="AM1005" s="1453"/>
      <c r="AN1005" s="1453"/>
      <c r="AO1005" s="1453"/>
      <c r="AP1005" s="1453"/>
      <c r="AQ1005" s="1454"/>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46" t="s">
        <v>1871</v>
      </c>
      <c r="E1006" s="1547"/>
      <c r="F1006" s="1547"/>
      <c r="G1006" s="1547"/>
      <c r="H1006" s="1547"/>
      <c r="I1006" s="1547"/>
      <c r="J1006" s="1547"/>
      <c r="K1006" s="1547"/>
      <c r="L1006" s="1547"/>
      <c r="M1006" s="1547"/>
      <c r="N1006" s="1547"/>
      <c r="O1006" s="1547"/>
      <c r="P1006" s="1547"/>
      <c r="Q1006" s="1547"/>
      <c r="R1006" s="1547"/>
      <c r="S1006" s="1547"/>
      <c r="T1006" s="1547"/>
      <c r="U1006" s="1547"/>
      <c r="V1006" s="1547"/>
      <c r="W1006" s="1547"/>
      <c r="X1006" s="1547"/>
      <c r="Y1006" s="1547"/>
      <c r="Z1006" s="1547"/>
      <c r="AA1006" s="1547"/>
      <c r="AB1006" s="1547"/>
      <c r="AC1006" s="1547"/>
      <c r="AD1006" s="1547"/>
      <c r="AE1006" s="1548"/>
      <c r="AF1006" s="86"/>
      <c r="AG1006" s="1554" t="s">
        <v>677</v>
      </c>
      <c r="AH1006" s="1555"/>
      <c r="AI1006" s="87"/>
      <c r="AJ1006" s="1446">
        <f>ROUND(IF(AG1006="yes",AJ991*0.1,0),0)</f>
        <v>0</v>
      </c>
      <c r="AK1006" s="1447"/>
      <c r="AL1006" s="1447"/>
      <c r="AM1006" s="1447"/>
      <c r="AN1006" s="1447"/>
      <c r="AO1006" s="1447"/>
      <c r="AP1006" s="1447"/>
      <c r="AQ1006" s="1448"/>
      <c r="AR1006" s="68"/>
      <c r="AS1006" s="68"/>
      <c r="AT1006" s="68"/>
      <c r="AU1006" s="68"/>
      <c r="AV1006" s="68"/>
      <c r="AW1006" s="68"/>
      <c r="AX1006" s="68"/>
      <c r="BB1006" s="34"/>
      <c r="BD1006" s="34"/>
      <c r="BE1006" s="34"/>
      <c r="BF1006" s="34"/>
    </row>
    <row r="1007" spans="1:157" ht="12.95" customHeight="1">
      <c r="A1007" s="14"/>
      <c r="B1007" s="73"/>
      <c r="C1007" s="74"/>
      <c r="D1007" s="1534" t="s">
        <v>1393</v>
      </c>
      <c r="E1007" s="1535"/>
      <c r="F1007" s="1535"/>
      <c r="G1007" s="1535"/>
      <c r="H1007" s="1535"/>
      <c r="I1007" s="1535"/>
      <c r="J1007" s="1535"/>
      <c r="K1007" s="1535"/>
      <c r="L1007" s="1535"/>
      <c r="M1007" s="1535"/>
      <c r="N1007" s="1535"/>
      <c r="O1007" s="1535"/>
      <c r="P1007" s="1535"/>
      <c r="Q1007" s="1535"/>
      <c r="R1007" s="1535"/>
      <c r="S1007" s="1535"/>
      <c r="T1007" s="1535"/>
      <c r="U1007" s="1535"/>
      <c r="V1007" s="1535"/>
      <c r="W1007" s="1535"/>
      <c r="X1007" s="1535"/>
      <c r="Y1007" s="1535"/>
      <c r="Z1007" s="1535"/>
      <c r="AA1007" s="1535"/>
      <c r="AB1007" s="1535"/>
      <c r="AC1007" s="1535"/>
      <c r="AD1007" s="1535"/>
      <c r="AE1007" s="1536"/>
      <c r="AF1007" s="73"/>
      <c r="AI1007" s="83"/>
      <c r="AJ1007" s="1449"/>
      <c r="AK1007" s="1450"/>
      <c r="AL1007" s="1450"/>
      <c r="AM1007" s="1450"/>
      <c r="AN1007" s="1450"/>
      <c r="AO1007" s="1450"/>
      <c r="AP1007" s="1450"/>
      <c r="AQ1007" s="1451"/>
      <c r="AR1007" s="68"/>
      <c r="AS1007" s="68"/>
      <c r="AT1007" s="68"/>
      <c r="AU1007" s="68"/>
      <c r="AV1007" s="68"/>
      <c r="AW1007" s="68"/>
      <c r="AX1007" s="68"/>
    </row>
    <row r="1008" spans="1:157" ht="12.95" customHeight="1">
      <c r="A1008" s="14"/>
      <c r="B1008" s="73"/>
      <c r="C1008" s="74"/>
      <c r="D1008" s="1534"/>
      <c r="E1008" s="1535"/>
      <c r="F1008" s="1535"/>
      <c r="G1008" s="1535"/>
      <c r="H1008" s="1535"/>
      <c r="I1008" s="1535"/>
      <c r="J1008" s="1535"/>
      <c r="K1008" s="1535"/>
      <c r="L1008" s="1535"/>
      <c r="M1008" s="1535"/>
      <c r="N1008" s="1535"/>
      <c r="O1008" s="1535"/>
      <c r="P1008" s="1535"/>
      <c r="Q1008" s="1535"/>
      <c r="R1008" s="1535"/>
      <c r="S1008" s="1535"/>
      <c r="T1008" s="1535"/>
      <c r="U1008" s="1535"/>
      <c r="V1008" s="1535"/>
      <c r="W1008" s="1535"/>
      <c r="X1008" s="1535"/>
      <c r="Y1008" s="1535"/>
      <c r="Z1008" s="1535"/>
      <c r="AA1008" s="1535"/>
      <c r="AB1008" s="1535"/>
      <c r="AC1008" s="1535"/>
      <c r="AD1008" s="1535"/>
      <c r="AE1008" s="1536"/>
      <c r="AF1008" s="73"/>
      <c r="AG1008" s="14"/>
      <c r="AH1008" s="14"/>
      <c r="AI1008" s="83"/>
      <c r="AJ1008" s="1449"/>
      <c r="AK1008" s="1450"/>
      <c r="AL1008" s="1450"/>
      <c r="AM1008" s="1450"/>
      <c r="AN1008" s="1450"/>
      <c r="AO1008" s="1450"/>
      <c r="AP1008" s="1450"/>
      <c r="AQ1008" s="1451"/>
      <c r="AR1008" s="68"/>
      <c r="AS1008" s="68"/>
      <c r="AT1008" s="68"/>
      <c r="AU1008" s="68"/>
      <c r="AV1008" s="68"/>
      <c r="AW1008" s="68"/>
      <c r="AX1008" s="68"/>
    </row>
    <row r="1009" spans="1:51" ht="12.95" customHeight="1">
      <c r="A1009" s="14"/>
      <c r="B1009" s="85"/>
      <c r="C1009" s="76"/>
      <c r="D1009" s="1559"/>
      <c r="E1009" s="1560"/>
      <c r="F1009" s="1560"/>
      <c r="G1009" s="1560"/>
      <c r="H1009" s="1560"/>
      <c r="I1009" s="1560"/>
      <c r="J1009" s="1560"/>
      <c r="K1009" s="1560"/>
      <c r="L1009" s="1560"/>
      <c r="M1009" s="1560"/>
      <c r="N1009" s="1560"/>
      <c r="O1009" s="1560"/>
      <c r="P1009" s="1560"/>
      <c r="Q1009" s="1560"/>
      <c r="R1009" s="1560"/>
      <c r="S1009" s="1560"/>
      <c r="T1009" s="1560"/>
      <c r="U1009" s="1560"/>
      <c r="V1009" s="1560"/>
      <c r="W1009" s="1560"/>
      <c r="X1009" s="1560"/>
      <c r="Y1009" s="1560"/>
      <c r="Z1009" s="1560"/>
      <c r="AA1009" s="1560"/>
      <c r="AB1009" s="1560"/>
      <c r="AC1009" s="1560"/>
      <c r="AD1009" s="1560"/>
      <c r="AE1009" s="1561"/>
      <c r="AF1009" s="77"/>
      <c r="AG1009" s="7"/>
      <c r="AH1009" s="7"/>
      <c r="AI1009" s="78"/>
      <c r="AJ1009" s="1452"/>
      <c r="AK1009" s="1453"/>
      <c r="AL1009" s="1453"/>
      <c r="AM1009" s="1453"/>
      <c r="AN1009" s="1453"/>
      <c r="AO1009" s="1453"/>
      <c r="AP1009" s="1453"/>
      <c r="AQ1009" s="1454"/>
      <c r="AR1009" s="68"/>
      <c r="AS1009" s="68"/>
      <c r="AT1009" s="68"/>
      <c r="AU1009" s="68"/>
      <c r="AV1009" s="68"/>
      <c r="AW1009" s="68"/>
      <c r="AX1009" s="68"/>
    </row>
    <row r="1010" spans="1:51" ht="12.95" customHeight="1">
      <c r="A1010" s="14"/>
      <c r="B1010" s="79"/>
      <c r="C1010" s="80" t="s">
        <v>213</v>
      </c>
      <c r="D1010" s="1546" t="s">
        <v>1395</v>
      </c>
      <c r="E1010" s="1547"/>
      <c r="F1010" s="1547"/>
      <c r="G1010" s="1547"/>
      <c r="H1010" s="1547"/>
      <c r="I1010" s="1547"/>
      <c r="J1010" s="1547"/>
      <c r="K1010" s="1547"/>
      <c r="L1010" s="1547"/>
      <c r="M1010" s="1547"/>
      <c r="N1010" s="1547"/>
      <c r="O1010" s="1547"/>
      <c r="P1010" s="1547"/>
      <c r="Q1010" s="1547"/>
      <c r="R1010" s="1547"/>
      <c r="S1010" s="1547"/>
      <c r="T1010" s="1547"/>
      <c r="U1010" s="1547"/>
      <c r="V1010" s="1547"/>
      <c r="W1010" s="1547"/>
      <c r="X1010" s="1547"/>
      <c r="Y1010" s="1547"/>
      <c r="Z1010" s="1547"/>
      <c r="AA1010" s="1547"/>
      <c r="AB1010" s="1547"/>
      <c r="AC1010" s="1547"/>
      <c r="AD1010" s="1547"/>
      <c r="AE1010" s="1548"/>
      <c r="AF1010" s="79"/>
      <c r="AG1010" s="1554" t="s">
        <v>677</v>
      </c>
      <c r="AH1010" s="1555"/>
      <c r="AI1010" s="87"/>
      <c r="AJ1010" s="1446">
        <f>ROUND(IF(AG1010="yes",AJ991*0.02,0),0)</f>
        <v>0</v>
      </c>
      <c r="AK1010" s="1447"/>
      <c r="AL1010" s="1447"/>
      <c r="AM1010" s="1447"/>
      <c r="AN1010" s="1447"/>
      <c r="AO1010" s="1447"/>
      <c r="AP1010" s="1447"/>
      <c r="AQ1010" s="1448"/>
      <c r="AR1010" s="68"/>
      <c r="AS1010" s="68"/>
      <c r="AT1010" s="68"/>
      <c r="AU1010" s="68"/>
      <c r="AV1010" s="68"/>
      <c r="AW1010" s="68"/>
      <c r="AX1010" s="68"/>
      <c r="AY1010" s="215">
        <f>IF(SUM(AY1012:AY1020)&lt;=0.1,SUM(AY1012:AY1020),0.1)</f>
        <v>0</v>
      </c>
    </row>
    <row r="1011" spans="1:51" ht="14.25" customHeight="1">
      <c r="A1011" s="14"/>
      <c r="B1011" s="73"/>
      <c r="C1011" s="74"/>
      <c r="D1011" s="1559" t="s">
        <v>1396</v>
      </c>
      <c r="E1011" s="1560"/>
      <c r="F1011" s="1560"/>
      <c r="G1011" s="1560"/>
      <c r="H1011" s="1560"/>
      <c r="I1011" s="1560"/>
      <c r="J1011" s="1560"/>
      <c r="K1011" s="1560"/>
      <c r="L1011" s="1560"/>
      <c r="M1011" s="1560"/>
      <c r="N1011" s="1560"/>
      <c r="O1011" s="1560"/>
      <c r="P1011" s="1560"/>
      <c r="Q1011" s="1560"/>
      <c r="R1011" s="1560"/>
      <c r="S1011" s="1560"/>
      <c r="T1011" s="1560"/>
      <c r="U1011" s="1560"/>
      <c r="V1011" s="1560"/>
      <c r="W1011" s="1560"/>
      <c r="X1011" s="1560"/>
      <c r="Y1011" s="1560"/>
      <c r="Z1011" s="1560"/>
      <c r="AA1011" s="1560"/>
      <c r="AB1011" s="1560"/>
      <c r="AC1011" s="1560"/>
      <c r="AD1011" s="1560"/>
      <c r="AE1011" s="1561"/>
      <c r="AF1011" s="77"/>
      <c r="AG1011" s="7"/>
      <c r="AH1011" s="7"/>
      <c r="AI1011" s="78"/>
      <c r="AJ1011" s="1452"/>
      <c r="AK1011" s="1453"/>
      <c r="AL1011" s="1453"/>
      <c r="AM1011" s="1453"/>
      <c r="AN1011" s="1453"/>
      <c r="AO1011" s="1453"/>
      <c r="AP1011" s="1453"/>
      <c r="AQ1011" s="1454"/>
      <c r="AR1011" s="68"/>
      <c r="AS1011" s="68"/>
      <c r="AT1011" s="68"/>
      <c r="AU1011" s="68"/>
      <c r="AV1011" s="68"/>
      <c r="AW1011" s="68"/>
      <c r="AX1011" s="68"/>
    </row>
    <row r="1012" spans="1:51" ht="12.95" customHeight="1">
      <c r="A1012" s="14"/>
      <c r="B1012" s="79"/>
      <c r="C1012" s="80" t="s">
        <v>216</v>
      </c>
      <c r="D1012" s="1546" t="s">
        <v>1397</v>
      </c>
      <c r="E1012" s="1547"/>
      <c r="F1012" s="1547"/>
      <c r="G1012" s="1547"/>
      <c r="H1012" s="1547"/>
      <c r="I1012" s="1547"/>
      <c r="J1012" s="1547"/>
      <c r="K1012" s="1547"/>
      <c r="L1012" s="1547"/>
      <c r="M1012" s="1547"/>
      <c r="N1012" s="1547"/>
      <c r="O1012" s="1547"/>
      <c r="P1012" s="1547"/>
      <c r="Q1012" s="1547"/>
      <c r="R1012" s="1547"/>
      <c r="S1012" s="1547"/>
      <c r="T1012" s="1547"/>
      <c r="U1012" s="1547"/>
      <c r="V1012" s="1547"/>
      <c r="W1012" s="1547"/>
      <c r="X1012" s="1547"/>
      <c r="Y1012" s="1547"/>
      <c r="Z1012" s="1547"/>
      <c r="AA1012" s="1547"/>
      <c r="AB1012" s="1547"/>
      <c r="AC1012" s="1547"/>
      <c r="AD1012" s="1547"/>
      <c r="AE1012" s="1548"/>
      <c r="AF1012" s="79"/>
      <c r="AG1012" s="1554" t="s">
        <v>677</v>
      </c>
      <c r="AH1012" s="1555"/>
      <c r="AI1012" s="79"/>
      <c r="AJ1012" s="1446">
        <f>ROUND(IF(AG1012="yes",AJ991*0.02,0),0)</f>
        <v>0</v>
      </c>
      <c r="AK1012" s="1447"/>
      <c r="AL1012" s="1447"/>
      <c r="AM1012" s="1447"/>
      <c r="AN1012" s="1447"/>
      <c r="AO1012" s="1447"/>
      <c r="AP1012" s="1447"/>
      <c r="AQ1012" s="1448"/>
      <c r="AR1012" s="68"/>
      <c r="AS1012" s="68"/>
      <c r="AT1012" s="68"/>
      <c r="AU1012" s="68"/>
      <c r="AV1012" s="68"/>
      <c r="AW1012" s="68"/>
      <c r="AX1012" s="68"/>
      <c r="AY1012" s="213">
        <f>IF(A1064="Yes",0.05,0)</f>
        <v>0</v>
      </c>
    </row>
    <row r="1013" spans="1:51" ht="12.95" customHeight="1">
      <c r="A1013" s="14"/>
      <c r="B1013" s="73"/>
      <c r="C1013" s="74"/>
      <c r="D1013" s="1534" t="s">
        <v>1398</v>
      </c>
      <c r="E1013" s="1535"/>
      <c r="F1013" s="1535"/>
      <c r="G1013" s="1535"/>
      <c r="H1013" s="1535"/>
      <c r="I1013" s="1535"/>
      <c r="J1013" s="1535"/>
      <c r="K1013" s="1535"/>
      <c r="L1013" s="1535"/>
      <c r="M1013" s="1535"/>
      <c r="N1013" s="1535"/>
      <c r="O1013" s="1535"/>
      <c r="P1013" s="1535"/>
      <c r="Q1013" s="1535"/>
      <c r="R1013" s="1535"/>
      <c r="S1013" s="1535"/>
      <c r="T1013" s="1535"/>
      <c r="U1013" s="1535"/>
      <c r="V1013" s="1535"/>
      <c r="W1013" s="1535"/>
      <c r="X1013" s="1535"/>
      <c r="Y1013" s="1535"/>
      <c r="Z1013" s="1535"/>
      <c r="AA1013" s="1535"/>
      <c r="AB1013" s="1535"/>
      <c r="AC1013" s="1535"/>
      <c r="AD1013" s="1535"/>
      <c r="AE1013" s="1536"/>
      <c r="AF1013" s="1431" t="str">
        <f>IF(AND(AG1012="yes",AB212&lt;&gt;1),"The project may not be eligible for this boost","")</f>
        <v/>
      </c>
      <c r="AG1013" s="1432"/>
      <c r="AH1013" s="1432"/>
      <c r="AI1013" s="1433"/>
      <c r="AJ1013" s="1449"/>
      <c r="AK1013" s="1450"/>
      <c r="AL1013" s="1450"/>
      <c r="AM1013" s="1450"/>
      <c r="AN1013" s="1450"/>
      <c r="AO1013" s="1450"/>
      <c r="AP1013" s="1450"/>
      <c r="AQ1013" s="1451"/>
      <c r="AR1013" s="68"/>
      <c r="AS1013" s="68"/>
      <c r="AT1013" s="68"/>
      <c r="AU1013" s="68"/>
      <c r="AV1013" s="68"/>
      <c r="AW1013" s="68"/>
      <c r="AX1013" s="68"/>
      <c r="AY1013" s="213">
        <f>IF(A1070="Yes",0.02,0)</f>
        <v>0</v>
      </c>
    </row>
    <row r="1014" spans="1:51" ht="12.95" customHeight="1">
      <c r="A1014" s="14"/>
      <c r="B1014" s="75"/>
      <c r="C1014" s="76"/>
      <c r="D1014" s="1559"/>
      <c r="E1014" s="1560"/>
      <c r="F1014" s="1560"/>
      <c r="G1014" s="1560"/>
      <c r="H1014" s="1560"/>
      <c r="I1014" s="1560"/>
      <c r="J1014" s="1560"/>
      <c r="K1014" s="1560"/>
      <c r="L1014" s="1560"/>
      <c r="M1014" s="1560"/>
      <c r="N1014" s="1560"/>
      <c r="O1014" s="1560"/>
      <c r="P1014" s="1560"/>
      <c r="Q1014" s="1560"/>
      <c r="R1014" s="1560"/>
      <c r="S1014" s="1560"/>
      <c r="T1014" s="1560"/>
      <c r="U1014" s="1560"/>
      <c r="V1014" s="1560"/>
      <c r="W1014" s="1560"/>
      <c r="X1014" s="1560"/>
      <c r="Y1014" s="1560"/>
      <c r="Z1014" s="1560"/>
      <c r="AA1014" s="1560"/>
      <c r="AB1014" s="1560"/>
      <c r="AC1014" s="1560"/>
      <c r="AD1014" s="1560"/>
      <c r="AE1014" s="1561"/>
      <c r="AF1014" s="1434"/>
      <c r="AG1014" s="1435"/>
      <c r="AH1014" s="1435"/>
      <c r="AI1014" s="1436"/>
      <c r="AJ1014" s="1452"/>
      <c r="AK1014" s="1453"/>
      <c r="AL1014" s="1453"/>
      <c r="AM1014" s="1453"/>
      <c r="AN1014" s="1453"/>
      <c r="AO1014" s="1453"/>
      <c r="AP1014" s="1453"/>
      <c r="AQ1014" s="1454"/>
      <c r="AR1014" s="68"/>
      <c r="AS1014" s="68"/>
      <c r="AT1014" s="68"/>
      <c r="AU1014" s="68"/>
      <c r="AV1014" s="68"/>
      <c r="AW1014" s="68"/>
      <c r="AX1014" s="68"/>
      <c r="AY1014" s="213">
        <f>IF(A1076="Yes",0.04,0)</f>
        <v>0</v>
      </c>
    </row>
    <row r="1015" spans="1:51" ht="12.95" customHeight="1">
      <c r="A1015" s="14"/>
      <c r="B1015" s="79"/>
      <c r="C1015" s="80" t="s">
        <v>219</v>
      </c>
      <c r="D1015" s="1556" t="s">
        <v>1399</v>
      </c>
      <c r="E1015" s="1557"/>
      <c r="F1015" s="1557"/>
      <c r="G1015" s="1557"/>
      <c r="H1015" s="1557"/>
      <c r="I1015" s="1557"/>
      <c r="J1015" s="1557"/>
      <c r="K1015" s="1557"/>
      <c r="L1015" s="1557"/>
      <c r="M1015" s="1557"/>
      <c r="N1015" s="1557"/>
      <c r="O1015" s="1557"/>
      <c r="P1015" s="1557"/>
      <c r="Q1015" s="1557"/>
      <c r="R1015" s="1557"/>
      <c r="S1015" s="1557"/>
      <c r="T1015" s="1557"/>
      <c r="U1015" s="1557"/>
      <c r="V1015" s="1557"/>
      <c r="W1015" s="1557"/>
      <c r="X1015" s="1557"/>
      <c r="Y1015" s="1557"/>
      <c r="Z1015" s="1557"/>
      <c r="AA1015" s="1557"/>
      <c r="AB1015" s="1557"/>
      <c r="AC1015" s="1557"/>
      <c r="AD1015" s="1557"/>
      <c r="AE1015" s="1558"/>
      <c r="AF1015" s="79"/>
      <c r="AG1015" s="1554" t="s">
        <v>677</v>
      </c>
      <c r="AH1015" s="1555"/>
      <c r="AI1015" s="87"/>
      <c r="AJ1015" s="1446">
        <f>IF(AG1015="yes",AJ991*AY1010,0)</f>
        <v>0</v>
      </c>
      <c r="AK1015" s="1447"/>
      <c r="AL1015" s="1447"/>
      <c r="AM1015" s="1447"/>
      <c r="AN1015" s="1447"/>
      <c r="AO1015" s="1447"/>
      <c r="AP1015" s="1447"/>
      <c r="AQ1015" s="1448"/>
      <c r="AR1015" s="68"/>
      <c r="AS1015" s="68"/>
      <c r="AT1015" s="68"/>
      <c r="AU1015" s="68"/>
      <c r="AV1015" s="68"/>
      <c r="AW1015" s="68"/>
      <c r="AX1015" s="68"/>
      <c r="AY1015" s="213">
        <f>IF(A1083="Yes",0.04,0)</f>
        <v>0</v>
      </c>
    </row>
    <row r="1016" spans="1:51" ht="12.95" customHeight="1">
      <c r="A1016" s="14"/>
      <c r="B1016" s="73"/>
      <c r="C1016" s="74"/>
      <c r="D1016" s="1534" t="s">
        <v>1400</v>
      </c>
      <c r="E1016" s="1535"/>
      <c r="F1016" s="1535"/>
      <c r="G1016" s="1535"/>
      <c r="H1016" s="1535"/>
      <c r="I1016" s="1535"/>
      <c r="J1016" s="1535"/>
      <c r="K1016" s="1535"/>
      <c r="L1016" s="1535"/>
      <c r="M1016" s="1535"/>
      <c r="N1016" s="1535"/>
      <c r="O1016" s="1535"/>
      <c r="P1016" s="1535"/>
      <c r="Q1016" s="1535"/>
      <c r="R1016" s="1535"/>
      <c r="S1016" s="1535"/>
      <c r="T1016" s="1535"/>
      <c r="U1016" s="1535"/>
      <c r="V1016" s="1535"/>
      <c r="W1016" s="1535"/>
      <c r="X1016" s="1535"/>
      <c r="Y1016" s="1535"/>
      <c r="Z1016" s="1535"/>
      <c r="AA1016" s="1535"/>
      <c r="AB1016" s="1535"/>
      <c r="AC1016" s="1535"/>
      <c r="AD1016" s="1535"/>
      <c r="AE1016" s="1536"/>
      <c r="AF1016" s="1425" t="str">
        <f>IF(AND(AG1015="Yes",AY1010=0),AY1022,"")</f>
        <v/>
      </c>
      <c r="AG1016" s="1426"/>
      <c r="AH1016" s="1426"/>
      <c r="AI1016" s="1427"/>
      <c r="AJ1016" s="1449"/>
      <c r="AK1016" s="1450"/>
      <c r="AL1016" s="1450"/>
      <c r="AM1016" s="1450"/>
      <c r="AN1016" s="1450"/>
      <c r="AO1016" s="1450"/>
      <c r="AP1016" s="1450"/>
      <c r="AQ1016" s="1451"/>
      <c r="AR1016" s="68"/>
      <c r="AS1016" s="68"/>
      <c r="AT1016" s="68"/>
      <c r="AU1016" s="68"/>
      <c r="AV1016" s="68"/>
      <c r="AW1016" s="68"/>
      <c r="AX1016" s="68"/>
      <c r="AY1016" s="213">
        <f>IF(A1086="Yes",0.01,0)</f>
        <v>0</v>
      </c>
    </row>
    <row r="1017" spans="1:51" ht="12.95" customHeight="1">
      <c r="A1017" s="14"/>
      <c r="B1017" s="73"/>
      <c r="C1017" s="74"/>
      <c r="D1017" s="1534"/>
      <c r="E1017" s="1535"/>
      <c r="F1017" s="1535"/>
      <c r="G1017" s="1535"/>
      <c r="H1017" s="1535"/>
      <c r="I1017" s="1535"/>
      <c r="J1017" s="1535"/>
      <c r="K1017" s="1535"/>
      <c r="L1017" s="1535"/>
      <c r="M1017" s="1535"/>
      <c r="N1017" s="1535"/>
      <c r="O1017" s="1535"/>
      <c r="P1017" s="1535"/>
      <c r="Q1017" s="1535"/>
      <c r="R1017" s="1535"/>
      <c r="S1017" s="1535"/>
      <c r="T1017" s="1535"/>
      <c r="U1017" s="1535"/>
      <c r="V1017" s="1535"/>
      <c r="W1017" s="1535"/>
      <c r="X1017" s="1535"/>
      <c r="Y1017" s="1535"/>
      <c r="Z1017" s="1535"/>
      <c r="AA1017" s="1535"/>
      <c r="AB1017" s="1535"/>
      <c r="AC1017" s="1535"/>
      <c r="AD1017" s="1535"/>
      <c r="AE1017" s="1536"/>
      <c r="AF1017" s="1425"/>
      <c r="AG1017" s="1426"/>
      <c r="AH1017" s="1426"/>
      <c r="AI1017" s="1427"/>
      <c r="AJ1017" s="1449"/>
      <c r="AK1017" s="1450"/>
      <c r="AL1017" s="1450"/>
      <c r="AM1017" s="1450"/>
      <c r="AN1017" s="1450"/>
      <c r="AO1017" s="1450"/>
      <c r="AP1017" s="1450"/>
      <c r="AQ1017" s="1451"/>
      <c r="AR1017" s="68"/>
      <c r="AS1017" s="68"/>
      <c r="AT1017" s="68"/>
      <c r="AU1017" s="68"/>
      <c r="AV1017" s="68"/>
      <c r="AW1017" s="68"/>
      <c r="AX1017" s="68"/>
      <c r="AY1017" s="213">
        <f>IF(A1091="Yes",0.01,0)</f>
        <v>0</v>
      </c>
    </row>
    <row r="1018" spans="1:51" ht="12.95" customHeight="1">
      <c r="A1018" s="14"/>
      <c r="B1018" s="81"/>
      <c r="C1018" s="82"/>
      <c r="D1018" s="1559"/>
      <c r="E1018" s="1560"/>
      <c r="F1018" s="1560"/>
      <c r="G1018" s="1560"/>
      <c r="H1018" s="1560"/>
      <c r="I1018" s="1560"/>
      <c r="J1018" s="1560"/>
      <c r="K1018" s="1560"/>
      <c r="L1018" s="1560"/>
      <c r="M1018" s="1560"/>
      <c r="N1018" s="1560"/>
      <c r="O1018" s="1560"/>
      <c r="P1018" s="1560"/>
      <c r="Q1018" s="1560"/>
      <c r="R1018" s="1560"/>
      <c r="S1018" s="1560"/>
      <c r="T1018" s="1560"/>
      <c r="U1018" s="1560"/>
      <c r="V1018" s="1560"/>
      <c r="W1018" s="1560"/>
      <c r="X1018" s="1560"/>
      <c r="Y1018" s="1560"/>
      <c r="Z1018" s="1560"/>
      <c r="AA1018" s="1560"/>
      <c r="AB1018" s="1560"/>
      <c r="AC1018" s="1560"/>
      <c r="AD1018" s="1560"/>
      <c r="AE1018" s="1561"/>
      <c r="AF1018" s="1428"/>
      <c r="AG1018" s="1429"/>
      <c r="AH1018" s="1429"/>
      <c r="AI1018" s="1430"/>
      <c r="AJ1018" s="1452"/>
      <c r="AK1018" s="1453"/>
      <c r="AL1018" s="1453"/>
      <c r="AM1018" s="1453"/>
      <c r="AN1018" s="1453"/>
      <c r="AO1018" s="1453"/>
      <c r="AP1018" s="1453"/>
      <c r="AQ1018" s="1454"/>
      <c r="AR1018" s="68"/>
      <c r="AS1018" s="68"/>
      <c r="AT1018" s="68"/>
      <c r="AU1018" s="68"/>
      <c r="AV1018" s="68"/>
      <c r="AW1018" s="68"/>
      <c r="AX1018" s="68"/>
      <c r="AY1018" s="213">
        <f>IF(A1094="Yes",0.01,0)</f>
        <v>0</v>
      </c>
    </row>
    <row r="1019" spans="1:51" ht="12.95" customHeight="1">
      <c r="A1019" s="14"/>
      <c r="B1019" s="79"/>
      <c r="C1019" s="80" t="s">
        <v>224</v>
      </c>
      <c r="D1019" s="1583" t="s">
        <v>1401</v>
      </c>
      <c r="E1019" s="1584"/>
      <c r="F1019" s="1584"/>
      <c r="G1019" s="1584"/>
      <c r="H1019" s="1584"/>
      <c r="I1019" s="1584"/>
      <c r="J1019" s="1584"/>
      <c r="K1019" s="1584"/>
      <c r="L1019" s="1584"/>
      <c r="M1019" s="1584"/>
      <c r="N1019" s="1584"/>
      <c r="O1019" s="1584"/>
      <c r="P1019" s="1584"/>
      <c r="Q1019" s="1584"/>
      <c r="R1019" s="1584"/>
      <c r="S1019" s="1584"/>
      <c r="T1019" s="1584"/>
      <c r="U1019" s="1584"/>
      <c r="V1019" s="1584"/>
      <c r="W1019" s="1584"/>
      <c r="X1019" s="1584"/>
      <c r="Y1019" s="1584"/>
      <c r="Z1019" s="1584"/>
      <c r="AA1019" s="1584"/>
      <c r="AB1019" s="1584"/>
      <c r="AC1019" s="1584"/>
      <c r="AD1019" s="1584"/>
      <c r="AE1019" s="1585"/>
      <c r="AF1019" s="79"/>
      <c r="AG1019" s="1554" t="s">
        <v>553</v>
      </c>
      <c r="AH1019" s="1555"/>
      <c r="AI1019" s="87"/>
      <c r="AJ1019" s="1446">
        <f>ROUND(IF(AND(AG1019="Yes",J1023&lt;&gt;"N/A",AF1022&lt;&gt;""),MIN(AF1022,(0.15*AJ991)),0),0)</f>
        <v>500000</v>
      </c>
      <c r="AK1019" s="1447"/>
      <c r="AL1019" s="1447"/>
      <c r="AM1019" s="1447"/>
      <c r="AN1019" s="1447"/>
      <c r="AO1019" s="1447"/>
      <c r="AP1019" s="1447"/>
      <c r="AQ1019" s="1448"/>
      <c r="AR1019" s="68"/>
      <c r="AS1019" s="68"/>
      <c r="AT1019" s="68"/>
      <c r="AU1019" s="68"/>
      <c r="AV1019" s="68"/>
      <c r="AW1019" s="68"/>
      <c r="AX1019" s="68"/>
      <c r="AY1019" s="213">
        <f>IF(A1098="Yes",0.02,0)</f>
        <v>0</v>
      </c>
    </row>
    <row r="1020" spans="1:51" ht="12.95" customHeight="1">
      <c r="A1020" s="14"/>
      <c r="B1020" s="81"/>
      <c r="C1020" s="84"/>
      <c r="D1020" s="1586"/>
      <c r="E1020" s="1587"/>
      <c r="F1020" s="1587"/>
      <c r="G1020" s="1587"/>
      <c r="H1020" s="1587"/>
      <c r="I1020" s="1587"/>
      <c r="J1020" s="1587"/>
      <c r="K1020" s="1587"/>
      <c r="L1020" s="1587"/>
      <c r="M1020" s="1587"/>
      <c r="N1020" s="1587"/>
      <c r="O1020" s="1587"/>
      <c r="P1020" s="1587"/>
      <c r="Q1020" s="1587"/>
      <c r="R1020" s="1587"/>
      <c r="S1020" s="1587"/>
      <c r="T1020" s="1587"/>
      <c r="U1020" s="1587"/>
      <c r="V1020" s="1587"/>
      <c r="W1020" s="1587"/>
      <c r="X1020" s="1587"/>
      <c r="Y1020" s="1587"/>
      <c r="Z1020" s="1587"/>
      <c r="AA1020" s="1587"/>
      <c r="AB1020" s="1587"/>
      <c r="AC1020" s="1587"/>
      <c r="AD1020" s="1587"/>
      <c r="AE1020" s="1588"/>
      <c r="AF1020" s="1562" t="str">
        <f>IF(AG1019="yes","Please Select Type and Enter Amount:","")</f>
        <v>Please Select Type and Enter Amount:</v>
      </c>
      <c r="AG1020" s="1563"/>
      <c r="AH1020" s="1563"/>
      <c r="AI1020" s="1564"/>
      <c r="AJ1020" s="1449"/>
      <c r="AK1020" s="1450"/>
      <c r="AL1020" s="1450"/>
      <c r="AM1020" s="1450"/>
      <c r="AN1020" s="1450"/>
      <c r="AO1020" s="1450"/>
      <c r="AP1020" s="1450"/>
      <c r="AQ1020" s="1451"/>
      <c r="AR1020" s="68"/>
      <c r="AS1020" s="68"/>
      <c r="AT1020" s="68"/>
      <c r="AU1020" s="68"/>
      <c r="AV1020" s="68"/>
      <c r="AW1020" s="68"/>
      <c r="AX1020" s="68"/>
      <c r="AY1020" s="214">
        <f>IF(A1103="Yes",0.02,0)</f>
        <v>0</v>
      </c>
    </row>
    <row r="1021" spans="1:51" ht="12.95" customHeight="1">
      <c r="A1021" s="14"/>
      <c r="B1021" s="81"/>
      <c r="C1021" s="84"/>
      <c r="D1021" s="1534" t="s">
        <v>1402</v>
      </c>
      <c r="E1021" s="1535"/>
      <c r="F1021" s="1535"/>
      <c r="G1021" s="1535"/>
      <c r="H1021" s="1535"/>
      <c r="I1021" s="1535"/>
      <c r="J1021" s="1535"/>
      <c r="K1021" s="1535"/>
      <c r="L1021" s="1535"/>
      <c r="M1021" s="1535"/>
      <c r="N1021" s="1535"/>
      <c r="O1021" s="1535"/>
      <c r="P1021" s="1535"/>
      <c r="Q1021" s="1535"/>
      <c r="R1021" s="1535"/>
      <c r="S1021" s="1535"/>
      <c r="T1021" s="1535"/>
      <c r="U1021" s="1535"/>
      <c r="V1021" s="1535"/>
      <c r="W1021" s="1535"/>
      <c r="X1021" s="1535"/>
      <c r="Y1021" s="1535"/>
      <c r="Z1021" s="1535"/>
      <c r="AA1021" s="1535"/>
      <c r="AB1021" s="1535"/>
      <c r="AC1021" s="1535"/>
      <c r="AD1021" s="1535"/>
      <c r="AE1021" s="1536"/>
      <c r="AF1021" s="1562"/>
      <c r="AG1021" s="1563"/>
      <c r="AH1021" s="1563"/>
      <c r="AI1021" s="1564"/>
      <c r="AJ1021" s="1449"/>
      <c r="AK1021" s="1450"/>
      <c r="AL1021" s="1450"/>
      <c r="AM1021" s="1450"/>
      <c r="AN1021" s="1450"/>
      <c r="AO1021" s="1450"/>
      <c r="AP1021" s="1450"/>
      <c r="AQ1021" s="1451"/>
      <c r="AR1021" s="68"/>
      <c r="AS1021" s="68"/>
      <c r="AT1021" s="68"/>
      <c r="AU1021" s="68"/>
      <c r="AV1021" s="68"/>
      <c r="AW1021" s="68"/>
      <c r="AX1021" s="68"/>
      <c r="AY1021" s="68"/>
    </row>
    <row r="1022" spans="1:51" ht="12.95" customHeight="1">
      <c r="A1022" s="14"/>
      <c r="B1022" s="81"/>
      <c r="C1022" s="84"/>
      <c r="D1022" s="1534"/>
      <c r="E1022" s="1535"/>
      <c r="F1022" s="1535"/>
      <c r="G1022" s="1535"/>
      <c r="H1022" s="1535"/>
      <c r="I1022" s="1535"/>
      <c r="J1022" s="1535"/>
      <c r="K1022" s="1535"/>
      <c r="L1022" s="1535"/>
      <c r="M1022" s="1535"/>
      <c r="N1022" s="1535"/>
      <c r="O1022" s="1535"/>
      <c r="P1022" s="1535"/>
      <c r="Q1022" s="1535"/>
      <c r="R1022" s="1535"/>
      <c r="S1022" s="1535"/>
      <c r="T1022" s="1535"/>
      <c r="U1022" s="1535"/>
      <c r="V1022" s="1535"/>
      <c r="W1022" s="1535"/>
      <c r="X1022" s="1535"/>
      <c r="Y1022" s="1535"/>
      <c r="Z1022" s="1535"/>
      <c r="AA1022" s="1535"/>
      <c r="AB1022" s="1535"/>
      <c r="AC1022" s="1535"/>
      <c r="AD1022" s="1535"/>
      <c r="AE1022" s="1536"/>
      <c r="AF1022" s="1565">
        <v>500000</v>
      </c>
      <c r="AG1022" s="1565"/>
      <c r="AH1022" s="1565"/>
      <c r="AI1022" s="1565"/>
      <c r="AJ1022" s="1449"/>
      <c r="AK1022" s="1450"/>
      <c r="AL1022" s="1450"/>
      <c r="AM1022" s="1450"/>
      <c r="AN1022" s="1450"/>
      <c r="AO1022" s="1450"/>
      <c r="AP1022" s="1450"/>
      <c r="AQ1022" s="145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37" t="s">
        <v>2734</v>
      </c>
      <c r="K1023" s="1538"/>
      <c r="L1023" s="1538"/>
      <c r="M1023" s="1538"/>
      <c r="N1023" s="1538"/>
      <c r="O1023" s="1538"/>
      <c r="P1023" s="1538"/>
      <c r="Q1023" s="1538"/>
      <c r="R1023" s="1538"/>
      <c r="S1023" s="1538"/>
      <c r="T1023" s="1538"/>
      <c r="U1023" s="1538"/>
      <c r="V1023" s="1538"/>
      <c r="W1023" s="1538"/>
      <c r="X1023" s="1538"/>
      <c r="Y1023" s="1538"/>
      <c r="Z1023" s="1538"/>
      <c r="AA1023" s="1538"/>
      <c r="AB1023" s="1538"/>
      <c r="AC1023" s="1538"/>
      <c r="AD1023" s="1538"/>
      <c r="AE1023" s="1539"/>
      <c r="AF1023" s="1565"/>
      <c r="AG1023" s="1565"/>
      <c r="AH1023" s="1565"/>
      <c r="AI1023" s="1565"/>
      <c r="AJ1023" s="1452"/>
      <c r="AK1023" s="1453"/>
      <c r="AL1023" s="1453"/>
      <c r="AM1023" s="1453"/>
      <c r="AN1023" s="1453"/>
      <c r="AO1023" s="1453"/>
      <c r="AP1023" s="1453"/>
      <c r="AQ1023" s="1454"/>
      <c r="AR1023" s="68"/>
      <c r="AS1023" s="68"/>
      <c r="AT1023" s="68"/>
      <c r="AU1023" s="68"/>
      <c r="AV1023" s="68"/>
      <c r="AW1023" s="68"/>
      <c r="AX1023" s="68"/>
      <c r="AY1023" s="68"/>
    </row>
    <row r="1024" spans="1:51" ht="12.95" customHeight="1">
      <c r="A1024" s="14"/>
      <c r="B1024" s="79"/>
      <c r="C1024" s="80" t="s">
        <v>230</v>
      </c>
      <c r="D1024" s="1546" t="s">
        <v>1403</v>
      </c>
      <c r="E1024" s="1547"/>
      <c r="F1024" s="1547"/>
      <c r="G1024" s="1547"/>
      <c r="H1024" s="1547"/>
      <c r="I1024" s="1547"/>
      <c r="J1024" s="1547"/>
      <c r="K1024" s="1547"/>
      <c r="L1024" s="1547"/>
      <c r="M1024" s="1547"/>
      <c r="N1024" s="1547"/>
      <c r="O1024" s="1547"/>
      <c r="P1024" s="1547"/>
      <c r="Q1024" s="1547"/>
      <c r="R1024" s="1547"/>
      <c r="S1024" s="1547"/>
      <c r="T1024" s="1547"/>
      <c r="U1024" s="1547"/>
      <c r="V1024" s="1547"/>
      <c r="W1024" s="1547"/>
      <c r="X1024" s="1547"/>
      <c r="Y1024" s="1547"/>
      <c r="Z1024" s="1547"/>
      <c r="AA1024" s="1547"/>
      <c r="AB1024" s="1547"/>
      <c r="AC1024" s="1547"/>
      <c r="AD1024" s="1547"/>
      <c r="AE1024" s="1548"/>
      <c r="AF1024" s="79"/>
      <c r="AG1024" s="1554" t="s">
        <v>677</v>
      </c>
      <c r="AH1024" s="1555"/>
      <c r="AI1024" s="87"/>
      <c r="AJ1024" s="1446">
        <f>ROUND(IF(AG1024="Yes",AF1026,0),0)</f>
        <v>0</v>
      </c>
      <c r="AK1024" s="1447"/>
      <c r="AL1024" s="1447"/>
      <c r="AM1024" s="1447"/>
      <c r="AN1024" s="1447"/>
      <c r="AO1024" s="1447"/>
      <c r="AP1024" s="1447"/>
      <c r="AQ1024" s="1448"/>
      <c r="AR1024" s="68"/>
      <c r="AS1024" s="68"/>
      <c r="AT1024" s="68"/>
      <c r="AU1024" s="68"/>
      <c r="AV1024" s="68"/>
      <c r="AW1024" s="68"/>
      <c r="AX1024" s="68"/>
      <c r="AY1024" s="68"/>
    </row>
    <row r="1025" spans="1:51" ht="12.95" customHeight="1">
      <c r="A1025" s="14"/>
      <c r="B1025" s="73"/>
      <c r="C1025" s="74"/>
      <c r="D1025" s="1534" t="s">
        <v>1878</v>
      </c>
      <c r="E1025" s="1535"/>
      <c r="F1025" s="1535"/>
      <c r="G1025" s="1535"/>
      <c r="H1025" s="1535"/>
      <c r="I1025" s="1535"/>
      <c r="J1025" s="1535"/>
      <c r="K1025" s="1535"/>
      <c r="L1025" s="1535"/>
      <c r="M1025" s="1535"/>
      <c r="N1025" s="1535"/>
      <c r="O1025" s="1535"/>
      <c r="P1025" s="1535"/>
      <c r="Q1025" s="1535"/>
      <c r="R1025" s="1535"/>
      <c r="S1025" s="1535"/>
      <c r="T1025" s="1535"/>
      <c r="U1025" s="1535"/>
      <c r="V1025" s="1535"/>
      <c r="W1025" s="1535"/>
      <c r="X1025" s="1535"/>
      <c r="Y1025" s="1535"/>
      <c r="Z1025" s="1535"/>
      <c r="AA1025" s="1535"/>
      <c r="AB1025" s="1535"/>
      <c r="AC1025" s="1535"/>
      <c r="AD1025" s="1535"/>
      <c r="AE1025" s="1536"/>
      <c r="AF1025" s="1589" t="str">
        <f>IF(AG1024="yes","Enter Amount:","")</f>
        <v/>
      </c>
      <c r="AG1025" s="1590"/>
      <c r="AH1025" s="1590"/>
      <c r="AI1025" s="1591"/>
      <c r="AJ1025" s="1449"/>
      <c r="AK1025" s="1450"/>
      <c r="AL1025" s="1450"/>
      <c r="AM1025" s="1450"/>
      <c r="AN1025" s="1450"/>
      <c r="AO1025" s="1450"/>
      <c r="AP1025" s="1450"/>
      <c r="AQ1025" s="1451"/>
      <c r="AR1025" s="68"/>
      <c r="AS1025" s="68"/>
      <c r="AT1025" s="68"/>
      <c r="AU1025" s="68"/>
      <c r="AV1025" s="68"/>
      <c r="AW1025" s="68"/>
      <c r="AX1025" s="68"/>
      <c r="AY1025" s="68"/>
    </row>
    <row r="1026" spans="1:51" ht="12.95" customHeight="1">
      <c r="A1026" s="14"/>
      <c r="B1026" s="73"/>
      <c r="C1026" s="74"/>
      <c r="D1026" s="1534"/>
      <c r="E1026" s="1535"/>
      <c r="F1026" s="1535"/>
      <c r="G1026" s="1535"/>
      <c r="H1026" s="1535"/>
      <c r="I1026" s="1535"/>
      <c r="J1026" s="1535"/>
      <c r="K1026" s="1535"/>
      <c r="L1026" s="1535"/>
      <c r="M1026" s="1535"/>
      <c r="N1026" s="1535"/>
      <c r="O1026" s="1535"/>
      <c r="P1026" s="1535"/>
      <c r="Q1026" s="1535"/>
      <c r="R1026" s="1535"/>
      <c r="S1026" s="1535"/>
      <c r="T1026" s="1535"/>
      <c r="U1026" s="1535"/>
      <c r="V1026" s="1535"/>
      <c r="W1026" s="1535"/>
      <c r="X1026" s="1535"/>
      <c r="Y1026" s="1535"/>
      <c r="Z1026" s="1535"/>
      <c r="AA1026" s="1535"/>
      <c r="AB1026" s="1535"/>
      <c r="AC1026" s="1535"/>
      <c r="AD1026" s="1535"/>
      <c r="AE1026" s="1536"/>
      <c r="AF1026" s="1565"/>
      <c r="AG1026" s="1565"/>
      <c r="AH1026" s="1565"/>
      <c r="AI1026" s="1565"/>
      <c r="AJ1026" s="1449"/>
      <c r="AK1026" s="1450"/>
      <c r="AL1026" s="1450"/>
      <c r="AM1026" s="1450"/>
      <c r="AN1026" s="1450"/>
      <c r="AO1026" s="1450"/>
      <c r="AP1026" s="1450"/>
      <c r="AQ1026" s="1451"/>
      <c r="AR1026" s="68"/>
      <c r="AS1026" s="68"/>
      <c r="AT1026" s="68"/>
      <c r="AU1026" s="68"/>
      <c r="AV1026" s="68"/>
      <c r="AW1026" s="68"/>
      <c r="AX1026" s="68"/>
      <c r="AY1026" s="68"/>
    </row>
    <row r="1027" spans="1:51" ht="12.95" customHeight="1">
      <c r="A1027" s="14"/>
      <c r="B1027" s="85"/>
      <c r="C1027" s="84"/>
      <c r="D1027" s="1559"/>
      <c r="E1027" s="1560"/>
      <c r="F1027" s="1560"/>
      <c r="G1027" s="1560"/>
      <c r="H1027" s="1560"/>
      <c r="I1027" s="1560"/>
      <c r="J1027" s="1560"/>
      <c r="K1027" s="1560"/>
      <c r="L1027" s="1560"/>
      <c r="M1027" s="1560"/>
      <c r="N1027" s="1560"/>
      <c r="O1027" s="1560"/>
      <c r="P1027" s="1560"/>
      <c r="Q1027" s="1560"/>
      <c r="R1027" s="1560"/>
      <c r="S1027" s="1560"/>
      <c r="T1027" s="1560"/>
      <c r="U1027" s="1560"/>
      <c r="V1027" s="1560"/>
      <c r="W1027" s="1560"/>
      <c r="X1027" s="1560"/>
      <c r="Y1027" s="1560"/>
      <c r="Z1027" s="1560"/>
      <c r="AA1027" s="1560"/>
      <c r="AB1027" s="1560"/>
      <c r="AC1027" s="1560"/>
      <c r="AD1027" s="1560"/>
      <c r="AE1027" s="1561"/>
      <c r="AF1027" s="1565"/>
      <c r="AG1027" s="1565"/>
      <c r="AH1027" s="1565"/>
      <c r="AI1027" s="1565"/>
      <c r="AJ1027" s="1452"/>
      <c r="AK1027" s="1453"/>
      <c r="AL1027" s="1453"/>
      <c r="AM1027" s="1453"/>
      <c r="AN1027" s="1453"/>
      <c r="AO1027" s="1453"/>
      <c r="AP1027" s="1453"/>
      <c r="AQ1027" s="1454"/>
      <c r="AR1027" s="68"/>
      <c r="AS1027" s="68"/>
      <c r="AT1027" s="68"/>
      <c r="AU1027" s="68"/>
      <c r="AV1027" s="68"/>
      <c r="AW1027" s="68"/>
      <c r="AX1027" s="68"/>
      <c r="AY1027" s="68"/>
    </row>
    <row r="1028" spans="1:51" ht="12.95" customHeight="1">
      <c r="A1028" s="14"/>
      <c r="B1028" s="79"/>
      <c r="C1028" s="80" t="s">
        <v>235</v>
      </c>
      <c r="D1028" s="1556" t="s">
        <v>1404</v>
      </c>
      <c r="E1028" s="1557"/>
      <c r="F1028" s="1557"/>
      <c r="G1028" s="1557"/>
      <c r="H1028" s="1557"/>
      <c r="I1028" s="1557"/>
      <c r="J1028" s="1557"/>
      <c r="K1028" s="1557"/>
      <c r="L1028" s="1557"/>
      <c r="M1028" s="1557"/>
      <c r="N1028" s="1557"/>
      <c r="O1028" s="1557"/>
      <c r="P1028" s="1557"/>
      <c r="Q1028" s="1557"/>
      <c r="R1028" s="1557"/>
      <c r="S1028" s="1557"/>
      <c r="T1028" s="1557"/>
      <c r="U1028" s="1557"/>
      <c r="V1028" s="1557"/>
      <c r="W1028" s="1557"/>
      <c r="X1028" s="1557"/>
      <c r="Y1028" s="1557"/>
      <c r="Z1028" s="1557"/>
      <c r="AA1028" s="1557"/>
      <c r="AB1028" s="1557"/>
      <c r="AC1028" s="1557"/>
      <c r="AD1028" s="1557"/>
      <c r="AE1028" s="1558"/>
      <c r="AF1028" s="79"/>
      <c r="AG1028" s="1554" t="s">
        <v>553</v>
      </c>
      <c r="AH1028" s="1555"/>
      <c r="AI1028" s="87"/>
      <c r="AJ1028" s="1446">
        <f>ROUND(IF(AG1028="yes",(AJ991*0.1),0),0)</f>
        <v>5613986</v>
      </c>
      <c r="AK1028" s="1447"/>
      <c r="AL1028" s="1447"/>
      <c r="AM1028" s="1447"/>
      <c r="AN1028" s="1447"/>
      <c r="AO1028" s="1447"/>
      <c r="AP1028" s="1447"/>
      <c r="AQ1028" s="1448"/>
      <c r="AR1028" s="68"/>
      <c r="AS1028" s="68"/>
      <c r="AT1028" s="68"/>
      <c r="AU1028" s="68"/>
      <c r="AV1028" s="68"/>
      <c r="AW1028" s="68"/>
      <c r="AX1028" s="68"/>
      <c r="AY1028" s="68"/>
    </row>
    <row r="1029" spans="1:51" ht="12.95" customHeight="1">
      <c r="A1029" s="14"/>
      <c r="B1029" s="73"/>
      <c r="C1029" s="74"/>
      <c r="D1029" s="1534" t="s">
        <v>1405</v>
      </c>
      <c r="E1029" s="1535"/>
      <c r="F1029" s="1535"/>
      <c r="G1029" s="1535"/>
      <c r="H1029" s="1535"/>
      <c r="I1029" s="1535"/>
      <c r="J1029" s="1535"/>
      <c r="K1029" s="1535"/>
      <c r="L1029" s="1535"/>
      <c r="M1029" s="1535"/>
      <c r="N1029" s="1535"/>
      <c r="O1029" s="1535"/>
      <c r="P1029" s="1535"/>
      <c r="Q1029" s="1535"/>
      <c r="R1029" s="1535"/>
      <c r="S1029" s="1535"/>
      <c r="T1029" s="1535"/>
      <c r="U1029" s="1535"/>
      <c r="V1029" s="1535"/>
      <c r="W1029" s="1535"/>
      <c r="X1029" s="1535"/>
      <c r="Y1029" s="1535"/>
      <c r="Z1029" s="1535"/>
      <c r="AA1029" s="1535"/>
      <c r="AB1029" s="1535"/>
      <c r="AC1029" s="1535"/>
      <c r="AD1029" s="1535"/>
      <c r="AE1029" s="1536"/>
      <c r="AF1029" s="73"/>
      <c r="AG1029" s="14"/>
      <c r="AH1029" s="14"/>
      <c r="AI1029" s="83"/>
      <c r="AJ1029" s="1449"/>
      <c r="AK1029" s="1450"/>
      <c r="AL1029" s="1450"/>
      <c r="AM1029" s="1450"/>
      <c r="AN1029" s="1450"/>
      <c r="AO1029" s="1450"/>
      <c r="AP1029" s="1450"/>
      <c r="AQ1029" s="1451"/>
      <c r="AR1029" s="68"/>
      <c r="AS1029" s="68"/>
      <c r="AT1029" s="68"/>
      <c r="AU1029" s="68"/>
      <c r="AV1029" s="68"/>
      <c r="AW1029" s="68"/>
      <c r="AX1029" s="68"/>
      <c r="AY1029" s="68"/>
    </row>
    <row r="1030" spans="1:51" ht="12.95" customHeight="1">
      <c r="A1030" s="14"/>
      <c r="B1030" s="77"/>
      <c r="C1030" s="74"/>
      <c r="D1030" s="1559"/>
      <c r="E1030" s="1560"/>
      <c r="F1030" s="1560"/>
      <c r="G1030" s="1560"/>
      <c r="H1030" s="1560"/>
      <c r="I1030" s="1560"/>
      <c r="J1030" s="1560"/>
      <c r="K1030" s="1560"/>
      <c r="L1030" s="1560"/>
      <c r="M1030" s="1560"/>
      <c r="N1030" s="1560"/>
      <c r="O1030" s="1560"/>
      <c r="P1030" s="1560"/>
      <c r="Q1030" s="1560"/>
      <c r="R1030" s="1560"/>
      <c r="S1030" s="1560"/>
      <c r="T1030" s="1560"/>
      <c r="U1030" s="1560"/>
      <c r="V1030" s="1560"/>
      <c r="W1030" s="1560"/>
      <c r="X1030" s="1560"/>
      <c r="Y1030" s="1560"/>
      <c r="Z1030" s="1560"/>
      <c r="AA1030" s="1560"/>
      <c r="AB1030" s="1560"/>
      <c r="AC1030" s="1560"/>
      <c r="AD1030" s="1560"/>
      <c r="AE1030" s="1561"/>
      <c r="AF1030" s="73"/>
      <c r="AG1030" s="14"/>
      <c r="AH1030" s="14"/>
      <c r="AI1030" s="83"/>
      <c r="AJ1030" s="1452"/>
      <c r="AK1030" s="1453"/>
      <c r="AL1030" s="1453"/>
      <c r="AM1030" s="1453"/>
      <c r="AN1030" s="1453"/>
      <c r="AO1030" s="1453"/>
      <c r="AP1030" s="1453"/>
      <c r="AQ1030" s="1454"/>
      <c r="AR1030" s="68"/>
      <c r="AS1030" s="68"/>
      <c r="AT1030" s="68"/>
      <c r="AU1030" s="68"/>
      <c r="AV1030" s="68"/>
      <c r="AW1030" s="68"/>
      <c r="AX1030" s="68"/>
      <c r="AY1030" s="68"/>
    </row>
    <row r="1031" spans="1:51" ht="12.95" customHeight="1">
      <c r="A1031" s="14"/>
      <c r="B1031" s="73"/>
      <c r="C1031" s="367" t="s">
        <v>696</v>
      </c>
      <c r="D1031" s="1546" t="s">
        <v>1874</v>
      </c>
      <c r="E1031" s="1547"/>
      <c r="F1031" s="1547"/>
      <c r="G1031" s="1547"/>
      <c r="H1031" s="1547"/>
      <c r="I1031" s="1547"/>
      <c r="J1031" s="1547"/>
      <c r="K1031" s="1547"/>
      <c r="L1031" s="1547"/>
      <c r="M1031" s="1547"/>
      <c r="N1031" s="1547"/>
      <c r="O1031" s="1547"/>
      <c r="P1031" s="1547"/>
      <c r="Q1031" s="1547"/>
      <c r="R1031" s="1547"/>
      <c r="S1031" s="1547"/>
      <c r="T1031" s="1547"/>
      <c r="U1031" s="1547"/>
      <c r="V1031" s="1547"/>
      <c r="W1031" s="1547"/>
      <c r="X1031" s="1547"/>
      <c r="Y1031" s="1547"/>
      <c r="Z1031" s="1547"/>
      <c r="AA1031" s="1547"/>
      <c r="AB1031" s="1547"/>
      <c r="AC1031" s="1547"/>
      <c r="AD1031" s="1547"/>
      <c r="AE1031" s="1548"/>
      <c r="AF1031" s="79"/>
      <c r="AG1031" s="1554" t="s">
        <v>677</v>
      </c>
      <c r="AH1031" s="1555"/>
      <c r="AI1031" s="87"/>
      <c r="AJ1031" s="1446">
        <f>ROUND(IF(AG1031="yes",(AJ991*0.15),0),0)</f>
        <v>0</v>
      </c>
      <c r="AK1031" s="1447"/>
      <c r="AL1031" s="1447"/>
      <c r="AM1031" s="1447"/>
      <c r="AN1031" s="1447"/>
      <c r="AO1031" s="1447"/>
      <c r="AP1031" s="1447"/>
      <c r="AQ1031" s="1448"/>
      <c r="AR1031" s="68"/>
      <c r="AS1031" s="68"/>
      <c r="AT1031" s="68"/>
      <c r="AU1031" s="68"/>
      <c r="AV1031" s="68"/>
      <c r="AW1031" s="68"/>
      <c r="AX1031" s="68"/>
      <c r="AY1031" s="68"/>
    </row>
    <row r="1032" spans="1:51" ht="12.95" customHeight="1">
      <c r="A1032" s="14"/>
      <c r="B1032" s="73"/>
      <c r="C1032" s="74"/>
      <c r="D1032" s="1578"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9"/>
      <c r="AF1032" s="950"/>
      <c r="AG1032" s="951"/>
      <c r="AH1032" s="951"/>
      <c r="AI1032" s="952"/>
      <c r="AJ1032" s="1449"/>
      <c r="AK1032" s="1450"/>
      <c r="AL1032" s="1450"/>
      <c r="AM1032" s="1450"/>
      <c r="AN1032" s="1450"/>
      <c r="AO1032" s="1450"/>
      <c r="AP1032" s="1450"/>
      <c r="AQ1032" s="1451"/>
      <c r="AR1032" s="68"/>
      <c r="AS1032" s="68"/>
      <c r="AT1032" s="68"/>
      <c r="AU1032" s="68"/>
      <c r="AV1032" s="68"/>
      <c r="AW1032" s="68"/>
      <c r="AX1032" s="68"/>
      <c r="AY1032" s="68"/>
    </row>
    <row r="1033" spans="1:51" ht="12.95" customHeight="1">
      <c r="A1033" s="14"/>
      <c r="B1033" s="73"/>
      <c r="C1033" s="74"/>
      <c r="D1033" s="157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9"/>
      <c r="AF1033" s="950"/>
      <c r="AG1033" s="951"/>
      <c r="AH1033" s="951"/>
      <c r="AI1033" s="952"/>
      <c r="AJ1033" s="1449"/>
      <c r="AK1033" s="1450"/>
      <c r="AL1033" s="1450"/>
      <c r="AM1033" s="1450"/>
      <c r="AN1033" s="1450"/>
      <c r="AO1033" s="1450"/>
      <c r="AP1033" s="1450"/>
      <c r="AQ1033" s="1451"/>
      <c r="AR1033" s="68"/>
      <c r="AS1033" s="68"/>
      <c r="AT1033" s="68"/>
      <c r="AU1033" s="68"/>
      <c r="AV1033" s="68"/>
      <c r="AW1033" s="68"/>
      <c r="AX1033" s="68"/>
      <c r="AY1033" s="68"/>
    </row>
    <row r="1034" spans="1:51" ht="12.95" customHeight="1">
      <c r="A1034" s="14"/>
      <c r="B1034" s="73"/>
      <c r="C1034" s="74"/>
      <c r="D1034" s="1580"/>
      <c r="E1034" s="1581"/>
      <c r="F1034" s="1581"/>
      <c r="G1034" s="1581"/>
      <c r="H1034" s="1581"/>
      <c r="I1034" s="1581"/>
      <c r="J1034" s="1581"/>
      <c r="K1034" s="1581"/>
      <c r="L1034" s="1581"/>
      <c r="M1034" s="1581"/>
      <c r="N1034" s="1581"/>
      <c r="O1034" s="1581"/>
      <c r="P1034" s="1581"/>
      <c r="Q1034" s="1581"/>
      <c r="R1034" s="1581"/>
      <c r="S1034" s="1581"/>
      <c r="T1034" s="1581"/>
      <c r="U1034" s="1581"/>
      <c r="V1034" s="1581"/>
      <c r="W1034" s="1581"/>
      <c r="X1034" s="1581"/>
      <c r="Y1034" s="1581"/>
      <c r="Z1034" s="1581"/>
      <c r="AA1034" s="1581"/>
      <c r="AB1034" s="1581"/>
      <c r="AC1034" s="1581"/>
      <c r="AD1034" s="1581"/>
      <c r="AE1034" s="1582"/>
      <c r="AF1034" s="953"/>
      <c r="AG1034" s="954"/>
      <c r="AH1034" s="954"/>
      <c r="AI1034" s="955"/>
      <c r="AJ1034" s="1452"/>
      <c r="AK1034" s="1453"/>
      <c r="AL1034" s="1453"/>
      <c r="AM1034" s="1453"/>
      <c r="AN1034" s="1453"/>
      <c r="AO1034" s="1453"/>
      <c r="AP1034" s="1453"/>
      <c r="AQ1034" s="1454"/>
      <c r="AR1034" s="68"/>
      <c r="AS1034" s="68"/>
      <c r="AT1034" s="68"/>
      <c r="AU1034" s="68"/>
      <c r="AV1034" s="68"/>
      <c r="AW1034" s="68"/>
      <c r="AX1034" s="68"/>
      <c r="AY1034" s="68"/>
    </row>
    <row r="1035" spans="1:51" ht="12.95" customHeight="1">
      <c r="A1035" s="14"/>
      <c r="B1035" s="73"/>
      <c r="C1035" s="367" t="s">
        <v>696</v>
      </c>
      <c r="D1035" s="1556" t="s">
        <v>1876</v>
      </c>
      <c r="E1035" s="1557"/>
      <c r="F1035" s="1557"/>
      <c r="G1035" s="1557"/>
      <c r="H1035" s="1557"/>
      <c r="I1035" s="1557"/>
      <c r="J1035" s="1557"/>
      <c r="K1035" s="1557"/>
      <c r="L1035" s="1557"/>
      <c r="M1035" s="1557"/>
      <c r="N1035" s="1557"/>
      <c r="O1035" s="1557"/>
      <c r="P1035" s="1557"/>
      <c r="Q1035" s="1557"/>
      <c r="R1035" s="1557"/>
      <c r="S1035" s="1557"/>
      <c r="T1035" s="1557"/>
      <c r="U1035" s="1557"/>
      <c r="V1035" s="1557"/>
      <c r="W1035" s="1557"/>
      <c r="X1035" s="1557"/>
      <c r="Y1035" s="1557"/>
      <c r="Z1035" s="1557"/>
      <c r="AA1035" s="1557"/>
      <c r="AB1035" s="1557"/>
      <c r="AC1035" s="1557"/>
      <c r="AD1035" s="1557"/>
      <c r="AE1035" s="1558"/>
      <c r="AF1035" s="73"/>
      <c r="AG1035" s="1649" t="s">
        <v>677</v>
      </c>
      <c r="AH1035" s="1650"/>
      <c r="AI1035" s="83"/>
      <c r="AJ1035" s="1446">
        <f>ROUND(IF(AND(AG1035="yes",AJ1031=0),(AJ991*0.1),0),0)</f>
        <v>0</v>
      </c>
      <c r="AK1035" s="1447"/>
      <c r="AL1035" s="1447"/>
      <c r="AM1035" s="1447"/>
      <c r="AN1035" s="1447"/>
      <c r="AO1035" s="1447"/>
      <c r="AP1035" s="1447"/>
      <c r="AQ1035" s="1448"/>
      <c r="AR1035" s="68"/>
      <c r="AS1035" s="68"/>
      <c r="AT1035" s="68"/>
      <c r="AU1035" s="68"/>
      <c r="AV1035" s="68"/>
      <c r="AW1035" s="68"/>
      <c r="AX1035" s="68"/>
      <c r="AY1035" s="68"/>
    </row>
    <row r="1036" spans="1:51" ht="12.95" customHeight="1">
      <c r="A1036" s="14"/>
      <c r="B1036" s="73"/>
      <c r="C1036" s="74"/>
      <c r="D1036" s="1578"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9"/>
      <c r="AF1036" s="73"/>
      <c r="AG1036" s="14"/>
      <c r="AH1036" s="14"/>
      <c r="AI1036" s="83"/>
      <c r="AJ1036" s="1449"/>
      <c r="AK1036" s="1450"/>
      <c r="AL1036" s="1450"/>
      <c r="AM1036" s="1450"/>
      <c r="AN1036" s="1450"/>
      <c r="AO1036" s="1450"/>
      <c r="AP1036" s="1450"/>
      <c r="AQ1036" s="1451"/>
      <c r="AR1036" s="68"/>
      <c r="AS1036" s="68"/>
      <c r="AT1036" s="68"/>
      <c r="AU1036" s="68"/>
      <c r="AV1036" s="68"/>
      <c r="AW1036" s="68"/>
      <c r="AX1036" s="68"/>
      <c r="AY1036" s="68"/>
    </row>
    <row r="1037" spans="1:51" ht="12.95" customHeight="1">
      <c r="A1037" s="14"/>
      <c r="B1037" s="73"/>
      <c r="C1037" s="74"/>
      <c r="D1037" s="157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9"/>
      <c r="AF1037" s="73"/>
      <c r="AG1037" s="14"/>
      <c r="AH1037" s="14"/>
      <c r="AI1037" s="83"/>
      <c r="AJ1037" s="1449"/>
      <c r="AK1037" s="1450"/>
      <c r="AL1037" s="1450"/>
      <c r="AM1037" s="1450"/>
      <c r="AN1037" s="1450"/>
      <c r="AO1037" s="1450"/>
      <c r="AP1037" s="1450"/>
      <c r="AQ1037" s="1451"/>
      <c r="AR1037" s="68"/>
      <c r="AS1037" s="68"/>
      <c r="AT1037" s="68"/>
      <c r="AU1037" s="68"/>
      <c r="AV1037" s="68"/>
      <c r="AW1037" s="68"/>
      <c r="AX1037" s="68"/>
      <c r="AY1037" s="68"/>
    </row>
    <row r="1038" spans="1:51" ht="12.95" customHeight="1">
      <c r="A1038" s="14"/>
      <c r="B1038" s="73"/>
      <c r="C1038" s="74"/>
      <c r="D1038" s="157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9"/>
      <c r="AF1038" s="73"/>
      <c r="AG1038" s="14"/>
      <c r="AH1038" s="14"/>
      <c r="AI1038" s="83"/>
      <c r="AJ1038" s="1449"/>
      <c r="AK1038" s="1450"/>
      <c r="AL1038" s="1450"/>
      <c r="AM1038" s="1450"/>
      <c r="AN1038" s="1450"/>
      <c r="AO1038" s="1450"/>
      <c r="AP1038" s="1450"/>
      <c r="AQ1038" s="1451"/>
      <c r="AR1038" s="68"/>
      <c r="AS1038" s="68"/>
      <c r="AT1038" s="68"/>
      <c r="AU1038" s="68"/>
      <c r="AV1038" s="68"/>
      <c r="AW1038" s="68"/>
      <c r="AX1038" s="68"/>
      <c r="AY1038" s="68"/>
    </row>
    <row r="1039" spans="1:51" ht="12.95" customHeight="1">
      <c r="A1039" s="14"/>
      <c r="B1039" s="73"/>
      <c r="C1039" s="74"/>
      <c r="D1039" s="1580"/>
      <c r="E1039" s="1581"/>
      <c r="F1039" s="1581"/>
      <c r="G1039" s="1581"/>
      <c r="H1039" s="1581"/>
      <c r="I1039" s="1581"/>
      <c r="J1039" s="1581"/>
      <c r="K1039" s="1581"/>
      <c r="L1039" s="1581"/>
      <c r="M1039" s="1581"/>
      <c r="N1039" s="1581"/>
      <c r="O1039" s="1581"/>
      <c r="P1039" s="1581"/>
      <c r="Q1039" s="1581"/>
      <c r="R1039" s="1581"/>
      <c r="S1039" s="1581"/>
      <c r="T1039" s="1581"/>
      <c r="U1039" s="1581"/>
      <c r="V1039" s="1581"/>
      <c r="W1039" s="1581"/>
      <c r="X1039" s="1581"/>
      <c r="Y1039" s="1581"/>
      <c r="Z1039" s="1581"/>
      <c r="AA1039" s="1581"/>
      <c r="AB1039" s="1581"/>
      <c r="AC1039" s="1581"/>
      <c r="AD1039" s="1581"/>
      <c r="AE1039" s="1582"/>
      <c r="AF1039" s="73"/>
      <c r="AG1039" s="14"/>
      <c r="AH1039" s="14"/>
      <c r="AI1039" s="83"/>
      <c r="AJ1039" s="1449"/>
      <c r="AK1039" s="1450"/>
      <c r="AL1039" s="1450"/>
      <c r="AM1039" s="1450"/>
      <c r="AN1039" s="1450"/>
      <c r="AO1039" s="1450"/>
      <c r="AP1039" s="1450"/>
      <c r="AQ1039" s="1451"/>
      <c r="AR1039" s="68"/>
      <c r="AS1039" s="68"/>
      <c r="AT1039" s="68"/>
      <c r="AU1039" s="68"/>
      <c r="AV1039" s="68"/>
      <c r="AW1039" s="68"/>
      <c r="AX1039" s="68"/>
      <c r="AY1039" s="68"/>
    </row>
    <row r="1040" spans="1:51" ht="12.95" customHeight="1">
      <c r="A1040" s="14"/>
      <c r="B1040" s="79"/>
      <c r="C1040" s="131" t="s">
        <v>1034</v>
      </c>
      <c r="D1040" s="1546" t="s">
        <v>1406</v>
      </c>
      <c r="E1040" s="1547"/>
      <c r="F1040" s="1547"/>
      <c r="G1040" s="1547"/>
      <c r="H1040" s="1547"/>
      <c r="I1040" s="1547"/>
      <c r="J1040" s="1547"/>
      <c r="K1040" s="1547"/>
      <c r="L1040" s="1547"/>
      <c r="M1040" s="1547"/>
      <c r="N1040" s="1547"/>
      <c r="O1040" s="1547"/>
      <c r="P1040" s="1547"/>
      <c r="Q1040" s="1547"/>
      <c r="R1040" s="1547"/>
      <c r="S1040" s="1547"/>
      <c r="T1040" s="1547"/>
      <c r="U1040" s="1547"/>
      <c r="V1040" s="1547"/>
      <c r="W1040" s="1547"/>
      <c r="X1040" s="1547"/>
      <c r="Y1040" s="1547"/>
      <c r="Z1040" s="1547"/>
      <c r="AA1040" s="1547"/>
      <c r="AB1040" s="1547"/>
      <c r="AC1040" s="1547"/>
      <c r="AD1040" s="1547"/>
      <c r="AE1040" s="1548"/>
      <c r="AF1040" s="79"/>
      <c r="AG1040" s="1554" t="s">
        <v>553</v>
      </c>
      <c r="AH1040" s="1555"/>
      <c r="AI1040" s="87"/>
      <c r="AJ1040" s="1446">
        <f>ROUND(IF(AG1040="yes",(AJ991*0.1),0),0)</f>
        <v>5613986</v>
      </c>
      <c r="AK1040" s="1447"/>
      <c r="AL1040" s="1447"/>
      <c r="AM1040" s="1447"/>
      <c r="AN1040" s="1447"/>
      <c r="AO1040" s="1447"/>
      <c r="AP1040" s="1447"/>
      <c r="AQ1040" s="1448"/>
      <c r="AR1040" s="68"/>
      <c r="AS1040" s="68"/>
      <c r="AT1040" s="68"/>
      <c r="AU1040" s="68"/>
      <c r="AV1040" s="68"/>
      <c r="AW1040" s="68"/>
      <c r="AX1040" s="68"/>
      <c r="AY1040" s="68"/>
    </row>
    <row r="1041" spans="1:51" ht="12.95" customHeight="1">
      <c r="A1041" s="14"/>
      <c r="B1041" s="73"/>
      <c r="C1041" s="74"/>
      <c r="D1041" s="1534" t="s">
        <v>2502</v>
      </c>
      <c r="E1041" s="1535"/>
      <c r="F1041" s="1535"/>
      <c r="G1041" s="1535"/>
      <c r="H1041" s="1535"/>
      <c r="I1041" s="1535"/>
      <c r="J1041" s="1535"/>
      <c r="K1041" s="1535"/>
      <c r="L1041" s="1535"/>
      <c r="M1041" s="1535"/>
      <c r="N1041" s="1535"/>
      <c r="O1041" s="1535"/>
      <c r="P1041" s="1535"/>
      <c r="Q1041" s="1535"/>
      <c r="R1041" s="1535"/>
      <c r="S1041" s="1535"/>
      <c r="T1041" s="1535"/>
      <c r="U1041" s="1535"/>
      <c r="V1041" s="1535"/>
      <c r="W1041" s="1535"/>
      <c r="X1041" s="1535"/>
      <c r="Y1041" s="1535"/>
      <c r="Z1041" s="1535"/>
      <c r="AA1041" s="1535"/>
      <c r="AB1041" s="1535"/>
      <c r="AC1041" s="1535"/>
      <c r="AD1041" s="1535"/>
      <c r="AE1041" s="1536"/>
      <c r="AF1041" s="73"/>
      <c r="AG1041" s="14"/>
      <c r="AH1041" s="14"/>
      <c r="AI1041" s="83"/>
      <c r="AJ1041" s="1449"/>
      <c r="AK1041" s="1450"/>
      <c r="AL1041" s="1450"/>
      <c r="AM1041" s="1450"/>
      <c r="AN1041" s="1450"/>
      <c r="AO1041" s="1450"/>
      <c r="AP1041" s="1450"/>
      <c r="AQ1041" s="1451"/>
      <c r="AR1041" s="68"/>
      <c r="AS1041" s="68"/>
      <c r="AT1041" s="68"/>
      <c r="AU1041" s="68"/>
      <c r="AV1041" s="68"/>
      <c r="AW1041" s="68"/>
      <c r="AX1041" s="68"/>
      <c r="AY1041" s="68"/>
    </row>
    <row r="1042" spans="1:51" ht="12.95" customHeight="1">
      <c r="A1042" s="14"/>
      <c r="B1042" s="73"/>
      <c r="C1042" s="74"/>
      <c r="D1042" s="1534"/>
      <c r="E1042" s="1535"/>
      <c r="F1042" s="1535"/>
      <c r="G1042" s="1535"/>
      <c r="H1042" s="1535"/>
      <c r="I1042" s="1535"/>
      <c r="J1042" s="1535"/>
      <c r="K1042" s="1535"/>
      <c r="L1042" s="1535"/>
      <c r="M1042" s="1535"/>
      <c r="N1042" s="1535"/>
      <c r="O1042" s="1535"/>
      <c r="P1042" s="1535"/>
      <c r="Q1042" s="1535"/>
      <c r="R1042" s="1535"/>
      <c r="S1042" s="1535"/>
      <c r="T1042" s="1535"/>
      <c r="U1042" s="1535"/>
      <c r="V1042" s="1535"/>
      <c r="W1042" s="1535"/>
      <c r="X1042" s="1535"/>
      <c r="Y1042" s="1535"/>
      <c r="Z1042" s="1535"/>
      <c r="AA1042" s="1535"/>
      <c r="AB1042" s="1535"/>
      <c r="AC1042" s="1535"/>
      <c r="AD1042" s="1535"/>
      <c r="AE1042" s="1536"/>
      <c r="AF1042" s="73"/>
      <c r="AG1042" s="14"/>
      <c r="AH1042" s="14"/>
      <c r="AI1042" s="83"/>
      <c r="AJ1042" s="1449"/>
      <c r="AK1042" s="1450"/>
      <c r="AL1042" s="1450"/>
      <c r="AM1042" s="1450"/>
      <c r="AN1042" s="1450"/>
      <c r="AO1042" s="1450"/>
      <c r="AP1042" s="1450"/>
      <c r="AQ1042" s="1451"/>
      <c r="AR1042" s="68"/>
      <c r="AS1042" s="68"/>
      <c r="AT1042" s="68"/>
      <c r="AU1042" s="68"/>
      <c r="AV1042" s="68"/>
      <c r="AW1042" s="68"/>
      <c r="AX1042" s="68"/>
      <c r="AY1042" s="68"/>
    </row>
    <row r="1043" spans="1:51" ht="12.95" customHeight="1">
      <c r="A1043" s="14"/>
      <c r="B1043" s="73"/>
      <c r="C1043" s="74"/>
      <c r="D1043" s="1559"/>
      <c r="E1043" s="1560"/>
      <c r="F1043" s="1560"/>
      <c r="G1043" s="1560"/>
      <c r="H1043" s="1560"/>
      <c r="I1043" s="1560"/>
      <c r="J1043" s="1560"/>
      <c r="K1043" s="1560"/>
      <c r="L1043" s="1560"/>
      <c r="M1043" s="1560"/>
      <c r="N1043" s="1560"/>
      <c r="O1043" s="1560"/>
      <c r="P1043" s="1560"/>
      <c r="Q1043" s="1560"/>
      <c r="R1043" s="1560"/>
      <c r="S1043" s="1560"/>
      <c r="T1043" s="1560"/>
      <c r="U1043" s="1560"/>
      <c r="V1043" s="1560"/>
      <c r="W1043" s="1560"/>
      <c r="X1043" s="1560"/>
      <c r="Y1043" s="1560"/>
      <c r="Z1043" s="1560"/>
      <c r="AA1043" s="1560"/>
      <c r="AB1043" s="1560"/>
      <c r="AC1043" s="1560"/>
      <c r="AD1043" s="1560"/>
      <c r="AE1043" s="1561"/>
      <c r="AF1043" s="73"/>
      <c r="AG1043" s="14"/>
      <c r="AH1043" s="14"/>
      <c r="AI1043" s="83"/>
      <c r="AJ1043" s="1452"/>
      <c r="AK1043" s="1453"/>
      <c r="AL1043" s="1453"/>
      <c r="AM1043" s="1453"/>
      <c r="AN1043" s="1453"/>
      <c r="AO1043" s="1453"/>
      <c r="AP1043" s="1453"/>
      <c r="AQ1043" s="1454"/>
      <c r="AR1043" s="68"/>
      <c r="AS1043" s="68"/>
      <c r="AT1043" s="68"/>
      <c r="AU1043" s="68"/>
      <c r="AV1043" s="68"/>
      <c r="AW1043" s="68"/>
      <c r="AX1043" s="68"/>
      <c r="AY1043" s="68"/>
    </row>
    <row r="1044" spans="1:51" ht="12.95" customHeight="1">
      <c r="A1044" s="14"/>
      <c r="B1044" s="79"/>
      <c r="C1044" s="131" t="s">
        <v>1872</v>
      </c>
      <c r="D1044" s="1556" t="s">
        <v>2054</v>
      </c>
      <c r="E1044" s="1557"/>
      <c r="F1044" s="1557"/>
      <c r="G1044" s="1557"/>
      <c r="H1044" s="1557"/>
      <c r="I1044" s="1557"/>
      <c r="J1044" s="1557"/>
      <c r="K1044" s="1557"/>
      <c r="L1044" s="1557"/>
      <c r="M1044" s="1557"/>
      <c r="N1044" s="1557"/>
      <c r="O1044" s="1557"/>
      <c r="P1044" s="1557"/>
      <c r="Q1044" s="1557"/>
      <c r="R1044" s="1557"/>
      <c r="S1044" s="1557"/>
      <c r="T1044" s="1557"/>
      <c r="U1044" s="1557"/>
      <c r="V1044" s="1557"/>
      <c r="W1044" s="1557"/>
      <c r="X1044" s="1557"/>
      <c r="Y1044" s="1557"/>
      <c r="Z1044" s="1557"/>
      <c r="AA1044" s="1557"/>
      <c r="AB1044" s="1557"/>
      <c r="AC1044" s="1557"/>
      <c r="AD1044" s="1557"/>
      <c r="AE1044" s="1558"/>
      <c r="AF1044" s="79"/>
      <c r="AG1044" s="1622" t="str">
        <f>IF(X1047&gt;0,"Yes","No")</f>
        <v>No</v>
      </c>
      <c r="AH1044" s="1623"/>
      <c r="AI1044" s="87"/>
      <c r="AJ1044" s="1446">
        <f>IF((X1047=0),0,AY1004*AJ991)</f>
        <v>0</v>
      </c>
      <c r="AK1044" s="1447"/>
      <c r="AL1044" s="1447"/>
      <c r="AM1044" s="1447"/>
      <c r="AN1044" s="1447"/>
      <c r="AO1044" s="1447"/>
      <c r="AP1044" s="1447"/>
      <c r="AQ1044" s="1448"/>
      <c r="AR1044" s="68"/>
      <c r="AS1044" s="68"/>
      <c r="AT1044" s="68"/>
      <c r="AU1044" s="68"/>
      <c r="AV1044" s="68"/>
      <c r="AW1044" s="68"/>
      <c r="AX1044" s="68"/>
      <c r="AY1044" s="68"/>
    </row>
    <row r="1045" spans="1:51" ht="12.95" customHeight="1">
      <c r="A1045" s="14"/>
      <c r="B1045" s="73"/>
      <c r="C1045" s="476"/>
      <c r="D1045" s="1534" t="s">
        <v>1408</v>
      </c>
      <c r="E1045" s="1535"/>
      <c r="F1045" s="1535"/>
      <c r="G1045" s="1535"/>
      <c r="H1045" s="1535"/>
      <c r="I1045" s="1535"/>
      <c r="J1045" s="1535"/>
      <c r="K1045" s="1535"/>
      <c r="L1045" s="1535"/>
      <c r="M1045" s="1535"/>
      <c r="N1045" s="1535"/>
      <c r="O1045" s="1535"/>
      <c r="P1045" s="1535"/>
      <c r="Q1045" s="1535"/>
      <c r="R1045" s="1535"/>
      <c r="S1045" s="1535"/>
      <c r="T1045" s="1535"/>
      <c r="U1045" s="1535"/>
      <c r="V1045" s="1535"/>
      <c r="W1045" s="1535"/>
      <c r="X1045" s="1535"/>
      <c r="Y1045" s="1535"/>
      <c r="Z1045" s="1535"/>
      <c r="AA1045" s="1535"/>
      <c r="AB1045" s="1535"/>
      <c r="AC1045" s="1535"/>
      <c r="AD1045" s="1535"/>
      <c r="AE1045" s="1536"/>
      <c r="AF1045" s="73"/>
      <c r="AG1045" s="477"/>
      <c r="AH1045" s="477"/>
      <c r="AI1045" s="83"/>
      <c r="AJ1045" s="1449"/>
      <c r="AK1045" s="1450"/>
      <c r="AL1045" s="1450"/>
      <c r="AM1045" s="1450"/>
      <c r="AN1045" s="1450"/>
      <c r="AO1045" s="1450"/>
      <c r="AP1045" s="1450"/>
      <c r="AQ1045" s="1451"/>
      <c r="AR1045" s="68"/>
      <c r="AS1045" s="68"/>
      <c r="AT1045" s="68"/>
      <c r="AU1045" s="13"/>
      <c r="AV1045" s="68"/>
      <c r="AW1045" s="68"/>
      <c r="AX1045" s="68"/>
      <c r="AY1045" s="68"/>
    </row>
    <row r="1046" spans="1:51" ht="12.95" customHeight="1">
      <c r="A1046" s="14"/>
      <c r="B1046" s="73"/>
      <c r="C1046" s="476"/>
      <c r="D1046" s="1534"/>
      <c r="E1046" s="1535"/>
      <c r="F1046" s="1535"/>
      <c r="G1046" s="1535"/>
      <c r="H1046" s="1535"/>
      <c r="I1046" s="1535"/>
      <c r="J1046" s="1535"/>
      <c r="K1046" s="1535"/>
      <c r="L1046" s="1535"/>
      <c r="M1046" s="1535"/>
      <c r="N1046" s="1535"/>
      <c r="O1046" s="1535"/>
      <c r="P1046" s="1535"/>
      <c r="Q1046" s="1535"/>
      <c r="R1046" s="1535"/>
      <c r="S1046" s="1535"/>
      <c r="T1046" s="1535"/>
      <c r="U1046" s="1535"/>
      <c r="V1046" s="1535"/>
      <c r="W1046" s="1535"/>
      <c r="X1046" s="1535"/>
      <c r="Y1046" s="1535"/>
      <c r="Z1046" s="1535"/>
      <c r="AA1046" s="1535"/>
      <c r="AB1046" s="1535"/>
      <c r="AC1046" s="1535"/>
      <c r="AD1046" s="1535"/>
      <c r="AE1046" s="1536"/>
      <c r="AF1046" s="73"/>
      <c r="AG1046" s="477"/>
      <c r="AH1046" s="477"/>
      <c r="AI1046" s="83"/>
      <c r="AJ1046" s="1449"/>
      <c r="AK1046" s="1450"/>
      <c r="AL1046" s="1450"/>
      <c r="AM1046" s="1450"/>
      <c r="AN1046" s="1450"/>
      <c r="AO1046" s="1450"/>
      <c r="AP1046" s="1450"/>
      <c r="AQ1046" s="1451"/>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34">
        <f>AY1002</f>
        <v>116</v>
      </c>
      <c r="J1047" s="1635"/>
      <c r="K1047" s="7"/>
      <c r="L1047" s="133"/>
      <c r="M1047" s="133"/>
      <c r="N1047" s="133"/>
      <c r="O1047" s="133"/>
      <c r="P1047" s="133"/>
      <c r="Q1047" s="133"/>
      <c r="R1047" s="133"/>
      <c r="S1047" s="133"/>
      <c r="T1047" s="133"/>
      <c r="U1047" s="133"/>
      <c r="V1047" s="134" t="s">
        <v>992</v>
      </c>
      <c r="W1047" s="48"/>
      <c r="X1047" s="1632">
        <f>BG632</f>
        <v>0</v>
      </c>
      <c r="Y1047" s="1633"/>
      <c r="Z1047" s="48"/>
      <c r="AA1047" s="48"/>
      <c r="AB1047" s="48"/>
      <c r="AC1047" s="48"/>
      <c r="AD1047" s="48"/>
      <c r="AE1047" s="49"/>
      <c r="AF1047" s="959"/>
      <c r="AG1047" s="960"/>
      <c r="AH1047" s="960"/>
      <c r="AI1047" s="961"/>
      <c r="AJ1047" s="1452"/>
      <c r="AK1047" s="1453"/>
      <c r="AL1047" s="1453"/>
      <c r="AM1047" s="1453"/>
      <c r="AN1047" s="1453"/>
      <c r="AO1047" s="1453"/>
      <c r="AP1047" s="1453"/>
      <c r="AQ1047" s="1454"/>
      <c r="AR1047" s="68"/>
      <c r="AS1047" s="68"/>
      <c r="AT1047" s="68"/>
      <c r="AU1047" s="14"/>
      <c r="AV1047" s="68"/>
      <c r="AW1047" s="68"/>
      <c r="AX1047" s="68"/>
      <c r="AY1047" s="68"/>
    </row>
    <row r="1048" spans="1:51" ht="12.95" customHeight="1">
      <c r="A1048" s="14"/>
      <c r="B1048" s="79"/>
      <c r="C1048" s="131" t="s">
        <v>1873</v>
      </c>
      <c r="D1048" s="1546" t="s">
        <v>2531</v>
      </c>
      <c r="E1048" s="1547"/>
      <c r="F1048" s="1547"/>
      <c r="G1048" s="1547"/>
      <c r="H1048" s="1547"/>
      <c r="I1048" s="1547"/>
      <c r="J1048" s="1547"/>
      <c r="K1048" s="1547"/>
      <c r="L1048" s="1547"/>
      <c r="M1048" s="1547"/>
      <c r="N1048" s="1547"/>
      <c r="O1048" s="1547"/>
      <c r="P1048" s="1547"/>
      <c r="Q1048" s="1547"/>
      <c r="R1048" s="1547"/>
      <c r="S1048" s="1547"/>
      <c r="T1048" s="1547"/>
      <c r="U1048" s="1547"/>
      <c r="V1048" s="1547"/>
      <c r="W1048" s="1547"/>
      <c r="X1048" s="1547"/>
      <c r="Y1048" s="1547"/>
      <c r="Z1048" s="1547"/>
      <c r="AA1048" s="1547"/>
      <c r="AB1048" s="1547"/>
      <c r="AC1048" s="1547"/>
      <c r="AD1048" s="1547"/>
      <c r="AE1048" s="1548"/>
      <c r="AF1048" s="73"/>
      <c r="AG1048" s="1622" t="str">
        <f>IF(X1051&gt;0,"Yes","No")</f>
        <v>Yes</v>
      </c>
      <c r="AH1048" s="1623"/>
      <c r="AI1048" s="83"/>
      <c r="AJ1048" s="1446">
        <f>IF((X1051=0),0,(2*AY1005)*AJ991)</f>
        <v>56139860</v>
      </c>
      <c r="AK1048" s="1447"/>
      <c r="AL1048" s="1447"/>
      <c r="AM1048" s="1447"/>
      <c r="AN1048" s="1447"/>
      <c r="AO1048" s="1447"/>
      <c r="AP1048" s="1447"/>
      <c r="AQ1048" s="1448"/>
      <c r="AR1048" s="68"/>
      <c r="AS1048" s="68"/>
      <c r="AT1048" s="68"/>
      <c r="AU1048" s="14"/>
      <c r="AV1048" s="68"/>
      <c r="AW1048" s="68"/>
      <c r="AX1048" s="68"/>
      <c r="AY1048" s="68"/>
    </row>
    <row r="1049" spans="1:51" ht="12.95" customHeight="1">
      <c r="A1049" s="14"/>
      <c r="B1049" s="73"/>
      <c r="C1049" s="476"/>
      <c r="D1049" s="1534" t="s">
        <v>1407</v>
      </c>
      <c r="E1049" s="1535"/>
      <c r="F1049" s="1535"/>
      <c r="G1049" s="1535"/>
      <c r="H1049" s="1535"/>
      <c r="I1049" s="1535"/>
      <c r="J1049" s="1535"/>
      <c r="K1049" s="1535"/>
      <c r="L1049" s="1535"/>
      <c r="M1049" s="1535"/>
      <c r="N1049" s="1535"/>
      <c r="O1049" s="1535"/>
      <c r="P1049" s="1535"/>
      <c r="Q1049" s="1535"/>
      <c r="R1049" s="1535"/>
      <c r="S1049" s="1535"/>
      <c r="T1049" s="1535"/>
      <c r="U1049" s="1535"/>
      <c r="V1049" s="1535"/>
      <c r="W1049" s="1535"/>
      <c r="X1049" s="1535"/>
      <c r="Y1049" s="1535"/>
      <c r="Z1049" s="1535"/>
      <c r="AA1049" s="1535"/>
      <c r="AB1049" s="1535"/>
      <c r="AC1049" s="1535"/>
      <c r="AD1049" s="1535"/>
      <c r="AE1049" s="1536"/>
      <c r="AF1049" s="73"/>
      <c r="AG1049" s="477"/>
      <c r="AH1049" s="477"/>
      <c r="AI1049" s="83"/>
      <c r="AJ1049" s="1449"/>
      <c r="AK1049" s="1450"/>
      <c r="AL1049" s="1450"/>
      <c r="AM1049" s="1450"/>
      <c r="AN1049" s="1450"/>
      <c r="AO1049" s="1450"/>
      <c r="AP1049" s="1450"/>
      <c r="AQ1049" s="1451"/>
      <c r="AR1049" s="68"/>
      <c r="AS1049" s="68"/>
      <c r="AT1049" s="68"/>
      <c r="AU1049" s="68"/>
      <c r="AV1049" s="68"/>
      <c r="AW1049" s="68"/>
      <c r="AX1049" s="68"/>
      <c r="AY1049" s="68"/>
    </row>
    <row r="1050" spans="1:51" ht="12.95" customHeight="1">
      <c r="A1050" s="14"/>
      <c r="B1050" s="73"/>
      <c r="C1050" s="83"/>
      <c r="D1050" s="1534"/>
      <c r="E1050" s="1535"/>
      <c r="F1050" s="1535"/>
      <c r="G1050" s="1535"/>
      <c r="H1050" s="1535"/>
      <c r="I1050" s="1535"/>
      <c r="J1050" s="1535"/>
      <c r="K1050" s="1535"/>
      <c r="L1050" s="1535"/>
      <c r="M1050" s="1535"/>
      <c r="N1050" s="1535"/>
      <c r="O1050" s="1535"/>
      <c r="P1050" s="1535"/>
      <c r="Q1050" s="1535"/>
      <c r="R1050" s="1535"/>
      <c r="S1050" s="1535"/>
      <c r="T1050" s="1535"/>
      <c r="U1050" s="1535"/>
      <c r="V1050" s="1535"/>
      <c r="W1050" s="1535"/>
      <c r="X1050" s="1535"/>
      <c r="Y1050" s="1535"/>
      <c r="Z1050" s="1535"/>
      <c r="AA1050" s="1535"/>
      <c r="AB1050" s="1535"/>
      <c r="AC1050" s="1535"/>
      <c r="AD1050" s="1535"/>
      <c r="AE1050" s="1536"/>
      <c r="AF1050" s="956"/>
      <c r="AG1050" s="957"/>
      <c r="AH1050" s="957"/>
      <c r="AI1050" s="958"/>
      <c r="AJ1050" s="1449"/>
      <c r="AK1050" s="1450"/>
      <c r="AL1050" s="1450"/>
      <c r="AM1050" s="1450"/>
      <c r="AN1050" s="1450"/>
      <c r="AO1050" s="1450"/>
      <c r="AP1050" s="1450"/>
      <c r="AQ1050" s="1451"/>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34">
        <f>AY1002</f>
        <v>116</v>
      </c>
      <c r="J1051" s="1635"/>
      <c r="K1051" s="14"/>
      <c r="L1051" s="133"/>
      <c r="M1051" s="133"/>
      <c r="N1051" s="133"/>
      <c r="O1051" s="133"/>
      <c r="P1051" s="133"/>
      <c r="Q1051" s="133"/>
      <c r="R1051" s="133"/>
      <c r="S1051" s="133"/>
      <c r="T1051" s="133"/>
      <c r="U1051" s="133"/>
      <c r="V1051" s="134" t="s">
        <v>993</v>
      </c>
      <c r="X1051" s="1632">
        <f>BK632</f>
        <v>58</v>
      </c>
      <c r="Y1051" s="1633"/>
      <c r="AF1051" s="959"/>
      <c r="AG1051" s="960"/>
      <c r="AH1051" s="960"/>
      <c r="AI1051" s="961"/>
      <c r="AJ1051" s="1452"/>
      <c r="AK1051" s="1453"/>
      <c r="AL1051" s="1453"/>
      <c r="AM1051" s="1453"/>
      <c r="AN1051" s="1453"/>
      <c r="AO1051" s="1453"/>
      <c r="AP1051" s="1453"/>
      <c r="AQ1051" s="1454"/>
      <c r="AR1051" s="68"/>
      <c r="AS1051" s="68"/>
      <c r="AT1051" s="68"/>
      <c r="AU1051" s="68"/>
      <c r="AV1051" s="68"/>
      <c r="AW1051" s="68"/>
      <c r="AX1051" s="68"/>
      <c r="AY1051" s="68"/>
    </row>
    <row r="1052" spans="1:51" ht="12.95" customHeight="1">
      <c r="A1052" s="14"/>
      <c r="B1052" s="102"/>
      <c r="C1052" s="103"/>
      <c r="D1052" s="1630" t="s">
        <v>521</v>
      </c>
      <c r="E1052" s="1630"/>
      <c r="F1052" s="1630"/>
      <c r="G1052" s="1630"/>
      <c r="H1052" s="1630"/>
      <c r="I1052" s="1630"/>
      <c r="J1052" s="1630"/>
      <c r="K1052" s="1630"/>
      <c r="L1052" s="1630"/>
      <c r="M1052" s="1630"/>
      <c r="N1052" s="1630"/>
      <c r="O1052" s="1630"/>
      <c r="P1052" s="1630"/>
      <c r="Q1052" s="1630"/>
      <c r="R1052" s="1630"/>
      <c r="S1052" s="1630"/>
      <c r="T1052" s="1630"/>
      <c r="U1052" s="1630"/>
      <c r="V1052" s="1630"/>
      <c r="W1052" s="1630"/>
      <c r="X1052" s="1630"/>
      <c r="Y1052" s="1630"/>
      <c r="Z1052" s="1630"/>
      <c r="AA1052" s="1630"/>
      <c r="AB1052" s="1630"/>
      <c r="AC1052" s="1630"/>
      <c r="AD1052" s="1630"/>
      <c r="AE1052" s="1630"/>
      <c r="AF1052" s="1630"/>
      <c r="AG1052" s="1630"/>
      <c r="AH1052" s="1630"/>
      <c r="AI1052" s="1631"/>
      <c r="AJ1052" s="1659">
        <f>SUM(AJ991:AQ1051)</f>
        <v>124007692</v>
      </c>
      <c r="AK1052" s="1660"/>
      <c r="AL1052" s="1660"/>
      <c r="AM1052" s="1660"/>
      <c r="AN1052" s="1660"/>
      <c r="AO1052" s="1660"/>
      <c r="AP1052" s="1660"/>
      <c r="AQ1052" s="166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44">
        <f>IF(ISNA(IF((AJ1019&gt;(AJ991*0.15)),"(f) cannot be greater than 15% of unadjusted eligible basis.",0)),"",(IF((AJ1019&gt;(AJ991*0.15)),"(f) cannot be greater than 15% of unadjusted eligible basis.",0)))</f>
        <v>0</v>
      </c>
      <c r="C1059" s="1444"/>
      <c r="D1059" s="1444"/>
      <c r="E1059" s="1444"/>
      <c r="F1059" s="1444"/>
      <c r="G1059" s="1444"/>
      <c r="H1059" s="1444"/>
      <c r="I1059" s="1444"/>
      <c r="J1059" s="1444"/>
      <c r="K1059" s="1444"/>
      <c r="L1059" s="1444"/>
      <c r="M1059" s="1444"/>
      <c r="N1059" s="1444"/>
      <c r="O1059" s="1444"/>
      <c r="P1059" s="1444"/>
      <c r="Q1059" s="1444"/>
      <c r="R1059" s="1444"/>
      <c r="S1059" s="1444"/>
      <c r="T1059" s="1444"/>
      <c r="U1059" s="1444"/>
      <c r="V1059" s="1444"/>
      <c r="W1059" s="1444"/>
      <c r="X1059" s="1444"/>
      <c r="Y1059" s="1444"/>
      <c r="Z1059" s="1444"/>
      <c r="AA1059" s="1444"/>
      <c r="AB1059" s="1444"/>
      <c r="AC1059" s="1444"/>
      <c r="AD1059" s="1444"/>
      <c r="AE1059" s="1444"/>
      <c r="AF1059" s="1444"/>
      <c r="AG1059" s="1444"/>
      <c r="AH1059" s="1444"/>
      <c r="AI1059" s="1444"/>
      <c r="AJ1059" s="1444"/>
      <c r="AK1059" s="1444"/>
      <c r="AL1059" s="1444"/>
      <c r="AM1059" s="1444"/>
      <c r="AN1059" s="1444"/>
      <c r="AO1059" s="1444"/>
      <c r="AP1059" s="1444"/>
      <c r="AQ1059" s="68"/>
      <c r="AR1059" s="68"/>
      <c r="AS1059" s="68"/>
      <c r="AT1059" s="68"/>
      <c r="AU1059" s="68"/>
      <c r="AV1059" s="68"/>
      <c r="AW1059" s="68"/>
      <c r="AX1059" s="68"/>
      <c r="AY1059" s="68"/>
    </row>
    <row r="1060" spans="1:51" ht="12.95" customHeight="1">
      <c r="A1060" s="1302" t="s">
        <v>803</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6" t="s">
        <v>599</v>
      </c>
      <c r="B1064" s="1416"/>
      <c r="C1064" s="8">
        <v>1</v>
      </c>
      <c r="D1064" s="1266" t="s">
        <v>1133</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16" t="s">
        <v>599</v>
      </c>
      <c r="B1070" s="1416"/>
      <c r="C1070" s="8">
        <v>2</v>
      </c>
      <c r="D1070" s="1266" t="s">
        <v>1132</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16" t="s">
        <v>599</v>
      </c>
      <c r="B1076" s="1416"/>
      <c r="C1076" s="8">
        <v>3</v>
      </c>
      <c r="D1076" s="1266" t="s">
        <v>2456</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16" t="s">
        <v>599</v>
      </c>
      <c r="B1083" s="1416"/>
      <c r="C1083" s="8">
        <v>4</v>
      </c>
      <c r="D1083" s="1266" t="s">
        <v>1118</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16" t="s">
        <v>599</v>
      </c>
      <c r="B1086" s="1416"/>
      <c r="C1086" s="8">
        <v>5</v>
      </c>
      <c r="D1086" s="1266" t="s">
        <v>2457</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16" t="s">
        <v>599</v>
      </c>
      <c r="B1091" s="1416"/>
      <c r="C1091" s="8">
        <v>6</v>
      </c>
      <c r="D1091" s="1266" t="s">
        <v>1119</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16" t="s">
        <v>599</v>
      </c>
      <c r="B1094" s="1416"/>
      <c r="C1094" s="212">
        <v>7</v>
      </c>
      <c r="D1094" s="1266" t="s">
        <v>1121</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16" t="s">
        <v>599</v>
      </c>
      <c r="B1098" s="1416"/>
      <c r="C1098" s="212">
        <v>8</v>
      </c>
      <c r="D1098" s="1326" t="s">
        <v>1870</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416" t="s">
        <v>599</v>
      </c>
      <c r="B1103" s="1416"/>
      <c r="C1103" s="212">
        <v>9</v>
      </c>
      <c r="D1103" s="1266" t="s">
        <v>1120</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AK742:AO742"/>
    <mergeCell ref="X742:AB742"/>
    <mergeCell ref="K714:N717"/>
    <mergeCell ref="T724:W724"/>
    <mergeCell ref="G721:J721"/>
    <mergeCell ref="G722:J722"/>
    <mergeCell ref="O714:S717"/>
    <mergeCell ref="T720:W720"/>
    <mergeCell ref="K725:N725"/>
    <mergeCell ref="K719:N719"/>
    <mergeCell ref="G718:J718"/>
    <mergeCell ref="AH719:AJ719"/>
    <mergeCell ref="T739:W739"/>
    <mergeCell ref="X719:AB719"/>
    <mergeCell ref="B718:F718"/>
    <mergeCell ref="B721:F721"/>
    <mergeCell ref="T731:W731"/>
    <mergeCell ref="AH742:AJ742"/>
    <mergeCell ref="B729:F729"/>
    <mergeCell ref="K724:N724"/>
    <mergeCell ref="AH718:AJ718"/>
    <mergeCell ref="EW670:FA670"/>
    <mergeCell ref="CM660:CQ660"/>
    <mergeCell ref="ER668:EV668"/>
    <mergeCell ref="AJ356:AK356"/>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AG689:AH68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H636:EL636"/>
    <mergeCell ref="DX636:EB636"/>
    <mergeCell ref="ER636:EV636"/>
    <mergeCell ref="DX629:EB629"/>
    <mergeCell ref="EC629:EG629"/>
    <mergeCell ref="EH629:EL629"/>
    <mergeCell ref="EM629:EQ629"/>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O719:S719"/>
    <mergeCell ref="X724:AB724"/>
    <mergeCell ref="AC509:AF509"/>
    <mergeCell ref="T551:V553"/>
    <mergeCell ref="AH722:AJ722"/>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AC501:AF501"/>
    <mergeCell ref="AH526:AK526"/>
    <mergeCell ref="T557:V557"/>
    <mergeCell ref="AC518:AF518"/>
    <mergeCell ref="Q551:S553"/>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R705:T705"/>
    <mergeCell ref="P663:R663"/>
    <mergeCell ref="G659:R659"/>
    <mergeCell ref="AC454:AF454"/>
    <mergeCell ref="AH521:AK521"/>
    <mergeCell ref="AC530:AF530"/>
    <mergeCell ref="O526:AA526"/>
    <mergeCell ref="H664:R664"/>
    <mergeCell ref="Z662:AK662"/>
    <mergeCell ref="G687:L687"/>
    <mergeCell ref="G663:L663"/>
    <mergeCell ref="B720:F720"/>
    <mergeCell ref="B722:F722"/>
    <mergeCell ref="T714:W717"/>
    <mergeCell ref="AH538:AK538"/>
    <mergeCell ref="Z551:AD553"/>
    <mergeCell ref="AH513:AK513"/>
    <mergeCell ref="D468:V468"/>
    <mergeCell ref="W468:Y468"/>
    <mergeCell ref="CM629:CQ629"/>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AM551:AS553"/>
    <mergeCell ref="D472:V472"/>
    <mergeCell ref="AH518:AK518"/>
    <mergeCell ref="AH514:AK514"/>
    <mergeCell ref="Q555:S555"/>
    <mergeCell ref="AM554:AS554"/>
    <mergeCell ref="M495:P495"/>
    <mergeCell ref="E418:G418"/>
    <mergeCell ref="AD411:AE411"/>
    <mergeCell ref="F427:AH428"/>
    <mergeCell ref="V377:W377"/>
    <mergeCell ref="S377:T377"/>
    <mergeCell ref="D437:AF437"/>
    <mergeCell ref="D442:AF442"/>
    <mergeCell ref="AF430:AG430"/>
    <mergeCell ref="AG437:AJ437"/>
    <mergeCell ref="Q493:AK493"/>
    <mergeCell ref="AC502:AF502"/>
    <mergeCell ref="Q494:AK494"/>
    <mergeCell ref="AC455:AF455"/>
    <mergeCell ref="F457:AB458"/>
    <mergeCell ref="D466:V466"/>
    <mergeCell ref="Q491:AK491"/>
    <mergeCell ref="AH495:AK495"/>
    <mergeCell ref="D465:V465"/>
    <mergeCell ref="AC385:AJ385"/>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AJ355:AK355"/>
    <mergeCell ref="AA335:AK335"/>
    <mergeCell ref="AC347:AE347"/>
    <mergeCell ref="P343:AE343"/>
    <mergeCell ref="AA340:AF340"/>
    <mergeCell ref="AA336:AK336"/>
    <mergeCell ref="Q556:S556"/>
    <mergeCell ref="AH542:AK542"/>
    <mergeCell ref="AC529:AF529"/>
    <mergeCell ref="AH530:AK530"/>
    <mergeCell ref="AH506:AK506"/>
    <mergeCell ref="AH508:AK508"/>
    <mergeCell ref="Q489:R490"/>
    <mergeCell ref="Q488:AK488"/>
    <mergeCell ref="W472:Y472"/>
    <mergeCell ref="W465:Y465"/>
    <mergeCell ref="AG442:AJ442"/>
    <mergeCell ref="AG377:AH377"/>
    <mergeCell ref="AH524:AK524"/>
    <mergeCell ref="W551:Y553"/>
    <mergeCell ref="AH507:AK507"/>
    <mergeCell ref="AC508:AF508"/>
    <mergeCell ref="AH537:AK537"/>
    <mergeCell ref="AC534:AF534"/>
    <mergeCell ref="AH525:AK525"/>
    <mergeCell ref="AC539:AF539"/>
    <mergeCell ref="M551:P553"/>
    <mergeCell ref="AC531:AF531"/>
    <mergeCell ref="AH500:AK500"/>
    <mergeCell ref="W418:Y418"/>
    <mergeCell ref="AC504:AF504"/>
    <mergeCell ref="S489:AK490"/>
    <mergeCell ref="E420:AJ420"/>
    <mergeCell ref="AE402:AJ402"/>
    <mergeCell ref="N370:Q370"/>
    <mergeCell ref="AA339:AF339"/>
    <mergeCell ref="J367:K367"/>
    <mergeCell ref="AA333:AK333"/>
    <mergeCell ref="AA330:AK330"/>
    <mergeCell ref="H324:M324"/>
    <mergeCell ref="AA325:AK325"/>
    <mergeCell ref="AA331:AF331"/>
    <mergeCell ref="AI339:AK339"/>
    <mergeCell ref="H336:R336"/>
    <mergeCell ref="AG450:AJ450"/>
    <mergeCell ref="D441:AF441"/>
    <mergeCell ref="AG447:AJ447"/>
    <mergeCell ref="S401:U401"/>
    <mergeCell ref="M355:N355"/>
    <mergeCell ref="D439:AF439"/>
    <mergeCell ref="AD377:AE377"/>
    <mergeCell ref="AC371:AF371"/>
    <mergeCell ref="Q390:U390"/>
    <mergeCell ref="E368:AH369"/>
    <mergeCell ref="Q365:AG365"/>
    <mergeCell ref="P418:R418"/>
    <mergeCell ref="S392:U392"/>
    <mergeCell ref="R411:S411"/>
    <mergeCell ref="Q389:U389"/>
    <mergeCell ref="AI397:AJ397"/>
    <mergeCell ref="P349:AE349"/>
    <mergeCell ref="AC370:AF370"/>
    <mergeCell ref="P348:Z348"/>
    <mergeCell ref="N373:AF374"/>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L280:AD280"/>
    <mergeCell ref="AA327:AK327"/>
    <mergeCell ref="H332:M332"/>
    <mergeCell ref="H335:R335"/>
    <mergeCell ref="AI315:AK315"/>
    <mergeCell ref="AA312:AK312"/>
    <mergeCell ref="AA329:AK329"/>
    <mergeCell ref="P331:R331"/>
    <mergeCell ref="AA324:AF324"/>
    <mergeCell ref="H328:R328"/>
    <mergeCell ref="L278:Q278"/>
    <mergeCell ref="H333:R333"/>
    <mergeCell ref="S405:AJ405"/>
    <mergeCell ref="AI389:AJ389"/>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BX614:CB614"/>
    <mergeCell ref="BS613:BW613"/>
    <mergeCell ref="BI611:BJ611"/>
    <mergeCell ref="BE623:BF623"/>
    <mergeCell ref="BG623:BH623"/>
    <mergeCell ref="BN612:BR612"/>
    <mergeCell ref="AC542:AF542"/>
    <mergeCell ref="AI557:AL557"/>
    <mergeCell ref="AH532:AK532"/>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N601:BR601"/>
    <mergeCell ref="BK600:BL600"/>
    <mergeCell ref="BI631:BJ631"/>
    <mergeCell ref="BK627:BL627"/>
    <mergeCell ref="BI625:BJ625"/>
    <mergeCell ref="BK625:BL625"/>
    <mergeCell ref="CC625:CG625"/>
    <mergeCell ref="BI630:BJ630"/>
    <mergeCell ref="BE612:BF612"/>
    <mergeCell ref="BX611:CB611"/>
    <mergeCell ref="Z654:AK654"/>
    <mergeCell ref="G645:R645"/>
    <mergeCell ref="BS623:BW62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CC620:CG620"/>
    <mergeCell ref="BI612:BJ612"/>
    <mergeCell ref="BK612:BL612"/>
    <mergeCell ref="BG612:BH612"/>
    <mergeCell ref="BE603:BF603"/>
    <mergeCell ref="BE609:BF609"/>
    <mergeCell ref="BE607:BF607"/>
    <mergeCell ref="BE608:BF608"/>
    <mergeCell ref="BE610:BF610"/>
    <mergeCell ref="CC610:CG610"/>
    <mergeCell ref="CC607:CG607"/>
    <mergeCell ref="CC609:CG609"/>
    <mergeCell ref="BS620:BW620"/>
    <mergeCell ref="BX619:CB619"/>
    <mergeCell ref="BX618:CB618"/>
    <mergeCell ref="BX608:CB608"/>
    <mergeCell ref="BI614:BJ614"/>
    <mergeCell ref="BS619:BW619"/>
    <mergeCell ref="BG618:BH618"/>
    <mergeCell ref="BN620:BR620"/>
    <mergeCell ref="BX602:CB602"/>
    <mergeCell ref="BS608:BW608"/>
    <mergeCell ref="BN608:BR608"/>
    <mergeCell ref="BI604:BJ604"/>
    <mergeCell ref="BN602:BR602"/>
    <mergeCell ref="BS606:BW606"/>
    <mergeCell ref="BI603:BJ603"/>
    <mergeCell ref="BK609:BL609"/>
    <mergeCell ref="BI606:BJ606"/>
    <mergeCell ref="BG605:BH605"/>
    <mergeCell ref="BI608:BJ608"/>
    <mergeCell ref="BG610:BH610"/>
    <mergeCell ref="BX615:CB615"/>
    <mergeCell ref="BK610:BL610"/>
    <mergeCell ref="BG611:BH611"/>
    <mergeCell ref="BK607:BL607"/>
    <mergeCell ref="BG607:BH607"/>
    <mergeCell ref="BS610:BW610"/>
    <mergeCell ref="BX607:CB607"/>
    <mergeCell ref="BX620:CB620"/>
    <mergeCell ref="BG603:BH603"/>
    <mergeCell ref="BS605:BW605"/>
    <mergeCell ref="BX605:CB605"/>
    <mergeCell ref="BN603:BR603"/>
    <mergeCell ref="BN606:BR606"/>
    <mergeCell ref="BK606:BL606"/>
    <mergeCell ref="BI605:BJ605"/>
    <mergeCell ref="BX603:CB603"/>
    <mergeCell ref="BS609:BW609"/>
    <mergeCell ref="BI607:BJ607"/>
    <mergeCell ref="BG604:BH604"/>
    <mergeCell ref="BX610:CB610"/>
    <mergeCell ref="BI610:BJ610"/>
    <mergeCell ref="BK601:BL601"/>
    <mergeCell ref="CC602:CG602"/>
    <mergeCell ref="BN597:BR597"/>
    <mergeCell ref="BG597:BH597"/>
    <mergeCell ref="BI597:BJ597"/>
    <mergeCell ref="BK596:BL596"/>
    <mergeCell ref="BN607:BR607"/>
    <mergeCell ref="BS607:BW607"/>
    <mergeCell ref="BN609:BR609"/>
    <mergeCell ref="BN610:BR610"/>
    <mergeCell ref="BG600:BH600"/>
    <mergeCell ref="BG602:BH602"/>
    <mergeCell ref="BI601:BJ601"/>
    <mergeCell ref="BI600:BJ600"/>
    <mergeCell ref="BG596:BH596"/>
    <mergeCell ref="BG598:BH598"/>
    <mergeCell ref="BG599:BH599"/>
    <mergeCell ref="BS598:BW598"/>
    <mergeCell ref="BS599:BW59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CC596:CG596"/>
    <mergeCell ref="CC598:CG598"/>
    <mergeCell ref="BS604:BW604"/>
    <mergeCell ref="BS602:BW602"/>
    <mergeCell ref="BN596:BR596"/>
    <mergeCell ref="BI602:BJ602"/>
    <mergeCell ref="BI598:BJ598"/>
    <mergeCell ref="BK599:BL599"/>
    <mergeCell ref="BN599:BR599"/>
    <mergeCell ref="N599:O599"/>
    <mergeCell ref="AA598:AK598"/>
    <mergeCell ref="Z587:AK587"/>
    <mergeCell ref="BE604:BF604"/>
    <mergeCell ref="C555:L555"/>
    <mergeCell ref="D444:AF444"/>
    <mergeCell ref="M554:P554"/>
    <mergeCell ref="AH519:AK519"/>
    <mergeCell ref="AH536:AK536"/>
    <mergeCell ref="AG448:AJ448"/>
    <mergeCell ref="AH528:AK528"/>
    <mergeCell ref="AH505:AK505"/>
    <mergeCell ref="W469:Y469"/>
    <mergeCell ref="AC456:AF456"/>
    <mergeCell ref="L508:AB508"/>
    <mergeCell ref="B514:H516"/>
    <mergeCell ref="AC522:AF522"/>
    <mergeCell ref="T554:V554"/>
    <mergeCell ref="B517:H519"/>
    <mergeCell ref="AC524:AF524"/>
    <mergeCell ref="AH516:AK516"/>
    <mergeCell ref="G568:R568"/>
    <mergeCell ref="AH529:AK529"/>
    <mergeCell ref="W466:Y466"/>
    <mergeCell ref="W473:Y473"/>
    <mergeCell ref="D469:V469"/>
    <mergeCell ref="AH501:AK501"/>
    <mergeCell ref="D450:AF450"/>
    <mergeCell ref="C556:L556"/>
    <mergeCell ref="M556:P556"/>
    <mergeCell ref="AC513:AF513"/>
    <mergeCell ref="B551:L553"/>
    <mergeCell ref="BE606:BF606"/>
    <mergeCell ref="BE597:BF597"/>
    <mergeCell ref="N591:O591"/>
    <mergeCell ref="AA590:AK590"/>
    <mergeCell ref="BG606:BH606"/>
    <mergeCell ref="BX604:CB604"/>
    <mergeCell ref="AI589:AK589"/>
    <mergeCell ref="Z596:AK596"/>
    <mergeCell ref="H598:R598"/>
    <mergeCell ref="BK598:BL598"/>
    <mergeCell ref="AA606:AK606"/>
    <mergeCell ref="BX599:CB599"/>
    <mergeCell ref="BE601:BF601"/>
    <mergeCell ref="BE605:BF605"/>
    <mergeCell ref="BE598:BF598"/>
    <mergeCell ref="H339:M339"/>
    <mergeCell ref="AA317:AK317"/>
    <mergeCell ref="H330:R330"/>
    <mergeCell ref="H325:R325"/>
    <mergeCell ref="AC526:AF526"/>
    <mergeCell ref="AH531:AK531"/>
    <mergeCell ref="AH540:AK540"/>
    <mergeCell ref="Q394:U394"/>
    <mergeCell ref="AC515:AF515"/>
    <mergeCell ref="AC514:AF514"/>
    <mergeCell ref="AH517:AK517"/>
    <mergeCell ref="AH535:AK535"/>
    <mergeCell ref="AH527:AK527"/>
    <mergeCell ref="AC517:AF517"/>
    <mergeCell ref="B503:H508"/>
    <mergeCell ref="C554:L554"/>
    <mergeCell ref="G605:L605"/>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H534:AK534"/>
    <mergeCell ref="AC510:AF510"/>
    <mergeCell ref="AC500:AF500"/>
    <mergeCell ref="Q485:AK485"/>
    <mergeCell ref="AC528:AF528"/>
    <mergeCell ref="D473:V473"/>
    <mergeCell ref="H340:M340"/>
    <mergeCell ref="M356:N356"/>
    <mergeCell ref="G474:V474"/>
    <mergeCell ref="AC532:AF532"/>
    <mergeCell ref="J386:U386"/>
    <mergeCell ref="N372:Q372"/>
    <mergeCell ref="P424:Q424"/>
    <mergeCell ref="AF418:AH418"/>
    <mergeCell ref="Z434:AA434"/>
    <mergeCell ref="AD412:AE412"/>
    <mergeCell ref="H414:AE415"/>
    <mergeCell ref="AG390:AJ390"/>
    <mergeCell ref="Q391:U391"/>
    <mergeCell ref="I410:AE410"/>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Z255:AE255"/>
    <mergeCell ref="M255:R255"/>
    <mergeCell ref="AA305:AK305"/>
    <mergeCell ref="AA257:AK257"/>
    <mergeCell ref="M260:AE260"/>
    <mergeCell ref="AA265:AK265"/>
    <mergeCell ref="H295:R295"/>
    <mergeCell ref="M261:T261"/>
    <mergeCell ref="AH262:AK262"/>
    <mergeCell ref="AA306:AK306"/>
    <mergeCell ref="AA303:AK303"/>
    <mergeCell ref="D270:H270"/>
    <mergeCell ref="X270:AC270"/>
    <mergeCell ref="Z263:AE263"/>
    <mergeCell ref="H308:M308"/>
    <mergeCell ref="P307:R307"/>
    <mergeCell ref="H305:R3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105:AT106"/>
    <mergeCell ref="L113:O113"/>
    <mergeCell ref="Y120:AK120"/>
    <mergeCell ref="O160:T160"/>
    <mergeCell ref="AI178:AK178"/>
    <mergeCell ref="M234:T234"/>
    <mergeCell ref="W234:X234"/>
    <mergeCell ref="AB212:AC212"/>
    <mergeCell ref="Z199:AA199"/>
    <mergeCell ref="AC234:AE234"/>
    <mergeCell ref="AH197:AI197"/>
    <mergeCell ref="Z205:AN205"/>
    <mergeCell ref="AH194:AI194"/>
    <mergeCell ref="M233:AE233"/>
    <mergeCell ref="T196:U196"/>
    <mergeCell ref="D220:Z220"/>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M237:AE237"/>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M252:AE252"/>
    <mergeCell ref="AA291:AF291"/>
    <mergeCell ref="AI291:AK291"/>
    <mergeCell ref="AI299:AK299"/>
    <mergeCell ref="H297:R297"/>
    <mergeCell ref="AA298:AK298"/>
    <mergeCell ref="M248:AE248"/>
    <mergeCell ref="AC253:AE253"/>
    <mergeCell ref="AF243:AK243"/>
    <mergeCell ref="M253:T253"/>
    <mergeCell ref="M262:AE262"/>
    <mergeCell ref="AA299:AF299"/>
    <mergeCell ref="AA287:AK287"/>
    <mergeCell ref="T267:X267"/>
    <mergeCell ref="P291:R291"/>
    <mergeCell ref="L274:AJ274"/>
    <mergeCell ref="H289:R289"/>
    <mergeCell ref="L276:S276"/>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Y117:AK117"/>
    <mergeCell ref="T190:AE190"/>
    <mergeCell ref="M232:AK232"/>
    <mergeCell ref="M249:T249"/>
    <mergeCell ref="Z247:AE247"/>
    <mergeCell ref="W245:X245"/>
    <mergeCell ref="U247:W247"/>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23:AF323"/>
    <mergeCell ref="H323:M323"/>
    <mergeCell ref="H322:R322"/>
    <mergeCell ref="H290:R290"/>
    <mergeCell ref="H317:R317"/>
    <mergeCell ref="AA311:AK311"/>
    <mergeCell ref="H311:R311"/>
    <mergeCell ref="AA288:AK288"/>
    <mergeCell ref="L277:AD277"/>
    <mergeCell ref="T278:V278"/>
    <mergeCell ref="A282:AT283"/>
    <mergeCell ref="H291:M291"/>
    <mergeCell ref="H299:M299"/>
    <mergeCell ref="H300:M300"/>
    <mergeCell ref="AA321:AK321"/>
    <mergeCell ref="H307:M307"/>
    <mergeCell ref="H288:R288"/>
    <mergeCell ref="AA290:AK290"/>
    <mergeCell ref="H287:R287"/>
    <mergeCell ref="M263:R263"/>
    <mergeCell ref="M265:T265"/>
    <mergeCell ref="AA314:AK314"/>
    <mergeCell ref="AA313:AK313"/>
    <mergeCell ref="H319:R319"/>
    <mergeCell ref="AA316:AF316"/>
    <mergeCell ref="AA297:AK297"/>
    <mergeCell ref="AA319:AK319"/>
    <mergeCell ref="H320:R320"/>
    <mergeCell ref="H296:R296"/>
    <mergeCell ref="H315:M315"/>
    <mergeCell ref="H321:R321"/>
    <mergeCell ref="P315:R315"/>
    <mergeCell ref="AA296:AK296"/>
    <mergeCell ref="AA289:AK289"/>
    <mergeCell ref="L275:AD275"/>
    <mergeCell ref="H329:R329"/>
    <mergeCell ref="H331:M331"/>
    <mergeCell ref="H341:R341"/>
    <mergeCell ref="P345:AE345"/>
    <mergeCell ref="AA341:AK341"/>
    <mergeCell ref="P347:Z347"/>
    <mergeCell ref="AA338:AK338"/>
    <mergeCell ref="H337:R33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W474:Y474"/>
    <mergeCell ref="Z554:AD554"/>
    <mergeCell ref="T565:V565"/>
    <mergeCell ref="AC525:AF525"/>
    <mergeCell ref="AE556:AH556"/>
    <mergeCell ref="Q558:S558"/>
    <mergeCell ref="AC538:AF538"/>
    <mergeCell ref="AI558:AL558"/>
    <mergeCell ref="M562:P562"/>
    <mergeCell ref="AH503:AK503"/>
    <mergeCell ref="AA688:AK688"/>
    <mergeCell ref="AC719:AG719"/>
    <mergeCell ref="G677:R677"/>
    <mergeCell ref="Z678:AK678"/>
    <mergeCell ref="G685:R685"/>
    <mergeCell ref="AH724:AJ724"/>
    <mergeCell ref="N673:O673"/>
    <mergeCell ref="T722:W722"/>
    <mergeCell ref="T725:W725"/>
    <mergeCell ref="G724:J724"/>
    <mergeCell ref="AC720:AG720"/>
    <mergeCell ref="AI663:AK663"/>
    <mergeCell ref="Z661:AK661"/>
    <mergeCell ref="X720:AB720"/>
    <mergeCell ref="X722:AB722"/>
    <mergeCell ref="Z685:AK685"/>
    <mergeCell ref="G675:R675"/>
    <mergeCell ref="Z667:AK667"/>
    <mergeCell ref="AE696:AI696"/>
    <mergeCell ref="K718:N718"/>
    <mergeCell ref="Z671:AE671"/>
    <mergeCell ref="Z668:AK668"/>
    <mergeCell ref="G720:J720"/>
    <mergeCell ref="AE699:AI699"/>
    <mergeCell ref="G679:L679"/>
    <mergeCell ref="Z677:AK677"/>
    <mergeCell ref="AH723:AJ723"/>
    <mergeCell ref="G686:R686"/>
    <mergeCell ref="N689:O689"/>
    <mergeCell ref="AA672:AK672"/>
    <mergeCell ref="Z684:AK684"/>
    <mergeCell ref="Z687:AE687"/>
    <mergeCell ref="G653:R653"/>
    <mergeCell ref="AG681:AH681"/>
    <mergeCell ref="Q564:S564"/>
    <mergeCell ref="AI687:AK687"/>
    <mergeCell ref="G727:J727"/>
    <mergeCell ref="N657:O657"/>
    <mergeCell ref="Z660:AK660"/>
    <mergeCell ref="T719:W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Z630:AB630"/>
    <mergeCell ref="G597:L597"/>
    <mergeCell ref="P572:R572"/>
    <mergeCell ref="AM565:AS565"/>
    <mergeCell ref="AE563:AH563"/>
    <mergeCell ref="C562:L562"/>
    <mergeCell ref="Q560:S560"/>
    <mergeCell ref="Q565:S565"/>
    <mergeCell ref="Q561:S561"/>
    <mergeCell ref="AE554:AH554"/>
    <mergeCell ref="Z556:AD556"/>
    <mergeCell ref="AI555:AL555"/>
    <mergeCell ref="T559:V559"/>
    <mergeCell ref="N575:O575"/>
    <mergeCell ref="H582:R582"/>
    <mergeCell ref="H606:R606"/>
    <mergeCell ref="AM559:AS559"/>
    <mergeCell ref="AM555:AS555"/>
    <mergeCell ref="AG607:AH607"/>
    <mergeCell ref="W558:Y558"/>
    <mergeCell ref="AE558:AH558"/>
    <mergeCell ref="C557:L557"/>
    <mergeCell ref="M557:P557"/>
    <mergeCell ref="AM564:AS564"/>
    <mergeCell ref="AI581:AK581"/>
    <mergeCell ref="Z601:AK601"/>
    <mergeCell ref="W556:Y556"/>
    <mergeCell ref="AE564:AH564"/>
    <mergeCell ref="AM561:AS561"/>
    <mergeCell ref="AG583:AH583"/>
    <mergeCell ref="G588:R588"/>
    <mergeCell ref="Q554:S554"/>
    <mergeCell ref="AE555:AH555"/>
    <mergeCell ref="Q557:S557"/>
    <mergeCell ref="Z557:AD557"/>
    <mergeCell ref="AH746:AJ746"/>
    <mergeCell ref="AH747:AJ747"/>
    <mergeCell ref="AH748:AJ748"/>
    <mergeCell ref="AC777:AG777"/>
    <mergeCell ref="B737:F737"/>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659:AK659"/>
    <mergeCell ref="N649:O649"/>
    <mergeCell ref="Z610:AK610"/>
    <mergeCell ref="B566:AL566"/>
    <mergeCell ref="C628:L628"/>
    <mergeCell ref="Z631:AB631"/>
    <mergeCell ref="AF624:AJ626"/>
    <mergeCell ref="W633:Y633"/>
    <mergeCell ref="AI655:AK655"/>
    <mergeCell ref="G662:R662"/>
    <mergeCell ref="AC775:AG775"/>
    <mergeCell ref="AC783:AG786"/>
    <mergeCell ref="J791:N791"/>
    <mergeCell ref="X792:AB792"/>
    <mergeCell ref="X745:AB745"/>
    <mergeCell ref="AC796:AG796"/>
    <mergeCell ref="AC788:AG788"/>
    <mergeCell ref="AK746:AO746"/>
    <mergeCell ref="AK747:AO747"/>
    <mergeCell ref="M827:P827"/>
    <mergeCell ref="J797:N797"/>
    <mergeCell ref="J795:N795"/>
    <mergeCell ref="AC774:AG774"/>
    <mergeCell ref="X777:AB777"/>
    <mergeCell ref="O723:S723"/>
    <mergeCell ref="X723:AB723"/>
    <mergeCell ref="C826:H826"/>
    <mergeCell ref="X790:AB790"/>
    <mergeCell ref="K749:N749"/>
    <mergeCell ref="O749:S749"/>
    <mergeCell ref="X751:AB751"/>
    <mergeCell ref="K740:N740"/>
    <mergeCell ref="O783:S786"/>
    <mergeCell ref="AC752:AG752"/>
    <mergeCell ref="O788:S788"/>
    <mergeCell ref="G736:J736"/>
    <mergeCell ref="AK723:AO723"/>
    <mergeCell ref="AK724:AO724"/>
    <mergeCell ref="AK725:AO725"/>
    <mergeCell ref="AH730:AJ730"/>
    <mergeCell ref="O724:S724"/>
    <mergeCell ref="K729:N729"/>
    <mergeCell ref="T774:W774"/>
    <mergeCell ref="J779:K779"/>
    <mergeCell ref="J787:N787"/>
    <mergeCell ref="O750:S750"/>
    <mergeCell ref="M825:P825"/>
    <mergeCell ref="B735:F735"/>
    <mergeCell ref="B738:F738"/>
    <mergeCell ref="T790:W790"/>
    <mergeCell ref="O733:S733"/>
    <mergeCell ref="X737:AB737"/>
    <mergeCell ref="T736:W736"/>
    <mergeCell ref="O741:S741"/>
    <mergeCell ref="G738:J738"/>
    <mergeCell ref="T742:W742"/>
    <mergeCell ref="X746:AB746"/>
    <mergeCell ref="X789:AB789"/>
    <mergeCell ref="G752:J752"/>
    <mergeCell ref="Y801:AC801"/>
    <mergeCell ref="Y800:AC800"/>
    <mergeCell ref="T741:W741"/>
    <mergeCell ref="K745:N745"/>
    <mergeCell ref="G753:J753"/>
    <mergeCell ref="X734:AB734"/>
    <mergeCell ref="X733:AB733"/>
    <mergeCell ref="B742:F742"/>
    <mergeCell ref="B743:F743"/>
    <mergeCell ref="B744:F744"/>
    <mergeCell ref="X769:AB772"/>
    <mergeCell ref="T769:W772"/>
    <mergeCell ref="AC793:AG793"/>
    <mergeCell ref="X775:AB775"/>
    <mergeCell ref="X776:AB776"/>
    <mergeCell ref="J769:N772"/>
    <mergeCell ref="AG823:AJ824"/>
    <mergeCell ref="AC797:AG797"/>
    <mergeCell ref="AC787:AG787"/>
    <mergeCell ref="M830:P830"/>
    <mergeCell ref="T791:W791"/>
    <mergeCell ref="T787:W787"/>
    <mergeCell ref="T788:W788"/>
    <mergeCell ref="T789:W789"/>
    <mergeCell ref="Q830:T830"/>
    <mergeCell ref="T752:W752"/>
    <mergeCell ref="AC748:AG748"/>
    <mergeCell ref="T750:W750"/>
    <mergeCell ref="K751:N751"/>
    <mergeCell ref="O751:S751"/>
    <mergeCell ref="T751:W751"/>
    <mergeCell ref="AC825:AF825"/>
    <mergeCell ref="AG827:AJ827"/>
    <mergeCell ref="M826:P826"/>
    <mergeCell ref="U829:X829"/>
    <mergeCell ref="T796:W796"/>
    <mergeCell ref="X774:AB774"/>
    <mergeCell ref="O790:S790"/>
    <mergeCell ref="Q823:T824"/>
    <mergeCell ref="Z809:AE809"/>
    <mergeCell ref="O791:S791"/>
    <mergeCell ref="J783:N786"/>
    <mergeCell ref="AH750:AJ750"/>
    <mergeCell ref="AH751:AJ751"/>
    <mergeCell ref="T776:W776"/>
    <mergeCell ref="AH749:AJ749"/>
    <mergeCell ref="AD759:AF759"/>
    <mergeCell ref="B745:F745"/>
    <mergeCell ref="U828:X828"/>
    <mergeCell ref="AG828:AJ828"/>
    <mergeCell ref="Z807:AE807"/>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X794:AB794"/>
    <mergeCell ref="Q829:T829"/>
    <mergeCell ref="T795:W795"/>
    <mergeCell ref="J773:N773"/>
    <mergeCell ref="O773:S773"/>
    <mergeCell ref="J776:N776"/>
    <mergeCell ref="U825:X825"/>
    <mergeCell ref="M823:P824"/>
    <mergeCell ref="Z817:AE817"/>
    <mergeCell ref="X795:AB795"/>
    <mergeCell ref="Z818:AE818"/>
    <mergeCell ref="AC826:AF826"/>
    <mergeCell ref="AC827:AF827"/>
    <mergeCell ref="U823:X824"/>
    <mergeCell ref="O774:S774"/>
    <mergeCell ref="O794:S794"/>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52:AC852"/>
    <mergeCell ref="AC887:AH887"/>
    <mergeCell ref="AC890:AH890"/>
    <mergeCell ref="M874:V874"/>
    <mergeCell ref="W874:AC874"/>
    <mergeCell ref="W857:AC857"/>
    <mergeCell ref="M871:V871"/>
    <mergeCell ref="F929:T929"/>
    <mergeCell ref="AG830:AJ830"/>
    <mergeCell ref="J788:N788"/>
    <mergeCell ref="U832:X832"/>
    <mergeCell ref="M832:P832"/>
    <mergeCell ref="W866:AC866"/>
    <mergeCell ref="W859:AC859"/>
    <mergeCell ref="Q828:T828"/>
    <mergeCell ref="Q832:T832"/>
    <mergeCell ref="C829:H829"/>
    <mergeCell ref="AA940:AF940"/>
    <mergeCell ref="A909:AT910"/>
    <mergeCell ref="U937:Z937"/>
    <mergeCell ref="U927:Z927"/>
    <mergeCell ref="AC889:AH889"/>
    <mergeCell ref="Y830:AB830"/>
    <mergeCell ref="M846:V846"/>
    <mergeCell ref="W843:AC843"/>
    <mergeCell ref="J849:V849"/>
    <mergeCell ref="AC893:AH893"/>
    <mergeCell ref="W855:AC855"/>
    <mergeCell ref="AC892:AH892"/>
    <mergeCell ref="W846:AC846"/>
    <mergeCell ref="AG831:AJ831"/>
    <mergeCell ref="X793:AB793"/>
    <mergeCell ref="AA922:AF922"/>
    <mergeCell ref="AB916:AE916"/>
    <mergeCell ref="AA921:AF921"/>
    <mergeCell ref="Y825:AB825"/>
    <mergeCell ref="C825:H825"/>
    <mergeCell ref="AA919:AF919"/>
    <mergeCell ref="AA918:AF918"/>
    <mergeCell ref="U924:Z924"/>
    <mergeCell ref="AA934:AF934"/>
    <mergeCell ref="AA917:AF917"/>
    <mergeCell ref="M961:S961"/>
    <mergeCell ref="AA970:AG970"/>
    <mergeCell ref="I945:T945"/>
    <mergeCell ref="U945:Z945"/>
    <mergeCell ref="AA945:AF945"/>
    <mergeCell ref="U921:Z921"/>
    <mergeCell ref="AA923:AF923"/>
    <mergeCell ref="U923:Z923"/>
    <mergeCell ref="AE958:AK958"/>
    <mergeCell ref="U939:Z939"/>
    <mergeCell ref="F935:T935"/>
    <mergeCell ref="U935:Z935"/>
    <mergeCell ref="AA935:AF935"/>
    <mergeCell ref="U942:Z942"/>
    <mergeCell ref="AA948:AF948"/>
    <mergeCell ref="U940:Z940"/>
    <mergeCell ref="AA942:AF942"/>
    <mergeCell ref="AA968:AG968"/>
    <mergeCell ref="U930:Z930"/>
    <mergeCell ref="F936:T936"/>
    <mergeCell ref="U936:Z936"/>
    <mergeCell ref="U926:Z926"/>
    <mergeCell ref="AA926:AF926"/>
    <mergeCell ref="F928:T928"/>
    <mergeCell ref="F943:T943"/>
    <mergeCell ref="U943:Z943"/>
    <mergeCell ref="AA943:AF943"/>
    <mergeCell ref="AA931:AF931"/>
    <mergeCell ref="F937:T93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M968:S968"/>
    <mergeCell ref="D1076:AK1082"/>
    <mergeCell ref="F930:T930"/>
    <mergeCell ref="F931:T931"/>
    <mergeCell ref="AA938:AF938"/>
    <mergeCell ref="AA939:AF939"/>
    <mergeCell ref="D1064:AK1069"/>
    <mergeCell ref="R985:AA985"/>
    <mergeCell ref="M958:S958"/>
    <mergeCell ref="U947:Z947"/>
    <mergeCell ref="U934:Z934"/>
    <mergeCell ref="AA936:AF936"/>
    <mergeCell ref="F941:T941"/>
    <mergeCell ref="U941:Z941"/>
    <mergeCell ref="AA941:AF941"/>
    <mergeCell ref="D1040:AE1040"/>
    <mergeCell ref="D1041:AE1043"/>
    <mergeCell ref="AJ1040:AQ1043"/>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AA924:AF924"/>
    <mergeCell ref="BN626:BR626"/>
    <mergeCell ref="BE627:BF627"/>
    <mergeCell ref="AI613:AK613"/>
    <mergeCell ref="BD905:BF905"/>
    <mergeCell ref="BD904:BF904"/>
    <mergeCell ref="BD909:BE909"/>
    <mergeCell ref="U922:Z922"/>
    <mergeCell ref="W872:AC872"/>
    <mergeCell ref="AC884:AH884"/>
    <mergeCell ref="AC888:AH888"/>
    <mergeCell ref="M875:V875"/>
    <mergeCell ref="W877:AC877"/>
    <mergeCell ref="W853:AC853"/>
    <mergeCell ref="AC886:AH886"/>
    <mergeCell ref="BD903:BE903"/>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U919:Z919"/>
    <mergeCell ref="M967:S967"/>
    <mergeCell ref="BE628:BF628"/>
    <mergeCell ref="AO641:AS641"/>
    <mergeCell ref="G644:R644"/>
    <mergeCell ref="Z645:AK645"/>
    <mergeCell ref="P655:R655"/>
    <mergeCell ref="Z653:AK653"/>
    <mergeCell ref="Z647:AE647"/>
    <mergeCell ref="Z652:AK652"/>
    <mergeCell ref="P647:R647"/>
    <mergeCell ref="AI647:AK647"/>
    <mergeCell ref="AO624:AS626"/>
    <mergeCell ref="AF629:AJ629"/>
    <mergeCell ref="G654:R654"/>
    <mergeCell ref="AE957:AK957"/>
    <mergeCell ref="AB956:AK956"/>
    <mergeCell ref="U948:Z948"/>
    <mergeCell ref="AA927:AF9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T631:V631"/>
    <mergeCell ref="T632:V632"/>
    <mergeCell ref="T633:V633"/>
    <mergeCell ref="AF634:AJ634"/>
    <mergeCell ref="AO640:AS640"/>
    <mergeCell ref="AO639:AS639"/>
    <mergeCell ref="AO629:AS629"/>
    <mergeCell ref="AF630:AJ630"/>
    <mergeCell ref="AO638:AS638"/>
    <mergeCell ref="BG632:BH632"/>
    <mergeCell ref="BK632:BL632"/>
    <mergeCell ref="BN632:BR632"/>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08:BL608"/>
    <mergeCell ref="CC616:CG616"/>
    <mergeCell ref="CC618:CG618"/>
    <mergeCell ref="BI615:BJ615"/>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H611:CL611"/>
    <mergeCell ref="BS611:BW611"/>
    <mergeCell ref="BG609:BH609"/>
    <mergeCell ref="BE617:BF617"/>
    <mergeCell ref="BI618:BJ618"/>
    <mergeCell ref="BK618:BL618"/>
    <mergeCell ref="BE614:BF614"/>
    <mergeCell ref="BG616:BH616"/>
    <mergeCell ref="G580:R580"/>
    <mergeCell ref="Z613:AE613"/>
    <mergeCell ref="Z562:AD562"/>
    <mergeCell ref="Z563:AD563"/>
    <mergeCell ref="AI564:AL564"/>
    <mergeCell ref="Z603:AK603"/>
    <mergeCell ref="AI605:AK605"/>
    <mergeCell ref="AI562:AL562"/>
    <mergeCell ref="M563:P563"/>
    <mergeCell ref="W565:Y565"/>
    <mergeCell ref="C563:L563"/>
    <mergeCell ref="G595:R595"/>
    <mergeCell ref="G596:R596"/>
    <mergeCell ref="Z595:AK595"/>
    <mergeCell ref="Z589:AE589"/>
    <mergeCell ref="Z579:AK579"/>
    <mergeCell ref="W562:Y562"/>
    <mergeCell ref="W563:Y563"/>
    <mergeCell ref="W564:Y564"/>
    <mergeCell ref="G570:R570"/>
    <mergeCell ref="C564:L564"/>
    <mergeCell ref="M564:P564"/>
    <mergeCell ref="C565:L565"/>
    <mergeCell ref="Z593:AK593"/>
    <mergeCell ref="AG591:AH591"/>
    <mergeCell ref="P605:R605"/>
    <mergeCell ref="AF574:AK574"/>
    <mergeCell ref="Z585:AK585"/>
    <mergeCell ref="M574:R574"/>
    <mergeCell ref="AI572:AK572"/>
    <mergeCell ref="AA582:AK582"/>
    <mergeCell ref="G602:R602"/>
    <mergeCell ref="M555:P555"/>
    <mergeCell ref="C560:L560"/>
    <mergeCell ref="Z560:AD560"/>
    <mergeCell ref="M561:P561"/>
    <mergeCell ref="AC540:AF540"/>
    <mergeCell ref="C559:L559"/>
    <mergeCell ref="M559:P559"/>
    <mergeCell ref="W554:Y554"/>
    <mergeCell ref="W555:Y555"/>
    <mergeCell ref="Z558:AD558"/>
    <mergeCell ref="Q492:AK492"/>
    <mergeCell ref="T558:V558"/>
    <mergeCell ref="W561:Y561"/>
    <mergeCell ref="T560:V560"/>
    <mergeCell ref="Z561:AD561"/>
    <mergeCell ref="AH515:AK515"/>
    <mergeCell ref="AC516:AF516"/>
    <mergeCell ref="AC521:AF521"/>
    <mergeCell ref="AH509:AK509"/>
    <mergeCell ref="AC503:AF503"/>
    <mergeCell ref="C558:L558"/>
    <mergeCell ref="AC507:AF507"/>
    <mergeCell ref="AH510:AK510"/>
    <mergeCell ref="AC512:AF512"/>
    <mergeCell ref="AH512:AK512"/>
    <mergeCell ref="AE551:AH553"/>
    <mergeCell ref="AI551:AL553"/>
    <mergeCell ref="O520:AA520"/>
    <mergeCell ref="O535:AA535"/>
    <mergeCell ref="AH523:AK523"/>
    <mergeCell ref="O532:AA532"/>
    <mergeCell ref="AH504:AK504"/>
    <mergeCell ref="CX596:DB596"/>
    <mergeCell ref="D438:AF438"/>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AJ357:AK357"/>
    <mergeCell ref="G572:L572"/>
    <mergeCell ref="Z581:AE581"/>
    <mergeCell ref="Z586:AK586"/>
    <mergeCell ref="T561:V561"/>
    <mergeCell ref="AG379:AH379"/>
    <mergeCell ref="AM558:AS558"/>
    <mergeCell ref="AM566:AS566"/>
    <mergeCell ref="AM556:AS556"/>
    <mergeCell ref="M358:N358"/>
    <mergeCell ref="M357:N357"/>
    <mergeCell ref="AE565:AH565"/>
    <mergeCell ref="Q487:AK487"/>
    <mergeCell ref="Q486:AK486"/>
    <mergeCell ref="AH502:AK502"/>
    <mergeCell ref="AC499:AK499"/>
    <mergeCell ref="DH596:DL596"/>
    <mergeCell ref="CC599:CG599"/>
    <mergeCell ref="CC603:CG603"/>
    <mergeCell ref="DM599:DQ599"/>
    <mergeCell ref="DM601:DQ601"/>
    <mergeCell ref="CH604:CL604"/>
    <mergeCell ref="BK602:BL602"/>
    <mergeCell ref="DM597:DQ597"/>
    <mergeCell ref="DM600:DQ600"/>
    <mergeCell ref="CS599:CW599"/>
    <mergeCell ref="CS597:CW597"/>
    <mergeCell ref="CS600:CW600"/>
    <mergeCell ref="DC600:DG600"/>
    <mergeCell ref="DH600:DL600"/>
    <mergeCell ref="CX600:DB600"/>
    <mergeCell ref="CX601:DB601"/>
    <mergeCell ref="P421:R421"/>
    <mergeCell ref="G586:R586"/>
    <mergeCell ref="G603:R603"/>
    <mergeCell ref="P597:R597"/>
    <mergeCell ref="W560:Y560"/>
    <mergeCell ref="CS596:CW596"/>
    <mergeCell ref="CS598:CW598"/>
    <mergeCell ref="BS601:BW601"/>
    <mergeCell ref="BX601:CB601"/>
    <mergeCell ref="DC596:DG596"/>
    <mergeCell ref="CM596:CQ596"/>
    <mergeCell ref="CM597:CQ597"/>
    <mergeCell ref="CM598:CQ598"/>
    <mergeCell ref="CM599:CQ599"/>
    <mergeCell ref="CH599:CL599"/>
    <mergeCell ref="Z577:AK57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DC606:DG606"/>
    <mergeCell ref="DC602:DG602"/>
    <mergeCell ref="DH602:DL602"/>
    <mergeCell ref="DM604:DQ604"/>
    <mergeCell ref="DC605:DG605"/>
    <mergeCell ref="DH605:DL605"/>
    <mergeCell ref="BX600:CB600"/>
    <mergeCell ref="CC606:CG606"/>
    <mergeCell ref="CC601:CG601"/>
    <mergeCell ref="CC600:CG600"/>
    <mergeCell ref="CC605:CG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S605:CW605"/>
    <mergeCell ref="CX605:DB605"/>
    <mergeCell ref="CX609:DB609"/>
    <mergeCell ref="CH607:CL607"/>
    <mergeCell ref="CX607:DB607"/>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AH734:AJ734"/>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AC883:AH883"/>
    <mergeCell ref="Z901:AE901"/>
    <mergeCell ref="W863:AC863"/>
    <mergeCell ref="AC891:AH891"/>
    <mergeCell ref="C893:AB893"/>
    <mergeCell ref="AG832:AJ832"/>
    <mergeCell ref="W844:AC844"/>
    <mergeCell ref="AC832:AF832"/>
    <mergeCell ref="O796:S796"/>
    <mergeCell ref="F945:H945"/>
    <mergeCell ref="F925:T925"/>
    <mergeCell ref="F926:T926"/>
    <mergeCell ref="F927:T927"/>
    <mergeCell ref="U925:Z925"/>
    <mergeCell ref="M878:V878"/>
    <mergeCell ref="Q825:T825"/>
    <mergeCell ref="W870:AC870"/>
    <mergeCell ref="D1098:AK1102"/>
    <mergeCell ref="D1103:AK1105"/>
    <mergeCell ref="X726:AB726"/>
    <mergeCell ref="O737:S737"/>
    <mergeCell ref="O738:S738"/>
    <mergeCell ref="AG1035:AH1035"/>
    <mergeCell ref="D1025:AE1027"/>
    <mergeCell ref="AA974:AG974"/>
    <mergeCell ref="T972:Z972"/>
    <mergeCell ref="D1000:AE1000"/>
    <mergeCell ref="D1001:AE1005"/>
    <mergeCell ref="D1010:AE1010"/>
    <mergeCell ref="D1011:AE1011"/>
    <mergeCell ref="AF1026:AI1027"/>
    <mergeCell ref="K741:N741"/>
    <mergeCell ref="K752:N752"/>
    <mergeCell ref="O736:S736"/>
    <mergeCell ref="K738:N738"/>
    <mergeCell ref="W973:AG973"/>
    <mergeCell ref="M972:S972"/>
    <mergeCell ref="M971:S971"/>
    <mergeCell ref="M960:S960"/>
    <mergeCell ref="E885:AB885"/>
    <mergeCell ref="AA925:AF925"/>
    <mergeCell ref="AJ1052:AQ1052"/>
    <mergeCell ref="AG1028:AH1028"/>
    <mergeCell ref="AJ989:AQ989"/>
    <mergeCell ref="D1036:AE1039"/>
    <mergeCell ref="AJ1035:AQ103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C789:AG789"/>
    <mergeCell ref="AC790:AG790"/>
    <mergeCell ref="C832:L832"/>
    <mergeCell ref="AE955:AK955"/>
    <mergeCell ref="AA946:AF946"/>
    <mergeCell ref="D1086:AK1090"/>
    <mergeCell ref="D1091:AK1093"/>
    <mergeCell ref="G734:J734"/>
    <mergeCell ref="AJ988:AQ988"/>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T773:W773"/>
    <mergeCell ref="T728:W728"/>
    <mergeCell ref="U914:Z916"/>
    <mergeCell ref="U949:Z949"/>
    <mergeCell ref="AA944:AF944"/>
    <mergeCell ref="U917:Z917"/>
    <mergeCell ref="I946:T946"/>
    <mergeCell ref="O730:S730"/>
    <mergeCell ref="B740:F740"/>
    <mergeCell ref="O739:S739"/>
    <mergeCell ref="O740:S740"/>
    <mergeCell ref="W842:AC842"/>
    <mergeCell ref="U931:Z931"/>
    <mergeCell ref="AK629:AN629"/>
    <mergeCell ref="C633:L633"/>
    <mergeCell ref="C634:L634"/>
    <mergeCell ref="M624:P626"/>
    <mergeCell ref="M627:P627"/>
    <mergeCell ref="M628:P628"/>
    <mergeCell ref="M629:P629"/>
    <mergeCell ref="W624:Y626"/>
    <mergeCell ref="T634:V634"/>
    <mergeCell ref="Z597:AE597"/>
    <mergeCell ref="A617:AT618"/>
    <mergeCell ref="B624:L626"/>
    <mergeCell ref="Z588:AK588"/>
    <mergeCell ref="Z578:AK578"/>
    <mergeCell ref="W631:Y631"/>
    <mergeCell ref="AC627:AE627"/>
    <mergeCell ref="AK630:AN630"/>
    <mergeCell ref="AK631:AN631"/>
    <mergeCell ref="AK632:AN632"/>
    <mergeCell ref="Z604:AK604"/>
    <mergeCell ref="AC631:AE631"/>
    <mergeCell ref="AC632:AE632"/>
    <mergeCell ref="N607:O607"/>
    <mergeCell ref="T629:V629"/>
    <mergeCell ref="T630:V630"/>
    <mergeCell ref="P581:R581"/>
    <mergeCell ref="AO633:AS633"/>
    <mergeCell ref="AO628:AS628"/>
    <mergeCell ref="AO631:AS631"/>
    <mergeCell ref="G589:L589"/>
    <mergeCell ref="G581:L581"/>
    <mergeCell ref="AC630:AE630"/>
    <mergeCell ref="AM563:AS563"/>
    <mergeCell ref="H573:R573"/>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W630:Y630"/>
    <mergeCell ref="G587:R587"/>
    <mergeCell ref="G578:R578"/>
    <mergeCell ref="M633:P633"/>
    <mergeCell ref="M634:P634"/>
    <mergeCell ref="G610:R610"/>
    <mergeCell ref="Q638:S638"/>
    <mergeCell ref="Z634:AB634"/>
    <mergeCell ref="Z635:AB635"/>
    <mergeCell ref="AO632:AS632"/>
    <mergeCell ref="H648:R648"/>
    <mergeCell ref="AA614:AK614"/>
    <mergeCell ref="M635:P635"/>
    <mergeCell ref="M636:P636"/>
    <mergeCell ref="M637:P637"/>
    <mergeCell ref="M638:P638"/>
    <mergeCell ref="T628:V628"/>
    <mergeCell ref="G613:L613"/>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M957:S957"/>
    <mergeCell ref="AA971:AG971"/>
    <mergeCell ref="T971:Z971"/>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D1029:AE1030"/>
    <mergeCell ref="B992:AE992"/>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R669:EV669"/>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CC649:CG649"/>
    <mergeCell ref="CH649:CL649"/>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49:CQ649"/>
    <mergeCell ref="DH649:DL649"/>
    <mergeCell ref="DM649:DQ649"/>
    <mergeCell ref="CS651:CW651"/>
    <mergeCell ref="DX656:EB656"/>
    <mergeCell ref="EC656:EG656"/>
    <mergeCell ref="DX651:EB651"/>
    <mergeCell ref="EC651:EG651"/>
    <mergeCell ref="BN655:BR655"/>
    <mergeCell ref="EH656:EL656"/>
    <mergeCell ref="EM656:EQ656"/>
    <mergeCell ref="G728:J728"/>
    <mergeCell ref="J385:U385"/>
    <mergeCell ref="V381:W381"/>
    <mergeCell ref="T555:V555"/>
    <mergeCell ref="W559:Y559"/>
    <mergeCell ref="G647:L647"/>
    <mergeCell ref="W635:Y635"/>
    <mergeCell ref="B639:AN639"/>
    <mergeCell ref="B640:AN640"/>
    <mergeCell ref="B641:AN641"/>
    <mergeCell ref="G643:R643"/>
    <mergeCell ref="Z646:AK64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G671:L671"/>
    <mergeCell ref="G669:R669"/>
    <mergeCell ref="T718:W718"/>
    <mergeCell ref="O721:S721"/>
    <mergeCell ref="AK741:AO741"/>
    <mergeCell ref="AK752:AO752"/>
    <mergeCell ref="AH737:AJ737"/>
    <mergeCell ref="AH738:AJ738"/>
    <mergeCell ref="AH736:AJ736"/>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E693:AF693"/>
    <mergeCell ref="X740:AB740"/>
    <mergeCell ref="AC742:AG742"/>
    <mergeCell ref="AC743:AG743"/>
    <mergeCell ref="AC744:AG744"/>
    <mergeCell ref="AC745:AG745"/>
    <mergeCell ref="AC746:AG746"/>
    <mergeCell ref="AC747:AG747"/>
    <mergeCell ref="AC740:AG740"/>
    <mergeCell ref="AC741:AG741"/>
    <mergeCell ref="AC737:AG737"/>
    <mergeCell ref="AH728:AJ728"/>
    <mergeCell ref="AK748:AO748"/>
    <mergeCell ref="AH745:AJ745"/>
    <mergeCell ref="AH741:AJ741"/>
    <mergeCell ref="C636:L636"/>
    <mergeCell ref="N665:O665"/>
    <mergeCell ref="H672:R672"/>
    <mergeCell ref="G676:R676"/>
    <mergeCell ref="O747:S747"/>
    <mergeCell ref="T747:W747"/>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B719:F719"/>
    <mergeCell ref="AG665:AH665"/>
    <mergeCell ref="T729:W729"/>
    <mergeCell ref="B727:F727"/>
    <mergeCell ref="AC723:AG723"/>
    <mergeCell ref="AE698:AI698"/>
    <mergeCell ref="AK731:AO731"/>
    <mergeCell ref="AK738:AO738"/>
    <mergeCell ref="Z686:AK686"/>
    <mergeCell ref="Z605:AE605"/>
    <mergeCell ref="Z609:AK609"/>
    <mergeCell ref="G609:R609"/>
    <mergeCell ref="AF636:AJ636"/>
    <mergeCell ref="AF637:AJ637"/>
    <mergeCell ref="W628:Y628"/>
    <mergeCell ref="W629:Y629"/>
    <mergeCell ref="M630:P630"/>
    <mergeCell ref="M631:P631"/>
    <mergeCell ref="M632:P632"/>
    <mergeCell ref="AG649:AH649"/>
    <mergeCell ref="AK624:AN626"/>
    <mergeCell ref="AK627:AN627"/>
    <mergeCell ref="AC636:AE636"/>
    <mergeCell ref="AC637:AE637"/>
    <mergeCell ref="AC638:AE638"/>
    <mergeCell ref="AH721:AJ721"/>
    <mergeCell ref="AC714:AG717"/>
    <mergeCell ref="T732:W732"/>
    <mergeCell ref="AE694:AF694"/>
    <mergeCell ref="AK727:AO727"/>
    <mergeCell ref="AK720:AO720"/>
    <mergeCell ref="AK721:AO721"/>
    <mergeCell ref="K730:N730"/>
    <mergeCell ref="K731:N731"/>
    <mergeCell ref="K735:N735"/>
    <mergeCell ref="K736:N736"/>
    <mergeCell ref="Q635:S635"/>
    <mergeCell ref="G684:R684"/>
    <mergeCell ref="A69:AT70"/>
    <mergeCell ref="A72:AT73"/>
    <mergeCell ref="A544:AT545"/>
    <mergeCell ref="A480:AT481"/>
    <mergeCell ref="A351:AT352"/>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AH752:AJ752"/>
    <mergeCell ref="AK740:AO740"/>
    <mergeCell ref="B714:F717"/>
    <mergeCell ref="X791:AB791"/>
    <mergeCell ref="G729:J729"/>
    <mergeCell ref="B726:F726"/>
    <mergeCell ref="G655:L655"/>
    <mergeCell ref="H656:R656"/>
    <mergeCell ref="AA656:AK656"/>
    <mergeCell ref="P816:Y816"/>
    <mergeCell ref="O795:S795"/>
    <mergeCell ref="A222:AT223"/>
    <mergeCell ref="AK736:AO736"/>
    <mergeCell ref="AF638:AJ638"/>
    <mergeCell ref="AF632:AJ632"/>
    <mergeCell ref="AG615:AH615"/>
    <mergeCell ref="G612:R612"/>
    <mergeCell ref="G611:R611"/>
    <mergeCell ref="G569:R569"/>
    <mergeCell ref="Z602:AK602"/>
    <mergeCell ref="Z612:AK612"/>
    <mergeCell ref="I392:N392"/>
    <mergeCell ref="AK634:AN634"/>
    <mergeCell ref="AK635:AN635"/>
    <mergeCell ref="AK636:AN636"/>
    <mergeCell ref="AF631:AJ631"/>
    <mergeCell ref="AH735:AJ735"/>
    <mergeCell ref="K734:N734"/>
    <mergeCell ref="AC739:AG739"/>
    <mergeCell ref="Z806:AE806"/>
    <mergeCell ref="B751:F751"/>
    <mergeCell ref="X735:AB735"/>
    <mergeCell ref="X736:AB736"/>
    <mergeCell ref="T735:W735"/>
    <mergeCell ref="F915:T916"/>
    <mergeCell ref="AA930:AF930"/>
    <mergeCell ref="U831:X831"/>
    <mergeCell ref="Q831:T831"/>
    <mergeCell ref="C828:H828"/>
    <mergeCell ref="M828:P828"/>
    <mergeCell ref="C827:H827"/>
    <mergeCell ref="K743:N743"/>
    <mergeCell ref="O743:S743"/>
    <mergeCell ref="T743:W743"/>
    <mergeCell ref="K744:N744"/>
    <mergeCell ref="O744:S744"/>
    <mergeCell ref="K748:N748"/>
    <mergeCell ref="O748:S748"/>
    <mergeCell ref="T775:W775"/>
    <mergeCell ref="AC733:AG733"/>
    <mergeCell ref="AC791:AG791"/>
    <mergeCell ref="K746:N746"/>
    <mergeCell ref="O746:S746"/>
    <mergeCell ref="T746:W746"/>
    <mergeCell ref="K747:N747"/>
    <mergeCell ref="T740:W740"/>
    <mergeCell ref="G741:J741"/>
    <mergeCell ref="T793:W793"/>
    <mergeCell ref="G739:J739"/>
    <mergeCell ref="T745:W745"/>
    <mergeCell ref="B739:F739"/>
    <mergeCell ref="W847:AC847"/>
    <mergeCell ref="O797:S797"/>
    <mergeCell ref="Q827:T827"/>
    <mergeCell ref="Y826:AB826"/>
    <mergeCell ref="Z813:AE813"/>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G732:J732"/>
    <mergeCell ref="K728:N72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3" zoomScale="90" zoomScaleNormal="90" workbookViewId="0">
      <selection activeCell="E93" sqref="E93"/>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1" t="s">
        <v>629</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1)Citibank, N.A. - Tax Exempt</v>
      </c>
      <c r="G2" s="139" t="str">
        <f>Application!B628&amp;Application!C628</f>
        <v>2)5435 Balboa LLC Seller Note</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386000</v>
      </c>
      <c r="C4" s="147">
        <v>386000</v>
      </c>
      <c r="D4" s="147"/>
      <c r="E4" s="147"/>
      <c r="F4" s="147">
        <f>C4</f>
        <v>386000</v>
      </c>
      <c r="G4" s="147"/>
      <c r="H4" s="147"/>
      <c r="I4" s="147"/>
      <c r="J4" s="147"/>
      <c r="K4" s="147"/>
      <c r="L4" s="147"/>
      <c r="M4" s="147"/>
      <c r="N4" s="147"/>
      <c r="O4" s="147"/>
      <c r="P4" s="147"/>
      <c r="Q4" s="147"/>
      <c r="R4" s="550">
        <f>SUM(E4:Q4)</f>
        <v>386000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386000</v>
      </c>
      <c r="C8" s="146">
        <f t="shared" ref="C8:Q8" si="0">SUM(C4:C7)</f>
        <v>386000</v>
      </c>
      <c r="D8" s="146">
        <f t="shared" si="0"/>
        <v>0</v>
      </c>
      <c r="E8" s="146">
        <f t="shared" si="0"/>
        <v>0</v>
      </c>
      <c r="F8" s="146">
        <f t="shared" si="0"/>
        <v>386000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386000</v>
      </c>
      <c r="S8" s="148"/>
      <c r="T8" s="148"/>
      <c r="U8" s="143"/>
    </row>
    <row r="9" spans="1:21" s="144" customFormat="1">
      <c r="A9" s="145" t="s">
        <v>602</v>
      </c>
      <c r="B9" s="146">
        <f>SUM(C9+D9)</f>
        <v>20254000</v>
      </c>
      <c r="C9" s="147">
        <f>20640000-C4</f>
        <v>20254000</v>
      </c>
      <c r="D9" s="147"/>
      <c r="E9" s="147"/>
      <c r="F9" s="147">
        <f>C9-G9</f>
        <v>15264000</v>
      </c>
      <c r="G9" s="147">
        <v>4990000</v>
      </c>
      <c r="H9" s="147"/>
      <c r="I9" s="147"/>
      <c r="J9" s="147"/>
      <c r="K9" s="147"/>
      <c r="L9" s="147"/>
      <c r="M9" s="147"/>
      <c r="N9" s="147"/>
      <c r="O9" s="147"/>
      <c r="P9" s="147"/>
      <c r="Q9" s="147"/>
      <c r="R9" s="550">
        <f>SUM(E9:Q9)</f>
        <v>20254000</v>
      </c>
      <c r="S9" s="148"/>
      <c r="T9" s="147">
        <f>R9</f>
        <v>20254000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20254000</v>
      </c>
      <c r="C11" s="146">
        <f t="shared" ref="C11:Q11" si="1">SUM(C9:C10)</f>
        <v>20254000</v>
      </c>
      <c r="D11" s="146">
        <f t="shared" si="1"/>
        <v>0</v>
      </c>
      <c r="E11" s="146">
        <f t="shared" si="1"/>
        <v>0</v>
      </c>
      <c r="F11" s="146">
        <f t="shared" si="1"/>
        <v>15264000</v>
      </c>
      <c r="G11" s="146">
        <f t="shared" si="1"/>
        <v>4990000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20254000</v>
      </c>
      <c r="S11" s="148"/>
      <c r="T11" s="150">
        <f>SUM(T9:T10)</f>
        <v>20254000</v>
      </c>
      <c r="U11" s="143"/>
    </row>
    <row r="12" spans="1:21" s="144" customFormat="1">
      <c r="A12" s="149" t="s">
        <v>84</v>
      </c>
      <c r="B12" s="146">
        <f t="shared" ref="B12:Q12" si="2">SUM(B8+B11)</f>
        <v>20640000</v>
      </c>
      <c r="C12" s="146">
        <f t="shared" si="2"/>
        <v>20640000</v>
      </c>
      <c r="D12" s="146">
        <f t="shared" si="2"/>
        <v>0</v>
      </c>
      <c r="E12" s="146">
        <f t="shared" si="2"/>
        <v>0</v>
      </c>
      <c r="F12" s="146">
        <f t="shared" si="2"/>
        <v>15650000</v>
      </c>
      <c r="G12" s="146">
        <f t="shared" si="2"/>
        <v>4990000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20640000</v>
      </c>
      <c r="S12" s="148"/>
      <c r="T12" s="148"/>
      <c r="U12" s="143"/>
    </row>
    <row r="13" spans="1:21" s="144" customFormat="1">
      <c r="A13" s="309" t="s">
        <v>917</v>
      </c>
      <c r="B13" s="146">
        <f>SUM(C13+D13)</f>
        <v>125000</v>
      </c>
      <c r="C13" s="147">
        <v>125000</v>
      </c>
      <c r="D13" s="147"/>
      <c r="E13" s="147"/>
      <c r="F13" s="147">
        <f>C13</f>
        <v>125000</v>
      </c>
      <c r="G13" s="147"/>
      <c r="H13" s="147"/>
      <c r="I13" s="147"/>
      <c r="J13" s="147"/>
      <c r="K13" s="147"/>
      <c r="L13" s="147"/>
      <c r="M13" s="147"/>
      <c r="N13" s="147"/>
      <c r="O13" s="147"/>
      <c r="P13" s="147"/>
      <c r="Q13" s="147"/>
      <c r="R13" s="550">
        <f>SUM(E13:Q13)</f>
        <v>125000</v>
      </c>
      <c r="S13" s="147">
        <f>R13</f>
        <v>125000</v>
      </c>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25200000</v>
      </c>
      <c r="C30" s="147">
        <v>25200000</v>
      </c>
      <c r="D30" s="147"/>
      <c r="E30" s="147">
        <f>C30</f>
        <v>25200000</v>
      </c>
      <c r="F30" s="147"/>
      <c r="G30" s="147"/>
      <c r="H30" s="147"/>
      <c r="I30" s="147"/>
      <c r="J30" s="147"/>
      <c r="K30" s="147"/>
      <c r="L30" s="147"/>
      <c r="M30" s="147"/>
      <c r="N30" s="147"/>
      <c r="O30" s="147"/>
      <c r="P30" s="147"/>
      <c r="Q30" s="147"/>
      <c r="R30" s="550">
        <f t="shared" si="7"/>
        <v>25200000</v>
      </c>
      <c r="S30" s="147">
        <f>R30</f>
        <v>25200000</v>
      </c>
      <c r="T30" s="147"/>
      <c r="U30" s="143"/>
    </row>
    <row r="31" spans="1:21" s="144" customFormat="1">
      <c r="A31" s="145" t="s">
        <v>608</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216000</v>
      </c>
      <c r="C36" s="147">
        <v>216000</v>
      </c>
      <c r="D36" s="147"/>
      <c r="E36" s="147"/>
      <c r="F36" s="147">
        <f t="shared" ref="F36:F37" si="8">C36</f>
        <v>216000</v>
      </c>
      <c r="G36" s="147"/>
      <c r="H36" s="147"/>
      <c r="I36" s="147"/>
      <c r="J36" s="147"/>
      <c r="K36" s="147"/>
      <c r="L36" s="147"/>
      <c r="M36" s="147"/>
      <c r="N36" s="147"/>
      <c r="O36" s="147"/>
      <c r="P36" s="147"/>
      <c r="Q36" s="147"/>
      <c r="R36" s="550">
        <f t="shared" si="7"/>
        <v>216000</v>
      </c>
      <c r="S36" s="147">
        <f>R36</f>
        <v>216000</v>
      </c>
      <c r="T36" s="147"/>
      <c r="U36" s="143"/>
    </row>
    <row r="37" spans="1:21" s="144" customFormat="1">
      <c r="A37" s="1193" t="s">
        <v>2735</v>
      </c>
      <c r="B37" s="146">
        <f t="shared" si="6"/>
        <v>250000</v>
      </c>
      <c r="C37" s="147">
        <v>250000</v>
      </c>
      <c r="D37" s="147"/>
      <c r="E37" s="147"/>
      <c r="F37" s="147">
        <f t="shared" si="8"/>
        <v>250000</v>
      </c>
      <c r="G37" s="147"/>
      <c r="H37" s="147"/>
      <c r="I37" s="147"/>
      <c r="J37" s="147"/>
      <c r="K37" s="147"/>
      <c r="L37" s="147"/>
      <c r="M37" s="147"/>
      <c r="N37" s="147"/>
      <c r="O37" s="147"/>
      <c r="P37" s="147"/>
      <c r="Q37" s="147"/>
      <c r="R37" s="550">
        <f t="shared" si="7"/>
        <v>250000</v>
      </c>
      <c r="S37" s="147">
        <f>R37</f>
        <v>250000</v>
      </c>
      <c r="T37" s="147"/>
      <c r="U37" s="143"/>
    </row>
    <row r="38" spans="1:21" s="144" customFormat="1">
      <c r="A38" s="149" t="s">
        <v>143</v>
      </c>
      <c r="B38" s="146">
        <f t="shared" si="6"/>
        <v>25666000</v>
      </c>
      <c r="C38" s="146">
        <f>SUM(C29:C37)</f>
        <v>25666000</v>
      </c>
      <c r="D38" s="146">
        <f t="shared" ref="D38:Q38" si="9">SUM(D29:D37)</f>
        <v>0</v>
      </c>
      <c r="E38" s="146">
        <f t="shared" si="9"/>
        <v>25200000</v>
      </c>
      <c r="F38" s="146">
        <f t="shared" si="9"/>
        <v>466000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25666000</v>
      </c>
      <c r="S38" s="150">
        <f>SUM(S29:S37)</f>
        <v>25666000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1700000</v>
      </c>
      <c r="C40" s="147">
        <v>1700000</v>
      </c>
      <c r="D40" s="147"/>
      <c r="E40" s="147">
        <f>C40</f>
        <v>1700000</v>
      </c>
      <c r="F40" s="147"/>
      <c r="G40" s="147"/>
      <c r="H40" s="147"/>
      <c r="I40" s="147"/>
      <c r="J40" s="147"/>
      <c r="K40" s="147"/>
      <c r="L40" s="147"/>
      <c r="M40" s="147"/>
      <c r="N40" s="147"/>
      <c r="O40" s="147"/>
      <c r="P40" s="147"/>
      <c r="Q40" s="147"/>
      <c r="R40" s="550">
        <f>SUM(E40:Q40)</f>
        <v>1700000</v>
      </c>
      <c r="S40" s="147">
        <f>R40</f>
        <v>1700000</v>
      </c>
      <c r="T40" s="147"/>
      <c r="U40" s="143"/>
    </row>
    <row r="41" spans="1:21" s="144" customFormat="1">
      <c r="A41" s="145" t="s">
        <v>146</v>
      </c>
      <c r="B41" s="146">
        <f>SUM(C41+D41)</f>
        <v>250000</v>
      </c>
      <c r="C41" s="147">
        <v>250000</v>
      </c>
      <c r="D41" s="147"/>
      <c r="E41" s="147"/>
      <c r="F41" s="147">
        <f t="shared" ref="F41" si="10">C41</f>
        <v>250000</v>
      </c>
      <c r="G41" s="147"/>
      <c r="H41" s="147"/>
      <c r="I41" s="147"/>
      <c r="J41" s="147"/>
      <c r="K41" s="147"/>
      <c r="L41" s="147"/>
      <c r="M41" s="147"/>
      <c r="N41" s="147"/>
      <c r="O41" s="147"/>
      <c r="P41" s="147"/>
      <c r="Q41" s="147"/>
      <c r="R41" s="550">
        <f>SUM(E41:Q41)</f>
        <v>250000</v>
      </c>
      <c r="S41" s="147">
        <f>R41</f>
        <v>250000</v>
      </c>
      <c r="T41" s="147"/>
      <c r="U41" s="143"/>
    </row>
    <row r="42" spans="1:21" s="144" customFormat="1">
      <c r="A42" s="149" t="s">
        <v>147</v>
      </c>
      <c r="B42" s="146">
        <f>SUM(C42:D42)</f>
        <v>1950000</v>
      </c>
      <c r="C42" s="146">
        <f>SUM(C39:C41)</f>
        <v>1950000</v>
      </c>
      <c r="D42" s="146">
        <f>SUM(D39:D41)</f>
        <v>0</v>
      </c>
      <c r="E42" s="146">
        <f t="shared" ref="E42:T42" si="11">SUM(E40:E41)</f>
        <v>1700000</v>
      </c>
      <c r="F42" s="146">
        <f t="shared" si="11"/>
        <v>250000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1950000</v>
      </c>
      <c r="S42" s="150">
        <f t="shared" si="11"/>
        <v>1950000</v>
      </c>
      <c r="T42" s="150">
        <f t="shared" si="11"/>
        <v>0</v>
      </c>
      <c r="U42" s="143"/>
    </row>
    <row r="43" spans="1:21" s="144" customFormat="1">
      <c r="A43" s="149" t="s">
        <v>148</v>
      </c>
      <c r="B43" s="146">
        <f>SUM(C43:D43)</f>
        <v>446400</v>
      </c>
      <c r="C43" s="147">
        <f>72662568-72216168</f>
        <v>446400</v>
      </c>
      <c r="D43" s="147"/>
      <c r="E43" s="147"/>
      <c r="F43" s="147">
        <f t="shared" ref="F43" si="12">C43</f>
        <v>446400</v>
      </c>
      <c r="G43" s="147"/>
      <c r="H43" s="147"/>
      <c r="I43" s="147"/>
      <c r="J43" s="147"/>
      <c r="K43" s="147"/>
      <c r="L43" s="147"/>
      <c r="M43" s="147"/>
      <c r="N43" s="147"/>
      <c r="O43" s="147"/>
      <c r="P43" s="147"/>
      <c r="Q43" s="147"/>
      <c r="R43" s="550">
        <f>SUM(E43:Q43)</f>
        <v>446400</v>
      </c>
      <c r="S43" s="147">
        <f>R43</f>
        <v>446400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8250000</v>
      </c>
      <c r="C45" s="147">
        <v>8250000</v>
      </c>
      <c r="D45" s="147"/>
      <c r="E45" s="147"/>
      <c r="F45" s="147">
        <f>C45</f>
        <v>8250000</v>
      </c>
      <c r="G45" s="147"/>
      <c r="H45" s="147"/>
      <c r="I45" s="147"/>
      <c r="J45" s="147"/>
      <c r="K45" s="147"/>
      <c r="L45" s="147"/>
      <c r="M45" s="147"/>
      <c r="N45" s="147"/>
      <c r="O45" s="147"/>
      <c r="P45" s="147"/>
      <c r="Q45" s="147"/>
      <c r="R45" s="550">
        <f t="shared" ref="R45:R53" si="14">SUM(E45:Q45)</f>
        <v>8250000</v>
      </c>
      <c r="S45" s="147">
        <f>R45</f>
        <v>8250000</v>
      </c>
      <c r="T45" s="147"/>
      <c r="U45" s="143"/>
    </row>
    <row r="46" spans="1:21" s="144" customFormat="1">
      <c r="A46" s="145" t="s">
        <v>151</v>
      </c>
      <c r="B46" s="146">
        <f t="shared" si="13"/>
        <v>525000</v>
      </c>
      <c r="C46" s="147">
        <v>525000</v>
      </c>
      <c r="D46" s="147"/>
      <c r="E46" s="147"/>
      <c r="F46" s="147">
        <f t="shared" ref="F46:F53" si="15">C46</f>
        <v>525000</v>
      </c>
      <c r="G46" s="147"/>
      <c r="H46" s="147"/>
      <c r="I46" s="147"/>
      <c r="J46" s="147"/>
      <c r="K46" s="147"/>
      <c r="L46" s="147"/>
      <c r="M46" s="147"/>
      <c r="N46" s="147"/>
      <c r="O46" s="147"/>
      <c r="P46" s="147"/>
      <c r="Q46" s="147"/>
      <c r="R46" s="550">
        <f t="shared" si="14"/>
        <v>525000</v>
      </c>
      <c r="S46" s="147">
        <f>R46</f>
        <v>525000</v>
      </c>
      <c r="T46" s="147"/>
      <c r="U46" s="143"/>
    </row>
    <row r="47" spans="1:21" s="144" customFormat="1">
      <c r="A47" s="198" t="s">
        <v>152</v>
      </c>
      <c r="B47" s="146">
        <f t="shared" si="13"/>
        <v>25000</v>
      </c>
      <c r="C47" s="147">
        <v>25000</v>
      </c>
      <c r="D47" s="147"/>
      <c r="E47" s="147"/>
      <c r="F47" s="147">
        <f t="shared" si="15"/>
        <v>25000</v>
      </c>
      <c r="G47" s="147"/>
      <c r="H47" s="147"/>
      <c r="I47" s="147"/>
      <c r="J47" s="147"/>
      <c r="K47" s="147"/>
      <c r="L47" s="147"/>
      <c r="M47" s="147"/>
      <c r="N47" s="147"/>
      <c r="O47" s="147"/>
      <c r="P47" s="147"/>
      <c r="Q47" s="147"/>
      <c r="R47" s="550">
        <f t="shared" si="14"/>
        <v>25000</v>
      </c>
      <c r="S47" s="147">
        <f t="shared" ref="S47:S52" si="16">R47</f>
        <v>25000</v>
      </c>
      <c r="T47" s="147"/>
      <c r="U47" s="143"/>
    </row>
    <row r="48" spans="1:21" s="144" customFormat="1">
      <c r="A48" s="145" t="s">
        <v>153</v>
      </c>
      <c r="B48" s="146">
        <f t="shared" si="13"/>
        <v>0</v>
      </c>
      <c r="C48" s="147"/>
      <c r="D48" s="147"/>
      <c r="E48" s="147"/>
      <c r="F48" s="147"/>
      <c r="G48" s="147"/>
      <c r="H48" s="147"/>
      <c r="I48" s="147"/>
      <c r="J48" s="147"/>
      <c r="K48" s="147"/>
      <c r="L48" s="147"/>
      <c r="M48" s="147"/>
      <c r="N48" s="147"/>
      <c r="O48" s="147"/>
      <c r="P48" s="147"/>
      <c r="Q48" s="147"/>
      <c r="R48" s="550">
        <f t="shared" si="14"/>
        <v>0</v>
      </c>
      <c r="S48" s="147">
        <f t="shared" si="16"/>
        <v>0</v>
      </c>
      <c r="T48" s="147"/>
      <c r="U48" s="143"/>
    </row>
    <row r="49" spans="1:21" s="144" customFormat="1">
      <c r="A49" s="145" t="s">
        <v>57</v>
      </c>
      <c r="B49" s="146">
        <f t="shared" si="13"/>
        <v>231250</v>
      </c>
      <c r="C49" s="147">
        <f>379250-139000-9000</f>
        <v>231250</v>
      </c>
      <c r="D49" s="147"/>
      <c r="E49" s="147"/>
      <c r="F49" s="147">
        <f t="shared" si="15"/>
        <v>231250</v>
      </c>
      <c r="G49" s="147"/>
      <c r="H49" s="147"/>
      <c r="I49" s="147"/>
      <c r="J49" s="147"/>
      <c r="K49" s="147"/>
      <c r="L49" s="147"/>
      <c r="M49" s="147"/>
      <c r="N49" s="147"/>
      <c r="O49" s="147"/>
      <c r="P49" s="147"/>
      <c r="Q49" s="147"/>
      <c r="R49" s="550">
        <f t="shared" si="14"/>
        <v>231250</v>
      </c>
      <c r="S49" s="1014">
        <f>R49</f>
        <v>231250</v>
      </c>
      <c r="T49" s="147"/>
      <c r="U49" s="143"/>
    </row>
    <row r="50" spans="1:21" s="144" customFormat="1">
      <c r="A50" s="145" t="s">
        <v>156</v>
      </c>
      <c r="B50" s="146">
        <f t="shared" si="13"/>
        <v>150000</v>
      </c>
      <c r="C50" s="147">
        <v>150000</v>
      </c>
      <c r="D50" s="147"/>
      <c r="E50" s="147"/>
      <c r="F50" s="147">
        <f t="shared" si="15"/>
        <v>150000</v>
      </c>
      <c r="G50" s="147"/>
      <c r="H50" s="147"/>
      <c r="I50" s="147"/>
      <c r="J50" s="147"/>
      <c r="K50" s="147"/>
      <c r="L50" s="147"/>
      <c r="M50" s="147"/>
      <c r="N50" s="147"/>
      <c r="O50" s="147"/>
      <c r="P50" s="147"/>
      <c r="Q50" s="147"/>
      <c r="R50" s="550">
        <f t="shared" si="14"/>
        <v>150000</v>
      </c>
      <c r="S50" s="147">
        <f t="shared" si="16"/>
        <v>150000</v>
      </c>
      <c r="T50" s="147"/>
      <c r="U50" s="143"/>
    </row>
    <row r="51" spans="1:21" s="144" customFormat="1">
      <c r="A51" s="304" t="s">
        <v>154</v>
      </c>
      <c r="B51" s="146">
        <f t="shared" si="13"/>
        <v>525000</v>
      </c>
      <c r="C51" s="147">
        <v>525000</v>
      </c>
      <c r="D51" s="147"/>
      <c r="E51" s="147"/>
      <c r="F51" s="147">
        <f t="shared" si="15"/>
        <v>525000</v>
      </c>
      <c r="G51" s="147"/>
      <c r="H51" s="147"/>
      <c r="I51" s="147"/>
      <c r="J51" s="147"/>
      <c r="K51" s="147"/>
      <c r="L51" s="147"/>
      <c r="M51" s="147"/>
      <c r="N51" s="147"/>
      <c r="O51" s="147"/>
      <c r="P51" s="147"/>
      <c r="Q51" s="147"/>
      <c r="R51" s="550">
        <f t="shared" si="14"/>
        <v>525000</v>
      </c>
      <c r="S51" s="147">
        <f t="shared" si="16"/>
        <v>525000</v>
      </c>
      <c r="T51" s="147"/>
      <c r="U51" s="143"/>
    </row>
    <row r="52" spans="1:21" s="144" customFormat="1">
      <c r="A52" s="145" t="s">
        <v>155</v>
      </c>
      <c r="B52" s="146">
        <f t="shared" si="13"/>
        <v>750000</v>
      </c>
      <c r="C52" s="147">
        <v>750000</v>
      </c>
      <c r="D52" s="147"/>
      <c r="E52" s="147"/>
      <c r="F52" s="147">
        <f t="shared" si="15"/>
        <v>750000</v>
      </c>
      <c r="G52" s="147"/>
      <c r="H52" s="147"/>
      <c r="I52" s="147"/>
      <c r="J52" s="147"/>
      <c r="K52" s="147"/>
      <c r="L52" s="147"/>
      <c r="M52" s="147"/>
      <c r="N52" s="147"/>
      <c r="O52" s="147"/>
      <c r="P52" s="147"/>
      <c r="Q52" s="147"/>
      <c r="R52" s="550">
        <f t="shared" si="14"/>
        <v>750000</v>
      </c>
      <c r="S52" s="147">
        <f t="shared" si="16"/>
        <v>750000</v>
      </c>
      <c r="T52" s="147"/>
      <c r="U52" s="143"/>
    </row>
    <row r="53" spans="1:21" s="144" customFormat="1">
      <c r="A53" s="1193" t="s">
        <v>301</v>
      </c>
      <c r="B53" s="146">
        <f t="shared" si="13"/>
        <v>0</v>
      </c>
      <c r="C53" s="147">
        <v>0</v>
      </c>
      <c r="D53" s="147"/>
      <c r="E53" s="147"/>
      <c r="F53" s="147">
        <f t="shared" si="15"/>
        <v>0</v>
      </c>
      <c r="G53" s="147"/>
      <c r="H53" s="147"/>
      <c r="I53" s="147"/>
      <c r="J53" s="147"/>
      <c r="K53" s="147"/>
      <c r="L53" s="147"/>
      <c r="M53" s="147"/>
      <c r="N53" s="147"/>
      <c r="O53" s="147"/>
      <c r="P53" s="147"/>
      <c r="Q53" s="147"/>
      <c r="R53" s="550">
        <f t="shared" si="14"/>
        <v>0</v>
      </c>
      <c r="S53" s="147"/>
      <c r="T53" s="147"/>
      <c r="U53" s="143"/>
    </row>
    <row r="54" spans="1:21" s="153" customFormat="1">
      <c r="A54" s="149" t="s">
        <v>157</v>
      </c>
      <c r="B54" s="150">
        <f>SUM(C54:D54)</f>
        <v>10456250</v>
      </c>
      <c r="C54" s="150">
        <f t="shared" ref="C54:T54" si="17">SUM(C45:C53)</f>
        <v>10456250</v>
      </c>
      <c r="D54" s="150">
        <f t="shared" si="17"/>
        <v>0</v>
      </c>
      <c r="E54" s="150">
        <f t="shared" si="17"/>
        <v>0</v>
      </c>
      <c r="F54" s="150">
        <f t="shared" si="17"/>
        <v>10456250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10456250</v>
      </c>
      <c r="S54" s="150">
        <f t="shared" si="17"/>
        <v>10456250</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10000</v>
      </c>
      <c r="C56" s="147">
        <v>10000</v>
      </c>
      <c r="D56" s="147"/>
      <c r="E56" s="147"/>
      <c r="F56" s="147">
        <f t="shared" ref="F56" si="19">C56</f>
        <v>10000</v>
      </c>
      <c r="G56" s="147"/>
      <c r="H56" s="147"/>
      <c r="I56" s="147"/>
      <c r="J56" s="147"/>
      <c r="K56" s="147"/>
      <c r="L56" s="147"/>
      <c r="M56" s="147"/>
      <c r="N56" s="147"/>
      <c r="O56" s="147"/>
      <c r="P56" s="147"/>
      <c r="Q56" s="147"/>
      <c r="R56" s="550">
        <f t="shared" ref="R56:R61" si="20">SUM(E56:Q56)</f>
        <v>10000</v>
      </c>
      <c r="S56" s="148"/>
      <c r="T56" s="148"/>
      <c r="U56" s="143"/>
    </row>
    <row r="57" spans="1:21" s="204" customFormat="1">
      <c r="A57" s="198" t="s">
        <v>152</v>
      </c>
      <c r="B57" s="205">
        <f t="shared" si="18"/>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8"/>
        <v>25000</v>
      </c>
      <c r="C58" s="147">
        <v>25000</v>
      </c>
      <c r="D58" s="147"/>
      <c r="E58" s="147"/>
      <c r="F58" s="147">
        <f t="shared" ref="F58" si="21">C58</f>
        <v>25000</v>
      </c>
      <c r="G58" s="147"/>
      <c r="H58" s="147"/>
      <c r="I58" s="147"/>
      <c r="J58" s="147"/>
      <c r="K58" s="147"/>
      <c r="L58" s="147"/>
      <c r="M58" s="147"/>
      <c r="N58" s="147"/>
      <c r="O58" s="147"/>
      <c r="P58" s="147"/>
      <c r="Q58" s="147"/>
      <c r="R58" s="550">
        <f t="shared" si="20"/>
        <v>25000</v>
      </c>
      <c r="S58" s="148"/>
      <c r="T58" s="148"/>
      <c r="U58" s="143"/>
    </row>
    <row r="59" spans="1:21" s="144" customFormat="1">
      <c r="A59" s="304" t="s">
        <v>154</v>
      </c>
      <c r="B59" s="146">
        <f t="shared" si="18"/>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c r="F61" s="147"/>
      <c r="G61" s="147"/>
      <c r="H61" s="147"/>
      <c r="I61" s="147"/>
      <c r="J61" s="147"/>
      <c r="K61" s="147"/>
      <c r="L61" s="147"/>
      <c r="M61" s="147"/>
      <c r="N61" s="147"/>
      <c r="O61" s="147"/>
      <c r="P61" s="147"/>
      <c r="Q61" s="147"/>
      <c r="R61" s="550">
        <f t="shared" si="20"/>
        <v>0</v>
      </c>
      <c r="S61" s="148"/>
      <c r="T61" s="148"/>
      <c r="U61" s="143"/>
    </row>
    <row r="62" spans="1:21" s="144" customFormat="1" ht="13.7" customHeight="1">
      <c r="A62" s="149" t="s">
        <v>302</v>
      </c>
      <c r="B62" s="146">
        <f>SUM(C62:D62)</f>
        <v>35000</v>
      </c>
      <c r="C62" s="146">
        <f t="shared" ref="C62:R62" si="22">SUM(C56:C61)</f>
        <v>35000</v>
      </c>
      <c r="D62" s="146">
        <f t="shared" si="22"/>
        <v>0</v>
      </c>
      <c r="E62" s="146">
        <f t="shared" si="22"/>
        <v>0</v>
      </c>
      <c r="F62" s="146">
        <f t="shared" si="22"/>
        <v>35000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35000</v>
      </c>
      <c r="S62" s="148"/>
      <c r="T62" s="148"/>
      <c r="U62" s="143"/>
    </row>
    <row r="63" spans="1:21" s="144" customFormat="1">
      <c r="A63" s="154" t="s">
        <v>303</v>
      </c>
      <c r="B63" s="146">
        <f t="shared" ref="B63:R63" si="23">SUM(B8+B11+B13+B14+B15+B26+B27+B38+B42+B43+B54+B62)</f>
        <v>59318650</v>
      </c>
      <c r="C63" s="146">
        <f t="shared" si="23"/>
        <v>59318650</v>
      </c>
      <c r="D63" s="146">
        <f t="shared" si="23"/>
        <v>0</v>
      </c>
      <c r="E63" s="146">
        <f t="shared" si="23"/>
        <v>26900000</v>
      </c>
      <c r="F63" s="146">
        <f t="shared" si="23"/>
        <v>27428650</v>
      </c>
      <c r="G63" s="146">
        <f t="shared" si="23"/>
        <v>4990000</v>
      </c>
      <c r="H63" s="146">
        <f t="shared" si="23"/>
        <v>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70">
        <f t="shared" si="23"/>
        <v>59318650</v>
      </c>
      <c r="S63" s="146">
        <f>SUM(S10+S13+S14+S15+S26+S27+S38+S42+S43+S54)</f>
        <v>38643650</v>
      </c>
      <c r="T63" s="146">
        <f>SUM(T11+T13+T14+T15+T26+T27+T38+T42+T43+T54)</f>
        <v>20254000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135000</v>
      </c>
      <c r="C65" s="147">
        <v>135000</v>
      </c>
      <c r="D65" s="147"/>
      <c r="E65" s="147"/>
      <c r="F65" s="147">
        <f t="shared" ref="F65:F68" si="24">C65</f>
        <v>135000</v>
      </c>
      <c r="G65" s="147"/>
      <c r="H65" s="147"/>
      <c r="I65" s="147"/>
      <c r="J65" s="147"/>
      <c r="K65" s="147"/>
      <c r="L65" s="147"/>
      <c r="M65" s="147"/>
      <c r="N65" s="147"/>
      <c r="O65" s="147"/>
      <c r="P65" s="147"/>
      <c r="Q65" s="147"/>
      <c r="R65" s="550">
        <f>SUM(E65:Q65)</f>
        <v>135000</v>
      </c>
      <c r="S65" s="147">
        <v>132500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f t="shared" ref="S66:S69" si="25">R66</f>
        <v>0</v>
      </c>
      <c r="T66" s="147"/>
      <c r="U66" s="143"/>
    </row>
    <row r="67" spans="1:21" s="144" customFormat="1" ht="24" customHeight="1">
      <c r="A67" s="304" t="s">
        <v>1753</v>
      </c>
      <c r="B67" s="146">
        <f>SUM(C67+D67)</f>
        <v>100000</v>
      </c>
      <c r="C67" s="147">
        <v>100000</v>
      </c>
      <c r="D67" s="147"/>
      <c r="E67" s="147"/>
      <c r="F67" s="147">
        <f t="shared" si="24"/>
        <v>100000</v>
      </c>
      <c r="G67" s="147"/>
      <c r="H67" s="147"/>
      <c r="I67" s="147"/>
      <c r="J67" s="147"/>
      <c r="K67" s="147"/>
      <c r="L67" s="147"/>
      <c r="M67" s="147"/>
      <c r="N67" s="147"/>
      <c r="O67" s="147"/>
      <c r="P67" s="147"/>
      <c r="Q67" s="147"/>
      <c r="R67" s="550">
        <f>SUM(E67:Q67)</f>
        <v>100000</v>
      </c>
      <c r="S67" s="147">
        <f t="shared" si="25"/>
        <v>100000</v>
      </c>
      <c r="T67" s="147"/>
      <c r="U67" s="143"/>
    </row>
    <row r="68" spans="1:21" s="144" customFormat="1" ht="12" customHeight="1">
      <c r="A68" s="304" t="s">
        <v>1759</v>
      </c>
      <c r="B68" s="146">
        <f>SUM(C68+D68)</f>
        <v>11700</v>
      </c>
      <c r="C68" s="147">
        <f>25000-13300</f>
        <v>11700</v>
      </c>
      <c r="D68" s="147"/>
      <c r="E68" s="147"/>
      <c r="F68" s="147">
        <f t="shared" si="24"/>
        <v>11700</v>
      </c>
      <c r="G68" s="147"/>
      <c r="H68" s="147"/>
      <c r="I68" s="147"/>
      <c r="J68" s="147"/>
      <c r="K68" s="147"/>
      <c r="L68" s="147"/>
      <c r="M68" s="147"/>
      <c r="N68" s="147"/>
      <c r="O68" s="147"/>
      <c r="P68" s="147"/>
      <c r="Q68" s="147"/>
      <c r="R68" s="550">
        <f>SUM(E68:Q68)</f>
        <v>11700</v>
      </c>
      <c r="S68" s="147">
        <v>9000</v>
      </c>
      <c r="T68" s="147"/>
      <c r="U68" s="143"/>
    </row>
    <row r="69" spans="1:21" s="144" customFormat="1">
      <c r="A69" s="1193" t="s">
        <v>2736</v>
      </c>
      <c r="B69" s="146">
        <f>SUM(C69+D69)</f>
        <v>200800</v>
      </c>
      <c r="C69" s="147">
        <v>200800</v>
      </c>
      <c r="D69" s="147"/>
      <c r="E69" s="147">
        <f>C69-F69</f>
        <v>76157</v>
      </c>
      <c r="F69" s="147">
        <f>30186018-30061375</f>
        <v>124643</v>
      </c>
      <c r="G69" s="147"/>
      <c r="H69" s="147"/>
      <c r="I69" s="147"/>
      <c r="J69" s="147"/>
      <c r="K69" s="147"/>
      <c r="L69" s="147"/>
      <c r="M69" s="147"/>
      <c r="N69" s="147"/>
      <c r="O69" s="147"/>
      <c r="P69" s="147"/>
      <c r="Q69" s="147"/>
      <c r="R69" s="550">
        <f>SUM(E69:Q69)</f>
        <v>200800</v>
      </c>
      <c r="S69" s="147">
        <f t="shared" si="25"/>
        <v>200800</v>
      </c>
      <c r="T69" s="147"/>
      <c r="U69" s="143"/>
    </row>
    <row r="70" spans="1:21" s="144" customFormat="1">
      <c r="A70" s="149" t="s">
        <v>1756</v>
      </c>
      <c r="B70" s="146">
        <f>SUM(C70:D70)</f>
        <v>447500</v>
      </c>
      <c r="C70" s="146">
        <f>SUM(C65:C69)</f>
        <v>447500</v>
      </c>
      <c r="D70" s="146">
        <f>SUM(D65:D69)</f>
        <v>0</v>
      </c>
      <c r="E70" s="146">
        <f t="shared" ref="E70:T70" si="26">SUM(E65:E69)</f>
        <v>76157</v>
      </c>
      <c r="F70" s="146">
        <f t="shared" si="26"/>
        <v>371343</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70">
        <f t="shared" si="26"/>
        <v>447500</v>
      </c>
      <c r="S70" s="150">
        <f t="shared" si="26"/>
        <v>442300</v>
      </c>
      <c r="T70" s="150">
        <f t="shared" si="26"/>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950000</v>
      </c>
      <c r="C75" s="147">
        <v>950000</v>
      </c>
      <c r="D75" s="147"/>
      <c r="E75" s="147">
        <v>150000</v>
      </c>
      <c r="F75" s="147">
        <v>800000</v>
      </c>
      <c r="G75" s="147"/>
      <c r="H75" s="147"/>
      <c r="I75" s="147"/>
      <c r="J75" s="147"/>
      <c r="K75" s="147"/>
      <c r="L75" s="147"/>
      <c r="M75" s="147"/>
      <c r="N75" s="147"/>
      <c r="O75" s="147"/>
      <c r="P75" s="147"/>
      <c r="Q75" s="147"/>
      <c r="R75" s="550">
        <f>SUM(E75:Q75)</f>
        <v>950000</v>
      </c>
      <c r="S75" s="148"/>
      <c r="T75" s="148"/>
      <c r="U75" s="143"/>
    </row>
    <row r="76" spans="1:21" s="144" customFormat="1">
      <c r="A76" s="1193" t="s">
        <v>34</v>
      </c>
      <c r="B76" s="146">
        <f>SUM(C76+D76)</f>
        <v>0</v>
      </c>
      <c r="C76" s="147">
        <v>0</v>
      </c>
      <c r="D76" s="147"/>
      <c r="E76" s="147"/>
      <c r="F76" s="147">
        <f>C76</f>
        <v>0</v>
      </c>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950000</v>
      </c>
      <c r="C77" s="146">
        <f>SUM(C72:C76)</f>
        <v>950000</v>
      </c>
      <c r="D77" s="146">
        <f>SUM(D72:D76)</f>
        <v>0</v>
      </c>
      <c r="E77" s="146">
        <f t="shared" ref="E77:Q77" si="27">SUM(E72:E76)</f>
        <v>150000</v>
      </c>
      <c r="F77" s="146">
        <f>SUM(F72:F76)</f>
        <v>800000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950000</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2520000</v>
      </c>
      <c r="C79" s="147">
        <v>2520000</v>
      </c>
      <c r="D79" s="147"/>
      <c r="E79" s="147">
        <f>C79</f>
        <v>2520000</v>
      </c>
      <c r="F79" s="147"/>
      <c r="G79" s="147"/>
      <c r="H79" s="147"/>
      <c r="I79" s="147"/>
      <c r="J79" s="147"/>
      <c r="K79" s="147"/>
      <c r="L79" s="147"/>
      <c r="M79" s="147"/>
      <c r="N79" s="147"/>
      <c r="O79" s="147"/>
      <c r="P79" s="147"/>
      <c r="Q79" s="147"/>
      <c r="R79" s="550">
        <f>SUM(E79:Q79)</f>
        <v>2520000</v>
      </c>
      <c r="S79" s="147">
        <f t="shared" ref="S79:S80" si="28">R79</f>
        <v>2520000</v>
      </c>
      <c r="T79" s="147"/>
      <c r="U79" s="143"/>
    </row>
    <row r="80" spans="1:21" s="144" customFormat="1">
      <c r="A80" s="304" t="s">
        <v>58</v>
      </c>
      <c r="B80" s="146">
        <f>SUM(C80:D80)</f>
        <v>500000</v>
      </c>
      <c r="C80" s="147">
        <v>500000</v>
      </c>
      <c r="D80" s="147"/>
      <c r="E80" s="147">
        <f>C80</f>
        <v>500000</v>
      </c>
      <c r="F80" s="147"/>
      <c r="G80" s="147"/>
      <c r="H80" s="147"/>
      <c r="I80" s="147"/>
      <c r="J80" s="147"/>
      <c r="K80" s="147"/>
      <c r="L80" s="147"/>
      <c r="M80" s="147"/>
      <c r="N80" s="147"/>
      <c r="O80" s="147"/>
      <c r="P80" s="147"/>
      <c r="Q80" s="147"/>
      <c r="R80" s="550">
        <f>SUM(E80:Q80)</f>
        <v>500000</v>
      </c>
      <c r="S80" s="147">
        <f t="shared" si="28"/>
        <v>500000</v>
      </c>
      <c r="T80" s="147"/>
      <c r="U80" s="143"/>
    </row>
    <row r="81" spans="1:21" s="144" customFormat="1">
      <c r="A81" s="149" t="s">
        <v>1315</v>
      </c>
      <c r="B81" s="146">
        <f>SUM(C81:D81)</f>
        <v>3020000</v>
      </c>
      <c r="C81" s="543">
        <f>SUM(C79:C80)</f>
        <v>3020000</v>
      </c>
      <c r="D81" s="543">
        <f t="shared" ref="D81:T81" si="29">SUM(D79:D80)</f>
        <v>0</v>
      </c>
      <c r="E81" s="543">
        <f t="shared" si="29"/>
        <v>3020000</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3020000</v>
      </c>
      <c r="S81" s="543">
        <f t="shared" si="29"/>
        <v>3020000</v>
      </c>
      <c r="T81" s="543">
        <f t="shared" si="2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30">SUM(C83+D83)</f>
        <v>136500</v>
      </c>
      <c r="C83" s="147">
        <v>136500</v>
      </c>
      <c r="D83" s="147"/>
      <c r="E83" s="147">
        <f>C83</f>
        <v>136500</v>
      </c>
      <c r="F83" s="147"/>
      <c r="G83" s="147"/>
      <c r="H83" s="147"/>
      <c r="I83" s="147"/>
      <c r="J83" s="147"/>
      <c r="K83" s="147"/>
      <c r="L83" s="147"/>
      <c r="M83" s="147"/>
      <c r="N83" s="147"/>
      <c r="O83" s="147"/>
      <c r="P83" s="147"/>
      <c r="Q83" s="147"/>
      <c r="R83" s="550">
        <f t="shared" ref="R83:R95" si="31">SUM(E83:Q83)</f>
        <v>136500</v>
      </c>
      <c r="S83" s="148"/>
      <c r="T83" s="148"/>
      <c r="U83" s="143"/>
    </row>
    <row r="84" spans="1:21" s="144" customFormat="1">
      <c r="A84" s="145" t="s">
        <v>776</v>
      </c>
      <c r="B84" s="146">
        <f t="shared" si="30"/>
        <v>2000</v>
      </c>
      <c r="C84" s="147">
        <v>2000</v>
      </c>
      <c r="D84" s="147"/>
      <c r="E84" s="147">
        <f>C84</f>
        <v>2000</v>
      </c>
      <c r="F84" s="147"/>
      <c r="G84" s="147"/>
      <c r="H84" s="147"/>
      <c r="I84" s="147"/>
      <c r="J84" s="147"/>
      <c r="K84" s="147"/>
      <c r="L84" s="147"/>
      <c r="M84" s="147"/>
      <c r="N84" s="147"/>
      <c r="O84" s="147"/>
      <c r="P84" s="147"/>
      <c r="Q84" s="147"/>
      <c r="R84" s="550">
        <f t="shared" si="31"/>
        <v>2000</v>
      </c>
      <c r="S84" s="147">
        <f t="shared" ref="S84:S86" si="32">R84</f>
        <v>2000</v>
      </c>
      <c r="T84" s="147"/>
      <c r="U84" s="143"/>
    </row>
    <row r="85" spans="1:21" s="144" customFormat="1">
      <c r="A85" s="145" t="s">
        <v>777</v>
      </c>
      <c r="B85" s="146">
        <f t="shared" si="30"/>
        <v>493859</v>
      </c>
      <c r="C85" s="147">
        <v>493859</v>
      </c>
      <c r="D85" s="147"/>
      <c r="E85" s="147">
        <f>C85</f>
        <v>493859</v>
      </c>
      <c r="F85" s="147"/>
      <c r="G85" s="147"/>
      <c r="H85" s="147"/>
      <c r="I85" s="147"/>
      <c r="J85" s="147"/>
      <c r="K85" s="147"/>
      <c r="L85" s="147"/>
      <c r="M85" s="147"/>
      <c r="N85" s="147"/>
      <c r="O85" s="147"/>
      <c r="P85" s="147"/>
      <c r="Q85" s="147"/>
      <c r="R85" s="550">
        <f t="shared" si="31"/>
        <v>493859</v>
      </c>
      <c r="S85" s="147">
        <f t="shared" si="32"/>
        <v>493859</v>
      </c>
      <c r="T85" s="147"/>
      <c r="U85" s="143"/>
    </row>
    <row r="86" spans="1:21" s="144" customFormat="1">
      <c r="A86" s="145" t="s">
        <v>778</v>
      </c>
      <c r="B86" s="146">
        <f t="shared" si="30"/>
        <v>556141</v>
      </c>
      <c r="C86" s="147">
        <f>50000+(1000000-493859)</f>
        <v>556141</v>
      </c>
      <c r="D86" s="147"/>
      <c r="E86" s="147">
        <f>C86</f>
        <v>556141</v>
      </c>
      <c r="F86" s="147"/>
      <c r="G86" s="147"/>
      <c r="H86" s="147"/>
      <c r="I86" s="147"/>
      <c r="J86" s="147"/>
      <c r="K86" s="147"/>
      <c r="L86" s="147"/>
      <c r="M86" s="147"/>
      <c r="N86" s="147"/>
      <c r="O86" s="147"/>
      <c r="P86" s="147"/>
      <c r="Q86" s="147"/>
      <c r="R86" s="550">
        <f t="shared" si="31"/>
        <v>556141</v>
      </c>
      <c r="S86" s="147">
        <f t="shared" si="32"/>
        <v>556141</v>
      </c>
      <c r="T86" s="147"/>
      <c r="U86" s="143"/>
    </row>
    <row r="87" spans="1:21" s="144" customFormat="1">
      <c r="A87" s="145" t="s">
        <v>779</v>
      </c>
      <c r="B87" s="146">
        <f t="shared" si="30"/>
        <v>0</v>
      </c>
      <c r="C87" s="147"/>
      <c r="D87" s="147"/>
      <c r="E87" s="147"/>
      <c r="F87" s="147"/>
      <c r="G87" s="147"/>
      <c r="H87" s="147"/>
      <c r="I87" s="147"/>
      <c r="J87" s="147"/>
      <c r="K87" s="147"/>
      <c r="L87" s="147"/>
      <c r="M87" s="147"/>
      <c r="N87" s="147"/>
      <c r="O87" s="147"/>
      <c r="P87" s="147"/>
      <c r="Q87" s="147"/>
      <c r="R87" s="550">
        <f t="shared" si="31"/>
        <v>0</v>
      </c>
      <c r="S87" s="147"/>
      <c r="T87" s="147"/>
      <c r="U87" s="143"/>
    </row>
    <row r="88" spans="1:21" s="144" customFormat="1">
      <c r="A88" s="145" t="s">
        <v>780</v>
      </c>
      <c r="B88" s="146">
        <f t="shared" si="30"/>
        <v>50000</v>
      </c>
      <c r="C88" s="147">
        <v>50000</v>
      </c>
      <c r="D88" s="147"/>
      <c r="E88" s="147">
        <f t="shared" ref="E88:E92" si="33">C88</f>
        <v>50000</v>
      </c>
      <c r="F88" s="147"/>
      <c r="G88" s="147"/>
      <c r="H88" s="147"/>
      <c r="I88" s="147"/>
      <c r="J88" s="147"/>
      <c r="K88" s="147"/>
      <c r="L88" s="147"/>
      <c r="M88" s="147"/>
      <c r="N88" s="147"/>
      <c r="O88" s="147"/>
      <c r="P88" s="147"/>
      <c r="Q88" s="147"/>
      <c r="R88" s="550">
        <f t="shared" si="31"/>
        <v>50000</v>
      </c>
      <c r="S88" s="148"/>
      <c r="T88" s="148"/>
      <c r="U88" s="143"/>
    </row>
    <row r="89" spans="1:21" s="144" customFormat="1">
      <c r="A89" s="145" t="s">
        <v>781</v>
      </c>
      <c r="B89" s="146">
        <f t="shared" si="30"/>
        <v>300000</v>
      </c>
      <c r="C89" s="147">
        <v>300000</v>
      </c>
      <c r="D89" s="147"/>
      <c r="E89" s="147">
        <f t="shared" si="33"/>
        <v>300000</v>
      </c>
      <c r="F89" s="147"/>
      <c r="G89" s="147"/>
      <c r="H89" s="147"/>
      <c r="I89" s="147"/>
      <c r="J89" s="147"/>
      <c r="K89" s="147"/>
      <c r="L89" s="147"/>
      <c r="M89" s="147"/>
      <c r="N89" s="147"/>
      <c r="O89" s="147"/>
      <c r="P89" s="147"/>
      <c r="Q89" s="147"/>
      <c r="R89" s="550">
        <f t="shared" si="31"/>
        <v>300000</v>
      </c>
      <c r="S89" s="147">
        <f t="shared" ref="S89:S92" si="34">R89</f>
        <v>300000</v>
      </c>
      <c r="T89" s="147"/>
      <c r="U89" s="143"/>
    </row>
    <row r="90" spans="1:21" s="144" customFormat="1">
      <c r="A90" s="145" t="s">
        <v>782</v>
      </c>
      <c r="B90" s="146">
        <f t="shared" si="30"/>
        <v>7000</v>
      </c>
      <c r="C90" s="147">
        <v>7000</v>
      </c>
      <c r="D90" s="147"/>
      <c r="E90" s="147">
        <f t="shared" si="33"/>
        <v>7000</v>
      </c>
      <c r="F90" s="147"/>
      <c r="G90" s="147"/>
      <c r="H90" s="147"/>
      <c r="I90" s="147"/>
      <c r="J90" s="147"/>
      <c r="K90" s="147"/>
      <c r="L90" s="147"/>
      <c r="M90" s="147"/>
      <c r="N90" s="147"/>
      <c r="O90" s="147"/>
      <c r="P90" s="147"/>
      <c r="Q90" s="147"/>
      <c r="R90" s="550">
        <f t="shared" si="31"/>
        <v>7000</v>
      </c>
      <c r="S90" s="147">
        <f t="shared" si="34"/>
        <v>7000</v>
      </c>
      <c r="T90" s="147"/>
      <c r="U90" s="143"/>
    </row>
    <row r="91" spans="1:21" s="144" customFormat="1">
      <c r="A91" s="145" t="s">
        <v>373</v>
      </c>
      <c r="B91" s="146">
        <f t="shared" si="30"/>
        <v>59000</v>
      </c>
      <c r="C91" s="147">
        <v>59000</v>
      </c>
      <c r="D91" s="147"/>
      <c r="E91" s="147">
        <v>50000</v>
      </c>
      <c r="F91" s="147">
        <v>9000</v>
      </c>
      <c r="G91" s="147"/>
      <c r="H91" s="147"/>
      <c r="I91" s="147"/>
      <c r="J91" s="147"/>
      <c r="K91" s="147"/>
      <c r="L91" s="147"/>
      <c r="M91" s="147"/>
      <c r="N91" s="147"/>
      <c r="O91" s="147"/>
      <c r="P91" s="147"/>
      <c r="Q91" s="147"/>
      <c r="R91" s="550">
        <f t="shared" si="31"/>
        <v>59000</v>
      </c>
      <c r="S91" s="147">
        <f t="shared" si="34"/>
        <v>59000</v>
      </c>
      <c r="T91" s="147"/>
      <c r="U91" s="143"/>
    </row>
    <row r="92" spans="1:21" s="144" customFormat="1">
      <c r="A92" s="304" t="s">
        <v>1317</v>
      </c>
      <c r="B92" s="146">
        <f t="shared" si="30"/>
        <v>15000</v>
      </c>
      <c r="C92" s="147">
        <v>15000</v>
      </c>
      <c r="D92" s="147"/>
      <c r="E92" s="147">
        <f t="shared" si="33"/>
        <v>15000</v>
      </c>
      <c r="F92" s="147"/>
      <c r="G92" s="147"/>
      <c r="H92" s="147"/>
      <c r="I92" s="147"/>
      <c r="J92" s="147"/>
      <c r="K92" s="147"/>
      <c r="L92" s="147"/>
      <c r="M92" s="147"/>
      <c r="N92" s="147"/>
      <c r="O92" s="147"/>
      <c r="P92" s="147"/>
      <c r="Q92" s="147"/>
      <c r="R92" s="550">
        <f t="shared" si="31"/>
        <v>15000</v>
      </c>
      <c r="S92" s="147">
        <f t="shared" si="34"/>
        <v>15000</v>
      </c>
      <c r="T92" s="147"/>
      <c r="U92" s="143"/>
    </row>
    <row r="93" spans="1:21" s="144" customFormat="1">
      <c r="A93" s="1193" t="s">
        <v>2737</v>
      </c>
      <c r="B93" s="146">
        <f t="shared" si="30"/>
        <v>388300</v>
      </c>
      <c r="C93" s="147">
        <f>375000+13300</f>
        <v>388300</v>
      </c>
      <c r="D93" s="147"/>
      <c r="E93" s="147">
        <f>C93-F93</f>
        <v>356040</v>
      </c>
      <c r="F93" s="147">
        <f>29541951-29509691</f>
        <v>32260</v>
      </c>
      <c r="G93" s="147"/>
      <c r="H93" s="147"/>
      <c r="I93" s="147"/>
      <c r="J93" s="147"/>
      <c r="K93" s="147"/>
      <c r="L93" s="147"/>
      <c r="M93" s="147"/>
      <c r="N93" s="147"/>
      <c r="O93" s="147"/>
      <c r="P93" s="147"/>
      <c r="Q93" s="147"/>
      <c r="R93" s="550">
        <f t="shared" si="31"/>
        <v>388300</v>
      </c>
      <c r="S93" s="147">
        <v>0</v>
      </c>
      <c r="T93" s="147"/>
      <c r="U93" s="143"/>
    </row>
    <row r="94" spans="1:21" s="144" customFormat="1">
      <c r="A94" s="1193" t="s">
        <v>34</v>
      </c>
      <c r="B94" s="146">
        <f t="shared" si="30"/>
        <v>0</v>
      </c>
      <c r="C94" s="147"/>
      <c r="D94" s="147"/>
      <c r="E94" s="147"/>
      <c r="F94" s="147"/>
      <c r="G94" s="147"/>
      <c r="H94" s="147"/>
      <c r="I94" s="147"/>
      <c r="J94" s="147"/>
      <c r="K94" s="147"/>
      <c r="L94" s="147"/>
      <c r="M94" s="147"/>
      <c r="N94" s="147"/>
      <c r="O94" s="147"/>
      <c r="P94" s="147"/>
      <c r="Q94" s="147"/>
      <c r="R94" s="550">
        <f t="shared" si="31"/>
        <v>0</v>
      </c>
      <c r="S94" s="147"/>
      <c r="T94" s="147"/>
      <c r="U94" s="143"/>
    </row>
    <row r="95" spans="1:21" s="144" customFormat="1">
      <c r="A95" s="1193" t="s">
        <v>34</v>
      </c>
      <c r="B95" s="146">
        <f t="shared" si="30"/>
        <v>0</v>
      </c>
      <c r="C95" s="147"/>
      <c r="D95" s="147"/>
      <c r="E95" s="147"/>
      <c r="F95" s="147"/>
      <c r="G95" s="147"/>
      <c r="H95" s="147"/>
      <c r="I95" s="147"/>
      <c r="J95" s="147"/>
      <c r="K95" s="147"/>
      <c r="L95" s="147"/>
      <c r="M95" s="147"/>
      <c r="N95" s="147"/>
      <c r="O95" s="147"/>
      <c r="P95" s="147"/>
      <c r="Q95" s="147"/>
      <c r="R95" s="550">
        <f t="shared" si="31"/>
        <v>0</v>
      </c>
      <c r="S95" s="147"/>
      <c r="T95" s="147"/>
      <c r="U95" s="143"/>
    </row>
    <row r="96" spans="1:21" s="144" customFormat="1">
      <c r="A96" s="149" t="s">
        <v>783</v>
      </c>
      <c r="B96" s="146">
        <f>SUM(C96:D96)</f>
        <v>2007800</v>
      </c>
      <c r="C96" s="146">
        <f t="shared" ref="C96:R96" si="35">SUM(C83:C95)</f>
        <v>2007800</v>
      </c>
      <c r="D96" s="146">
        <f t="shared" si="35"/>
        <v>0</v>
      </c>
      <c r="E96" s="146">
        <f t="shared" si="35"/>
        <v>1966540</v>
      </c>
      <c r="F96" s="146">
        <f t="shared" si="35"/>
        <v>41260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2007800</v>
      </c>
      <c r="S96" s="150">
        <f>SUM(S84:S87,S89:S95)</f>
        <v>1433000</v>
      </c>
      <c r="T96" s="146">
        <f>SUM(T84:T87,T89:T95)</f>
        <v>0</v>
      </c>
      <c r="U96" s="143"/>
    </row>
    <row r="97" spans="1:21" s="144" customFormat="1">
      <c r="A97" s="149" t="s">
        <v>784</v>
      </c>
      <c r="B97" s="146">
        <f>SUM(C97:D97)</f>
        <v>65743950</v>
      </c>
      <c r="C97" s="146">
        <f t="shared" ref="C97:R97" si="36">SUM(C63+C70+C77+C81+C96)</f>
        <v>65743950</v>
      </c>
      <c r="D97" s="146">
        <f t="shared" si="36"/>
        <v>0</v>
      </c>
      <c r="E97" s="146">
        <f t="shared" si="36"/>
        <v>32112697</v>
      </c>
      <c r="F97" s="146">
        <f t="shared" si="36"/>
        <v>28641253</v>
      </c>
      <c r="G97" s="146">
        <f t="shared" si="36"/>
        <v>4990000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65743950</v>
      </c>
      <c r="S97" s="146">
        <f>SUM(S63+S70+S81+S96)</f>
        <v>43538950</v>
      </c>
      <c r="T97" s="146">
        <f>SUM(T63+T70+T81+T96)</f>
        <v>20254000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9500000</v>
      </c>
      <c r="C99" s="1014">
        <v>9500000</v>
      </c>
      <c r="D99" s="1014"/>
      <c r="E99" s="1014"/>
      <c r="F99" s="147">
        <f>C99-H99</f>
        <v>900698</v>
      </c>
      <c r="G99" s="147"/>
      <c r="H99" s="147">
        <v>8599302</v>
      </c>
      <c r="I99" s="147"/>
      <c r="J99" s="147"/>
      <c r="K99" s="147"/>
      <c r="L99" s="147"/>
      <c r="M99" s="147"/>
      <c r="N99" s="147"/>
      <c r="O99" s="147"/>
      <c r="P99" s="147"/>
      <c r="Q99" s="147"/>
      <c r="R99" s="550">
        <f>SUM(E99:Q99)</f>
        <v>9500000</v>
      </c>
      <c r="S99" s="147">
        <f>R99</f>
        <v>9500000</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9500000</v>
      </c>
      <c r="C104" s="146">
        <f>SUM(C99:C103)</f>
        <v>9500000</v>
      </c>
      <c r="D104" s="146">
        <f t="shared" ref="D104:T104" si="37">SUM(D99:D103)</f>
        <v>0</v>
      </c>
      <c r="E104" s="146">
        <f t="shared" si="37"/>
        <v>0</v>
      </c>
      <c r="F104" s="146">
        <f t="shared" si="37"/>
        <v>900698</v>
      </c>
      <c r="G104" s="146">
        <f t="shared" si="37"/>
        <v>0</v>
      </c>
      <c r="H104" s="146">
        <f t="shared" si="37"/>
        <v>8599302</v>
      </c>
      <c r="I104" s="146">
        <f t="shared" si="37"/>
        <v>0</v>
      </c>
      <c r="J104" s="146">
        <f t="shared" si="37"/>
        <v>0</v>
      </c>
      <c r="K104" s="146">
        <f t="shared" si="37"/>
        <v>0</v>
      </c>
      <c r="L104" s="146">
        <f t="shared" si="37"/>
        <v>0</v>
      </c>
      <c r="M104" s="146">
        <f t="shared" si="37"/>
        <v>0</v>
      </c>
      <c r="N104" s="146">
        <f t="shared" si="37"/>
        <v>0</v>
      </c>
      <c r="O104" s="146">
        <f t="shared" si="37"/>
        <v>0</v>
      </c>
      <c r="P104" s="146">
        <f t="shared" si="37"/>
        <v>0</v>
      </c>
      <c r="Q104" s="146">
        <f t="shared" si="37"/>
        <v>0</v>
      </c>
      <c r="R104" s="370">
        <f t="shared" si="37"/>
        <v>9500000</v>
      </c>
      <c r="S104" s="150">
        <f t="shared" si="37"/>
        <v>9500000</v>
      </c>
      <c r="T104" s="150">
        <f t="shared" si="37"/>
        <v>0</v>
      </c>
      <c r="U104" s="143"/>
    </row>
    <row r="105" spans="1:21" s="144" customFormat="1">
      <c r="A105" s="149" t="s">
        <v>789</v>
      </c>
      <c r="B105" s="150">
        <f>SUM(C105:D105)</f>
        <v>75243950</v>
      </c>
      <c r="C105" s="150">
        <f t="shared" ref="C105:R105" si="38">SUM(C97+C104)</f>
        <v>75243950</v>
      </c>
      <c r="D105" s="150">
        <f t="shared" si="38"/>
        <v>0</v>
      </c>
      <c r="E105" s="150">
        <f t="shared" si="38"/>
        <v>32112697</v>
      </c>
      <c r="F105" s="150">
        <f t="shared" si="38"/>
        <v>29541951</v>
      </c>
      <c r="G105" s="150">
        <f t="shared" si="38"/>
        <v>4990000</v>
      </c>
      <c r="H105" s="150">
        <f t="shared" si="38"/>
        <v>8599302</v>
      </c>
      <c r="I105" s="150">
        <f t="shared" si="38"/>
        <v>0</v>
      </c>
      <c r="J105" s="150">
        <f t="shared" si="38"/>
        <v>0</v>
      </c>
      <c r="K105" s="150">
        <f t="shared" si="38"/>
        <v>0</v>
      </c>
      <c r="L105" s="150">
        <f t="shared" si="38"/>
        <v>0</v>
      </c>
      <c r="M105" s="150">
        <f t="shared" si="38"/>
        <v>0</v>
      </c>
      <c r="N105" s="150">
        <f t="shared" si="38"/>
        <v>0</v>
      </c>
      <c r="O105" s="150">
        <f t="shared" si="38"/>
        <v>0</v>
      </c>
      <c r="P105" s="150">
        <f t="shared" si="38"/>
        <v>0</v>
      </c>
      <c r="Q105" s="150">
        <f t="shared" si="38"/>
        <v>0</v>
      </c>
      <c r="R105" s="370">
        <f t="shared" si="38"/>
        <v>75243950</v>
      </c>
      <c r="S105" s="150">
        <f>S97+S104</f>
        <v>53038950</v>
      </c>
      <c r="T105" s="150">
        <f>T97+T104</f>
        <v>20254000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53038950</v>
      </c>
      <c r="T107" s="150">
        <f>T105+T106</f>
        <v>20254000</v>
      </c>
    </row>
    <row r="108" spans="1:21" s="201" customFormat="1">
      <c r="A108" s="162" t="s">
        <v>891</v>
      </c>
      <c r="B108" s="157"/>
      <c r="C108" s="157"/>
      <c r="D108" s="157"/>
      <c r="E108" s="323">
        <f>Application!AO640</f>
        <v>32112697</v>
      </c>
      <c r="F108" s="323">
        <f>Application!AO627</f>
        <v>29541951</v>
      </c>
      <c r="G108" s="323">
        <f>Application!AO628</f>
        <v>4990000</v>
      </c>
      <c r="H108" s="323">
        <f>Application!AO629</f>
        <v>8599302</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7" t="s">
        <v>1014</v>
      </c>
      <c r="E122" s="1877"/>
      <c r="F122" s="1877"/>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9" t="s">
        <v>1331</v>
      </c>
      <c r="E123" s="1792"/>
      <c r="F123" s="1792"/>
      <c r="G123" s="1792"/>
      <c r="H123" s="1792"/>
      <c r="I123" s="1792"/>
      <c r="J123" s="1792"/>
      <c r="K123" s="1792"/>
      <c r="L123" s="1792"/>
      <c r="M123" s="1792"/>
      <c r="N123" s="1792"/>
      <c r="O123" s="1792"/>
      <c r="P123" s="1792"/>
      <c r="Q123" s="1792"/>
      <c r="R123" s="1792"/>
      <c r="S123" s="1792"/>
      <c r="T123" s="352"/>
      <c r="U123" s="354"/>
    </row>
    <row r="124" spans="1:21" ht="12.75">
      <c r="A124" s="117" t="s">
        <v>1016</v>
      </c>
      <c r="B124" s="361"/>
      <c r="C124" s="117"/>
      <c r="D124" s="1792"/>
      <c r="E124" s="1792"/>
      <c r="F124" s="1792"/>
      <c r="G124" s="1792"/>
      <c r="H124" s="1792"/>
      <c r="I124" s="1792"/>
      <c r="J124" s="1792"/>
      <c r="K124" s="1792"/>
      <c r="L124" s="1792"/>
      <c r="M124" s="1792"/>
      <c r="N124" s="1792"/>
      <c r="O124" s="1792"/>
      <c r="P124" s="1792"/>
      <c r="Q124" s="1792"/>
      <c r="R124" s="1792"/>
      <c r="S124" s="1792"/>
      <c r="T124" s="352"/>
      <c r="U124" s="354"/>
    </row>
    <row r="125" spans="1:21" ht="12.75">
      <c r="A125" s="117" t="s">
        <v>1017</v>
      </c>
      <c r="B125" s="361"/>
      <c r="C125" s="117"/>
      <c r="D125" s="1792"/>
      <c r="E125" s="1792"/>
      <c r="F125" s="1792"/>
      <c r="G125" s="1792"/>
      <c r="H125" s="1792"/>
      <c r="I125" s="1792"/>
      <c r="J125" s="1792"/>
      <c r="K125" s="1792"/>
      <c r="L125" s="1792"/>
      <c r="M125" s="1792"/>
      <c r="N125" s="1792"/>
      <c r="O125" s="1792"/>
      <c r="P125" s="1792"/>
      <c r="Q125" s="1792"/>
      <c r="R125" s="1792"/>
      <c r="S125" s="1792"/>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4"/>
      <c r="E128" s="1874"/>
      <c r="F128" s="1874"/>
      <c r="G128" s="1874"/>
      <c r="H128" s="1874"/>
      <c r="I128" s="117"/>
      <c r="J128" s="1875"/>
      <c r="K128" s="1875"/>
      <c r="L128" s="117"/>
      <c r="M128" s="117"/>
      <c r="N128" s="117"/>
      <c r="O128" s="117"/>
      <c r="P128" s="117"/>
      <c r="Q128" s="117"/>
      <c r="R128" s="117"/>
      <c r="S128" s="117"/>
      <c r="T128" s="352"/>
      <c r="U128" s="354"/>
    </row>
    <row r="129" spans="1:21" ht="12.75">
      <c r="A129" s="117" t="s">
        <v>301</v>
      </c>
      <c r="B129" s="361"/>
      <c r="C129" s="117"/>
      <c r="D129" s="1876" t="s">
        <v>1021</v>
      </c>
      <c r="E129" s="1876"/>
      <c r="F129" s="1876"/>
      <c r="G129" s="1876"/>
      <c r="H129" s="1876"/>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46"/>
      <c r="E131" s="1846"/>
      <c r="F131" s="1846"/>
      <c r="G131" s="1846"/>
      <c r="H131" s="1846"/>
      <c r="I131" s="117"/>
      <c r="J131" s="1846"/>
      <c r="K131" s="1846"/>
      <c r="L131" s="1846"/>
      <c r="M131" s="1846"/>
      <c r="N131" s="117"/>
      <c r="O131" s="117"/>
      <c r="P131" s="117"/>
      <c r="Q131" s="117"/>
      <c r="R131" s="117"/>
      <c r="S131" s="117"/>
      <c r="T131" s="352"/>
      <c r="U131" s="354"/>
    </row>
    <row r="132" spans="1:21" ht="12" customHeight="1">
      <c r="A132" s="364"/>
      <c r="B132" s="117"/>
      <c r="C132" s="117"/>
      <c r="D132" s="1880" t="s">
        <v>1024</v>
      </c>
      <c r="E132" s="1880"/>
      <c r="F132" s="1880"/>
      <c r="G132" s="1880"/>
      <c r="H132" s="1880"/>
      <c r="I132" s="117"/>
      <c r="J132" s="1880" t="s">
        <v>1025</v>
      </c>
      <c r="K132" s="1880"/>
      <c r="L132" s="1880"/>
      <c r="M132" s="188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1"/>
      <c r="B138" s="1874"/>
      <c r="C138" s="1874"/>
      <c r="D138" s="356"/>
      <c r="E138" s="1875"/>
      <c r="F138" s="1875"/>
      <c r="G138" s="117"/>
      <c r="H138" s="117"/>
      <c r="I138" s="117"/>
      <c r="J138" s="117"/>
      <c r="K138" s="117"/>
      <c r="L138" s="117"/>
      <c r="M138" s="117"/>
      <c r="N138" s="117"/>
      <c r="O138" s="117"/>
      <c r="P138" s="117"/>
      <c r="Q138" s="117"/>
      <c r="R138" s="117"/>
      <c r="S138" s="117"/>
      <c r="T138" s="358"/>
      <c r="U138" s="359"/>
    </row>
    <row r="139" spans="1:21" ht="12.75">
      <c r="A139" s="1878" t="s">
        <v>1028</v>
      </c>
      <c r="B139" s="1878"/>
      <c r="C139" s="1878"/>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91" zoomScale="110" zoomScaleNormal="110" workbookViewId="0">
      <selection activeCell="H779" sqref="H779:I77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14" t="s">
        <v>1409</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1414</v>
      </c>
      <c r="AF7" s="1898"/>
      <c r="AG7" s="1898"/>
      <c r="AH7" s="1898"/>
      <c r="AI7" s="1898"/>
      <c r="AJ7" s="1898"/>
      <c r="AK7" s="189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599</v>
      </c>
      <c r="C13" s="1888"/>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599</v>
      </c>
      <c r="C16" s="1888"/>
      <c r="D16" s="581"/>
      <c r="E16" s="1899" t="s">
        <v>1416</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1417</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599</v>
      </c>
      <c r="C22" s="1888"/>
      <c r="D22" s="581"/>
      <c r="E22" s="1921" t="s">
        <v>1419</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1417</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599</v>
      </c>
      <c r="C25" s="1888"/>
      <c r="D25" s="581"/>
      <c r="E25" s="1889" t="s">
        <v>2346</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1417</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88" t="s">
        <v>599</v>
      </c>
      <c r="C30" s="1888"/>
      <c r="D30" s="581"/>
      <c r="E30" s="1921" t="s">
        <v>2318</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599</v>
      </c>
      <c r="C33" s="1888"/>
      <c r="D33" s="581"/>
      <c r="E33" s="1889" t="s">
        <v>2319</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599</v>
      </c>
      <c r="C39" s="1888"/>
      <c r="D39" s="1186"/>
      <c r="E39" s="1889" t="s">
        <v>2320</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599</v>
      </c>
      <c r="C46" s="1888"/>
      <c r="D46" s="574"/>
      <c r="E46" s="1889" t="s">
        <v>2325</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599</v>
      </c>
      <c r="C50" s="1888"/>
      <c r="D50" s="574"/>
      <c r="E50" s="1909" t="s">
        <v>2326</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599</v>
      </c>
      <c r="C52" s="1888"/>
      <c r="D52" s="574"/>
      <c r="E52" s="1889" t="s">
        <v>2327</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1423</v>
      </c>
      <c r="AF59" s="1898"/>
      <c r="AG59" s="1898"/>
      <c r="AH59" s="1898"/>
      <c r="AI59" s="1898"/>
      <c r="AJ59" s="1898"/>
      <c r="AK59" s="189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553</v>
      </c>
      <c r="C62" s="1888"/>
      <c r="D62" s="581" t="s">
        <v>1424</v>
      </c>
      <c r="E62" s="1899" t="s">
        <v>2328</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10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1425</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599</v>
      </c>
      <c r="C68" s="1888"/>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599</v>
      </c>
      <c r="F69" s="1888"/>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599</v>
      </c>
      <c r="F70" s="1887"/>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599</v>
      </c>
      <c r="F71" s="1887"/>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599</v>
      </c>
      <c r="F73" s="1888"/>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599</v>
      </c>
      <c r="C75" s="1888"/>
      <c r="D75" s="581" t="s">
        <v>1429</v>
      </c>
      <c r="E75" s="1889" t="s">
        <v>1928</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1414</v>
      </c>
      <c r="AF81" s="1898"/>
      <c r="AG81" s="1898"/>
      <c r="AH81" s="1898"/>
      <c r="AI81" s="1898"/>
      <c r="AJ81" s="1898"/>
      <c r="AK81" s="189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553</v>
      </c>
      <c r="C84" s="1888"/>
      <c r="D84" s="581" t="s">
        <v>1424</v>
      </c>
      <c r="E84" s="1899" t="s">
        <v>1434</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0.4853448275862069</v>
      </c>
      <c r="F87" s="1883"/>
      <c r="G87" s="1883"/>
      <c r="H87" s="188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0.10999999999999999</v>
      </c>
      <c r="F88" s="1885"/>
      <c r="G88" s="1885"/>
      <c r="H88" s="188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553</v>
      </c>
      <c r="C92" s="1888"/>
      <c r="D92" s="581" t="s">
        <v>1426</v>
      </c>
      <c r="E92" s="1899" t="s">
        <v>1913</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0.4853448275862069</v>
      </c>
      <c r="F97" s="1883"/>
      <c r="G97" s="1883"/>
      <c r="H97" s="188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0.5</v>
      </c>
      <c r="F98" s="1883"/>
      <c r="G98" s="1883"/>
      <c r="H98" s="188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v>
      </c>
      <c r="F99" s="1883"/>
      <c r="G99" s="1883"/>
      <c r="H99" s="188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8">
        <f ca="1">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1423</v>
      </c>
      <c r="AF106" s="1898"/>
      <c r="AG106" s="1898"/>
      <c r="AH106" s="1898"/>
      <c r="AI106" s="1898"/>
      <c r="AJ106" s="1898"/>
      <c r="AK106" s="1898"/>
      <c r="AL106" s="574"/>
      <c r="AM106" s="574"/>
      <c r="AN106" s="569"/>
      <c r="AO106" s="570" t="str">
        <f>Application!B718</f>
        <v>SRO/Studio</v>
      </c>
      <c r="AQ106" s="570">
        <f>Application!O718</f>
        <v>699</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1427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1670</v>
      </c>
    </row>
    <row r="109" spans="1:49" s="570" customFormat="1" ht="12.75" customHeight="1">
      <c r="A109" s="574"/>
      <c r="B109" s="1888" t="s">
        <v>553</v>
      </c>
      <c r="C109" s="1888"/>
      <c r="D109" s="581" t="s">
        <v>1424</v>
      </c>
      <c r="E109" s="1899" t="s">
        <v>2047</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739</v>
      </c>
      <c r="AU109" s="570" t="s">
        <v>2029</v>
      </c>
      <c r="AV109" s="629" t="s">
        <v>2030</v>
      </c>
      <c r="AW109" s="570" t="s">
        <v>2031</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1739</v>
      </c>
      <c r="AU110" s="890" t="str">
        <f>E118</f>
        <v>Studio/SRO</v>
      </c>
      <c r="AV110" s="570">
        <f t="array" ref="AV110">SUM(IF(Application!B718:F752="SRO/Studio",Application!G718:J752))</f>
        <v>45</v>
      </c>
      <c r="AW110" s="1046">
        <f>AV110/AV116</f>
        <v>0.38793103448275862</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f>Application!B723</f>
        <v>0</v>
      </c>
      <c r="AQ111" s="570">
        <f>Application!O723</f>
        <v>0</v>
      </c>
      <c r="AU111" s="890" t="str">
        <f>J118</f>
        <v>1-bedroom</v>
      </c>
      <c r="AV111" s="570">
        <f t="array" ref="AV111">SUM(IF(Application!B718:F752="1 Bedroom",Application!G718:J752))</f>
        <v>71</v>
      </c>
      <c r="AW111" s="1046">
        <f>AV111/AV116</f>
        <v>0.61206896551724133</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116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2" t="s">
        <v>1698</v>
      </c>
      <c r="F118" s="1883"/>
      <c r="G118" s="1883"/>
      <c r="H118" s="1883"/>
      <c r="I118" s="611"/>
      <c r="J118" s="1883" t="s">
        <v>1742</v>
      </c>
      <c r="K118" s="1883"/>
      <c r="L118" s="1883"/>
      <c r="M118" s="1883"/>
      <c r="N118" s="611"/>
      <c r="O118" s="1883" t="s">
        <v>1743</v>
      </c>
      <c r="P118" s="1883"/>
      <c r="Q118" s="1883"/>
      <c r="R118" s="1883"/>
      <c r="S118" s="611"/>
      <c r="T118" s="1883" t="s">
        <v>1443</v>
      </c>
      <c r="U118" s="1883"/>
      <c r="V118" s="1883"/>
      <c r="W118" s="1883"/>
      <c r="X118" s="611"/>
      <c r="Y118" s="1883" t="s">
        <v>1744</v>
      </c>
      <c r="Z118" s="1883"/>
      <c r="AA118" s="1883"/>
      <c r="AB118" s="1883"/>
      <c r="AC118" s="611"/>
      <c r="AD118" s="1883" t="s">
        <v>1745</v>
      </c>
      <c r="AE118" s="1883"/>
      <c r="AF118" s="1883"/>
      <c r="AG118" s="188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v>2355</v>
      </c>
      <c r="F121" s="1940"/>
      <c r="G121" s="1940"/>
      <c r="H121" s="1940"/>
      <c r="I121" s="898"/>
      <c r="J121" s="1940">
        <v>2752</v>
      </c>
      <c r="K121" s="1940"/>
      <c r="L121" s="1940"/>
      <c r="M121" s="1940"/>
      <c r="N121" s="898"/>
      <c r="O121" s="1940"/>
      <c r="P121" s="1940"/>
      <c r="Q121" s="1940"/>
      <c r="R121" s="1940"/>
      <c r="S121" s="898"/>
      <c r="T121" s="1940"/>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1384</v>
      </c>
      <c r="F124" s="1933"/>
      <c r="G124" s="1933"/>
      <c r="H124" s="1933"/>
      <c r="I124" s="898"/>
      <c r="J124" s="1933">
        <f>Application!EC670</f>
        <v>1048.8591549295775</v>
      </c>
      <c r="K124" s="1933"/>
      <c r="L124" s="1933"/>
      <c r="M124" s="1933"/>
      <c r="N124" s="898"/>
      <c r="O124" s="1933">
        <f>Application!EH670</f>
        <v>0</v>
      </c>
      <c r="P124" s="1933"/>
      <c r="Q124" s="1933"/>
      <c r="R124" s="1933"/>
      <c r="S124" s="902"/>
      <c r="T124" s="1933">
        <f>Application!EM670</f>
        <v>0</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f>(E121-E124)/E121</f>
        <v>0.41231422505307858</v>
      </c>
      <c r="F127" s="1885"/>
      <c r="G127" s="1885"/>
      <c r="H127" s="2131"/>
      <c r="I127" s="611"/>
      <c r="J127" s="2130">
        <f>(J121-J124)/J121</f>
        <v>0.61887385358663605</v>
      </c>
      <c r="K127" s="1885"/>
      <c r="L127" s="1885"/>
      <c r="M127" s="2131"/>
      <c r="N127" s="611"/>
      <c r="O127" s="2130" t="e">
        <f>(O121-O124)/O121</f>
        <v>#DIV/0!</v>
      </c>
      <c r="P127" s="1885"/>
      <c r="Q127" s="1885"/>
      <c r="R127" s="2131"/>
      <c r="S127" s="611"/>
      <c r="T127" s="2130" t="e">
        <f>(T121-T124)/T121</f>
        <v>#DIV/0!</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f>IF(((E127-0.1)*AW110)&gt;0,((E127-0.1)*AW110),0)</f>
        <v>0.12115638040852186</v>
      </c>
      <c r="F130" s="1935"/>
      <c r="G130" s="1935"/>
      <c r="H130" s="1936"/>
      <c r="I130" s="611"/>
      <c r="J130" s="1934">
        <f>IF(((J127-0.1)*AW111)&gt;0,((J127-0.1)*AW111),0)</f>
        <v>0.31758658279871688</v>
      </c>
      <c r="K130" s="1935"/>
      <c r="L130" s="1935"/>
      <c r="M130" s="1936"/>
      <c r="N130" s="611"/>
      <c r="O130" s="1934" t="e">
        <f>IF(((O127-0.1)*AW112)&gt;0,((O127-0.1)*AW112),0)</f>
        <v>#DIV/0!</v>
      </c>
      <c r="P130" s="1935"/>
      <c r="Q130" s="1935"/>
      <c r="R130" s="1936"/>
      <c r="S130" s="611"/>
      <c r="T130" s="1934" t="e">
        <f>IF(((T127-0.1)*AW113)&gt;0,((T127-0.1)*AW113),0)</f>
        <v>#DIV/0!</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0.43</v>
      </c>
      <c r="F132" s="1885"/>
      <c r="G132" s="1885"/>
      <c r="H132" s="2131"/>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8" t="s">
        <v>1423</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1447</v>
      </c>
      <c r="AG142" s="1930"/>
      <c r="AH142" s="1930"/>
      <c r="AI142" s="1930"/>
      <c r="AJ142" s="1930"/>
      <c r="AK142" s="1930"/>
      <c r="AL142" s="193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2650</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6" t="s">
        <v>1450</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7" t="s">
        <v>599</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6" t="s">
        <v>1452</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1461</v>
      </c>
      <c r="AG157" s="1930"/>
      <c r="AH157" s="1930"/>
      <c r="AI157" s="1930"/>
      <c r="AJ157" s="1930"/>
      <c r="AK157" s="1930"/>
      <c r="AL157" s="1930"/>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1459</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599</v>
      </c>
      <c r="AG161" s="1957"/>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6" t="s">
        <v>1452</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8" t="str">
        <f>Application!AA335</f>
        <v>TPC Management</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1423</v>
      </c>
      <c r="AF175" s="1898"/>
      <c r="AG175" s="1898"/>
      <c r="AH175" s="1898"/>
      <c r="AI175" s="1898"/>
      <c r="AJ175" s="1898"/>
      <c r="AK175" s="189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4" t="s">
        <v>1067</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1472</v>
      </c>
      <c r="AG177" s="1930"/>
      <c r="AH177" s="1930"/>
      <c r="AI177" s="1930"/>
      <c r="AJ177" s="1930"/>
      <c r="AK177" s="1930"/>
      <c r="AL177" s="1930"/>
      <c r="AN177" s="631"/>
      <c r="AP177" s="584" t="s">
        <v>1067</v>
      </c>
      <c r="AQ177" s="584">
        <v>10</v>
      </c>
    </row>
    <row r="178" spans="1:45" s="584" customFormat="1" ht="12.75" customHeight="1">
      <c r="A178" s="570"/>
      <c r="B178" s="1955" t="s">
        <v>1914</v>
      </c>
      <c r="C178" s="1955"/>
      <c r="D178" s="1955"/>
      <c r="E178" s="1955"/>
      <c r="F178" s="1955"/>
      <c r="G178" s="1955"/>
      <c r="H178" s="1955"/>
      <c r="I178" s="1955"/>
      <c r="J178" s="1955"/>
      <c r="K178" s="1955"/>
      <c r="L178" s="1955"/>
      <c r="M178" s="1955"/>
      <c r="N178" s="1955"/>
      <c r="O178" s="1955"/>
      <c r="P178" s="1955"/>
      <c r="Q178" s="1955"/>
      <c r="R178" s="1955"/>
      <c r="S178" s="1955"/>
      <c r="T178" s="1931" t="s">
        <v>599</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4">
        <f>IF(AK78&gt;0,VLOOKUP($B$177,AP174:AQ180,2,FALSE),0)</f>
        <v>10</v>
      </c>
      <c r="AL180" s="1965"/>
      <c r="AM180" s="196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1481</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2732</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7000000</v>
      </c>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1737</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25128105.891994506</v>
      </c>
      <c r="AE198" s="1971"/>
      <c r="AF198" s="1971"/>
      <c r="AG198" s="1971"/>
      <c r="AH198" s="1971"/>
      <c r="AI198" s="1971"/>
      <c r="AJ198" s="1971"/>
      <c r="AK198" s="644"/>
    </row>
    <row r="199" spans="1:37">
      <c r="A199" s="639"/>
      <c r="B199" s="2105" t="s">
        <v>1700</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6">
        <f>SUM(AD188:AJ198)-AD199</f>
        <v>32128105.891994506</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1717</v>
      </c>
      <c r="J211" s="1946"/>
      <c r="K211" s="1946"/>
      <c r="L211" s="570"/>
      <c r="M211" s="570"/>
      <c r="N211" s="570"/>
      <c r="O211" s="570"/>
      <c r="P211" s="570"/>
      <c r="Q211" s="570"/>
      <c r="R211" s="570"/>
      <c r="S211" s="570"/>
      <c r="T211" s="2133" t="s">
        <v>1711</v>
      </c>
      <c r="U211" s="2133"/>
      <c r="V211" s="2133"/>
      <c r="W211" s="2133"/>
      <c r="X211" s="2133"/>
      <c r="Y211" s="2133"/>
      <c r="Z211" s="883"/>
      <c r="AA211" s="523"/>
      <c r="AB211" s="1941" t="s">
        <v>1712</v>
      </c>
      <c r="AC211" s="1941"/>
      <c r="AD211" s="1941"/>
      <c r="AE211" s="1941"/>
      <c r="AF211" s="1941"/>
      <c r="AG211" s="1941"/>
      <c r="AH211" s="861"/>
      <c r="AI211" s="861"/>
      <c r="AJ211" s="861"/>
      <c r="AK211" s="644"/>
    </row>
    <row r="212" spans="1:37">
      <c r="A212" s="639"/>
      <c r="B212" s="1944" t="s">
        <v>1697</v>
      </c>
      <c r="C212" s="1944"/>
      <c r="D212" s="1944"/>
      <c r="E212" s="1944"/>
      <c r="F212" s="1944"/>
      <c r="G212" s="1944"/>
      <c r="I212" s="1945" t="s">
        <v>1718</v>
      </c>
      <c r="J212" s="1945"/>
      <c r="K212" s="1945"/>
      <c r="L212" s="1043"/>
      <c r="N212" s="1951" t="s">
        <v>1713</v>
      </c>
      <c r="O212" s="1951"/>
      <c r="P212" s="1951"/>
      <c r="Q212" s="1951"/>
      <c r="R212" s="1951"/>
      <c r="T212" s="1951" t="s">
        <v>1714</v>
      </c>
      <c r="U212" s="1951"/>
      <c r="V212" s="1951"/>
      <c r="W212" s="1951"/>
      <c r="X212" s="1951"/>
      <c r="Y212" s="1951"/>
      <c r="Z212" s="884"/>
      <c r="AA212" s="523"/>
      <c r="AB212" s="2108" t="s">
        <v>1715</v>
      </c>
      <c r="AC212" s="2108"/>
      <c r="AD212" s="2108"/>
      <c r="AE212" s="2108"/>
      <c r="AF212" s="2108"/>
      <c r="AG212" s="2108"/>
      <c r="AH212" s="861"/>
      <c r="AI212" s="861"/>
      <c r="AJ212" s="861"/>
      <c r="AK212" s="644"/>
    </row>
    <row r="213" spans="1:37">
      <c r="A213" s="639"/>
      <c r="B213" s="1948" t="s">
        <v>325</v>
      </c>
      <c r="C213" s="1948"/>
      <c r="D213" s="1948"/>
      <c r="E213" s="1948"/>
      <c r="F213" s="1948"/>
      <c r="G213" s="1948"/>
      <c r="H213" s="886"/>
      <c r="I213" s="1947">
        <v>9</v>
      </c>
      <c r="J213" s="1947"/>
      <c r="K213" s="1947"/>
      <c r="L213" s="1043"/>
      <c r="N213" s="1952">
        <v>728</v>
      </c>
      <c r="O213" s="1952"/>
      <c r="P213" s="1952"/>
      <c r="Q213" s="1952"/>
      <c r="R213" s="1952"/>
      <c r="T213" s="2106">
        <v>2448</v>
      </c>
      <c r="U213" s="2106"/>
      <c r="V213" s="2106"/>
      <c r="W213" s="2106"/>
      <c r="X213" s="2106"/>
      <c r="Y213" s="2106"/>
      <c r="Z213" s="885"/>
      <c r="AA213" s="885"/>
      <c r="AB213" s="1949">
        <f t="shared" ref="AB213:AB222" si="0">MAX(($T213-$N213)*$I213*12,0)</f>
        <v>185760</v>
      </c>
      <c r="AC213" s="1949"/>
      <c r="AD213" s="1949"/>
      <c r="AE213" s="1949"/>
      <c r="AF213" s="1949"/>
      <c r="AG213" s="1949"/>
      <c r="AH213" s="861"/>
      <c r="AI213" s="861"/>
      <c r="AJ213" s="861"/>
      <c r="AK213" s="644"/>
    </row>
    <row r="214" spans="1:37">
      <c r="A214" s="639"/>
      <c r="B214" s="1948" t="s">
        <v>2738</v>
      </c>
      <c r="C214" s="1948"/>
      <c r="D214" s="1948"/>
      <c r="E214" s="1948"/>
      <c r="F214" s="1948"/>
      <c r="G214" s="1948"/>
      <c r="I214" s="1947">
        <v>49</v>
      </c>
      <c r="J214" s="1947"/>
      <c r="K214" s="1947"/>
      <c r="L214" s="1043"/>
      <c r="N214" s="1952">
        <v>780</v>
      </c>
      <c r="O214" s="1952"/>
      <c r="P214" s="1952"/>
      <c r="Q214" s="1952"/>
      <c r="R214" s="1952"/>
      <c r="T214" s="2106">
        <v>2760</v>
      </c>
      <c r="U214" s="2106"/>
      <c r="V214" s="2106"/>
      <c r="W214" s="2106"/>
      <c r="X214" s="2106"/>
      <c r="Y214" s="2106"/>
      <c r="Z214" s="885"/>
      <c r="AA214" s="885"/>
      <c r="AB214" s="1949">
        <f t="shared" si="0"/>
        <v>1164240</v>
      </c>
      <c r="AC214" s="1949"/>
      <c r="AD214" s="1949"/>
      <c r="AE214" s="1949"/>
      <c r="AF214" s="1949"/>
      <c r="AG214" s="1949"/>
      <c r="AH214" s="861"/>
      <c r="AI214" s="861"/>
      <c r="AJ214" s="861"/>
      <c r="AK214" s="644"/>
    </row>
    <row r="215" spans="1:37">
      <c r="A215" s="639"/>
      <c r="B215" s="1948" t="s">
        <v>1290</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1290</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1290</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1290</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1290</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1290</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1290</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1290</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49">
        <f>SUM(AB213:AB222)</f>
        <v>1350000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f>Application!Z809</f>
        <v>1350000</v>
      </c>
      <c r="AC229" s="2109"/>
      <c r="AD229" s="2109"/>
      <c r="AE229" s="2109"/>
      <c r="AF229" s="2109"/>
      <c r="AG229" s="2109"/>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1350000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2700000</v>
      </c>
      <c r="AC239" s="1949"/>
      <c r="AD239" s="1949"/>
      <c r="AE239" s="1949"/>
      <c r="AF239" s="1949"/>
      <c r="AG239" s="194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2565000</v>
      </c>
      <c r="AC241" s="1981"/>
      <c r="AD241" s="1981"/>
      <c r="AE241" s="1981"/>
      <c r="AF241" s="1981"/>
      <c r="AG241" s="1981"/>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2230434.7826086958</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25128105.891994506</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32128105.891994506</v>
      </c>
      <c r="AH257" s="1967"/>
      <c r="AI257" s="1967"/>
      <c r="AJ257" s="1967"/>
      <c r="AK257" s="1967"/>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75243950</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0.85</v>
      </c>
      <c r="AH259" s="1968"/>
      <c r="AI259" s="1968"/>
      <c r="AJ259" s="1968"/>
      <c r="AK259" s="196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69">
        <f>IFERROR(IF(AG259=0,0,IF((AG259*100)&gt;8,8,(AG259*100))),0)</f>
        <v>8</v>
      </c>
      <c r="AL262" s="1969"/>
      <c r="AM262" s="19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1" t="s">
        <v>553</v>
      </c>
      <c r="D267" s="1961"/>
      <c r="E267" s="581"/>
      <c r="F267" s="2118" t="s">
        <v>2337</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1472</v>
      </c>
      <c r="AH267" s="1962"/>
      <c r="AI267" s="1962"/>
      <c r="AJ267" s="1962"/>
      <c r="AK267" s="584"/>
      <c r="AL267" s="584"/>
      <c r="AM267" s="584"/>
      <c r="AO267" s="584"/>
    </row>
    <row r="268" spans="1:52" ht="13.7"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69">
        <f>IF($C$267="yes",10,0)</f>
        <v>10</v>
      </c>
      <c r="AL274" s="1969"/>
      <c r="AM274" s="19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2" t="s">
        <v>1491</v>
      </c>
      <c r="B281" s="1662"/>
      <c r="C281" s="1957" t="s">
        <v>553</v>
      </c>
      <c r="D281" s="1961"/>
      <c r="E281" s="581"/>
      <c r="F281" s="1989" t="s">
        <v>1492</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2330</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3" t="s">
        <v>2338</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1493</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1494</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2" t="s">
        <v>1495</v>
      </c>
      <c r="B291" s="1662"/>
      <c r="C291" s="1961" t="s">
        <v>599</v>
      </c>
      <c r="D291" s="1961"/>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5" t="s">
        <v>2332</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2" t="s">
        <v>1498</v>
      </c>
      <c r="B299" s="1662"/>
      <c r="C299" s="1961" t="s">
        <v>599</v>
      </c>
      <c r="D299" s="1961"/>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3" t="s">
        <v>2339</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1290</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1290</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1999" t="s">
        <v>1290</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1999" t="s">
        <v>1290</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62" t="s">
        <v>1501</v>
      </c>
      <c r="B322" s="1662"/>
      <c r="C322" s="1961" t="s">
        <v>599</v>
      </c>
      <c r="D322" s="1961"/>
      <c r="E322" s="581"/>
      <c r="F322" s="1889" t="s">
        <v>2340</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4">
        <f>IF(NOT(OR(Application!M355="Yes",Application!M356="Yes")),0,AP284)</f>
        <v>10</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898" t="s">
        <v>1423</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1563</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6"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2407</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2569</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1564</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3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8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5</v>
      </c>
      <c r="AS346" s="573" t="s">
        <v>1565</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15</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1566</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15</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589</v>
      </c>
      <c r="AP350" s="730">
        <f>IF(C396="Yes",5,0)</f>
        <v>0</v>
      </c>
      <c r="AS350" s="573" t="s">
        <v>2068</v>
      </c>
    </row>
    <row r="351" spans="1:46" s="584" customFormat="1" ht="12.75" customHeight="1">
      <c r="A351" s="637"/>
      <c r="B351" s="645"/>
      <c r="C351" s="2025" t="s">
        <v>1567</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3</v>
      </c>
      <c r="AS351" s="2024">
        <f>IF(AQ355=0,AQ364,AQ355)</f>
        <v>15</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772</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592</v>
      </c>
      <c r="AP353" s="730">
        <f>IF(C410="Yes",5,0)</f>
        <v>0</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6"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15</v>
      </c>
      <c r="AQ355" s="2026">
        <f>IF(AP355&gt;0,AP355,0)</f>
        <v>15</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5</v>
      </c>
    </row>
    <row r="358" spans="1:81" s="584" customFormat="1" ht="12.75" customHeight="1">
      <c r="A358" s="637"/>
      <c r="B358" s="645"/>
      <c r="C358" s="2003" t="s">
        <v>1568</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464</v>
      </c>
      <c r="AP358" s="730">
        <f>IF(C431="Yes",5,0)</f>
        <v>5</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469</v>
      </c>
      <c r="AP359" s="730">
        <f>IF(C438="Yes",5,0)</f>
        <v>5</v>
      </c>
    </row>
    <row r="360" spans="1:81" s="584" customFormat="1" ht="68.099999999999994"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654</v>
      </c>
      <c r="AP360" s="735">
        <f>IF(C442="Yes",5,0)</f>
        <v>0</v>
      </c>
    </row>
    <row r="361" spans="1:81" s="584" customFormat="1" ht="12.6"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2">
        <f>Application!CS660-U363</f>
        <v>58</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58</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15</v>
      </c>
      <c r="AQ364" s="2026">
        <f>IF(AP364&gt;0,AP364,0)</f>
        <v>15</v>
      </c>
      <c r="AR364" s="2026"/>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7" t="s">
        <v>1570</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553</v>
      </c>
      <c r="D370" s="1961"/>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1572</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7" t="s">
        <v>1573</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599</v>
      </c>
      <c r="D378" s="1961"/>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1572</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7" t="s">
        <v>1575</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553</v>
      </c>
      <c r="D386" s="1961"/>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1577</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599</v>
      </c>
      <c r="D388" s="1961"/>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1572</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7" t="s">
        <v>1581</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599</v>
      </c>
      <c r="D396" s="1961"/>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1572</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553</v>
      </c>
      <c r="D398" s="1961"/>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1584</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599</v>
      </c>
      <c r="D401" s="1961"/>
      <c r="E401" s="749" t="s">
        <v>1585</v>
      </c>
      <c r="F401" s="2007" t="s">
        <v>1586</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1572</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7" t="s">
        <v>1588</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599</v>
      </c>
      <c r="D410" s="1961"/>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1572</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599</v>
      </c>
      <c r="D412" s="1961"/>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1584</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7" t="s">
        <v>1592</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6"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553</v>
      </c>
      <c r="D419" s="1961"/>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1572</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1594</v>
      </c>
      <c r="F422" s="2007" t="s">
        <v>1595</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553</v>
      </c>
      <c r="D431" s="1961"/>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1572</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7" t="s">
        <v>1598</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553</v>
      </c>
      <c r="D438" s="1961"/>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1572</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599</v>
      </c>
      <c r="D442" s="2011"/>
      <c r="E442" s="749" t="s">
        <v>1607</v>
      </c>
      <c r="F442" s="2007" t="s">
        <v>1608</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1572</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850000000000001"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599</v>
      </c>
      <c r="D446" s="1961"/>
      <c r="E446" s="749" t="s">
        <v>1613</v>
      </c>
      <c r="F446" s="2007" t="s">
        <v>1614</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1572</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7" t="s">
        <v>1617</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599</v>
      </c>
      <c r="D455" s="1961"/>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1572</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4">
        <f>IF(Application!D214="N/A",AS347,AS349)</f>
        <v>15</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5" t="s">
        <v>1621</v>
      </c>
      <c r="AF461" s="2005"/>
      <c r="AG461" s="2005"/>
      <c r="AH461" s="2005"/>
      <c r="AI461" s="2005"/>
      <c r="AJ461" s="2005"/>
      <c r="AK461" s="200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0" t="s">
        <v>599</v>
      </c>
      <c r="D467" s="2031"/>
      <c r="E467" s="795" t="s">
        <v>515</v>
      </c>
      <c r="F467" s="2032" t="s">
        <v>1627</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4" t="s">
        <v>599</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5" t="s">
        <v>553</v>
      </c>
      <c r="D471" s="2036"/>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2" t="s">
        <v>599</v>
      </c>
      <c r="W474" s="2042"/>
      <c r="X474" s="2042"/>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2" t="s">
        <v>599</v>
      </c>
      <c r="W476" s="2042"/>
      <c r="X476" s="2042"/>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2" t="s">
        <v>599</v>
      </c>
      <c r="W481" s="2042"/>
      <c r="X481" s="2042"/>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1"/>
      <c r="E484" s="2041"/>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2" t="s">
        <v>599</v>
      </c>
      <c r="W485" s="2042"/>
      <c r="X485" s="2042"/>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2" t="s">
        <v>599</v>
      </c>
      <c r="W487" s="2042"/>
      <c r="X487" s="2042"/>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599</v>
      </c>
      <c r="D490" s="2031"/>
      <c r="E490" s="795" t="s">
        <v>515</v>
      </c>
      <c r="F490" s="2032" t="s">
        <v>1627</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599</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599</v>
      </c>
      <c r="D494" s="2031"/>
      <c r="E494" s="795" t="s">
        <v>766</v>
      </c>
      <c r="F494" s="2038" t="s">
        <v>1649</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599</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599</v>
      </c>
      <c r="D499" s="2031"/>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599</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599</v>
      </c>
      <c r="D504" s="2056"/>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599</v>
      </c>
      <c r="D508" s="2056"/>
      <c r="F508" s="829" t="s">
        <v>1657</v>
      </c>
      <c r="G508" s="2008" t="s">
        <v>1658</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599</v>
      </c>
      <c r="D512" s="2044"/>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599</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1670</v>
      </c>
      <c r="AF527" s="1898"/>
      <c r="AG527" s="1898"/>
      <c r="AH527" s="1898"/>
      <c r="AI527" s="1898"/>
      <c r="AJ527" s="1898"/>
      <c r="AK527" s="189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553</v>
      </c>
      <c r="D530" s="1961"/>
      <c r="E530" s="585"/>
      <c r="F530" s="2047" t="s">
        <v>1671</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553</v>
      </c>
      <c r="D533" s="1961"/>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1673</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1674</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56139860</v>
      </c>
      <c r="AQ539" s="2111"/>
      <c r="AR539" s="211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73292950</v>
      </c>
      <c r="AG540" s="1967"/>
      <c r="AH540" s="1967"/>
      <c r="AI540" s="1967"/>
      <c r="AJ540" s="1967"/>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112779720</v>
      </c>
      <c r="AG541" s="2116"/>
      <c r="AH541" s="2116"/>
      <c r="AI541" s="2116"/>
      <c r="AJ541" s="2116"/>
      <c r="AK541" s="629"/>
      <c r="AL541" s="629"/>
      <c r="AM541" s="629"/>
      <c r="AN541" s="631"/>
      <c r="AP541" s="2111">
        <f>Application!AJ1044</f>
        <v>0</v>
      </c>
      <c r="AQ541" s="2111"/>
      <c r="AR541" s="211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0.7</v>
      </c>
      <c r="AG542" s="2117"/>
      <c r="AH542" s="2117"/>
      <c r="AI542" s="2117"/>
      <c r="AJ542" s="2117"/>
      <c r="AK542" s="629"/>
      <c r="AL542" s="629"/>
      <c r="AM542" s="629"/>
      <c r="AN542" s="631"/>
      <c r="AP542" s="2114">
        <f>Application!AJ1048</f>
        <v>56139860</v>
      </c>
      <c r="AQ542" s="2114"/>
      <c r="AR542" s="2114"/>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2532</v>
      </c>
    </row>
    <row r="544" spans="1:49" s="584" customFormat="1" ht="12.75" customHeight="1">
      <c r="A544" s="658"/>
      <c r="B544" s="2063" t="s">
        <v>2344</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67867832</v>
      </c>
      <c r="AQ545" s="2019"/>
      <c r="AR545" s="2019"/>
      <c r="AS545" s="584" t="s">
        <v>2534</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124007692</v>
      </c>
      <c r="AQ546" s="2111"/>
      <c r="AR546" s="211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2">
        <f>IFERROR(IF(AND(C530="N/A",C533="N/A"),0,IF(AF542=0,0,IF((AF542*100)&gt;12,12,(AF542*100)))),0)</f>
        <v>12</v>
      </c>
      <c r="AL548" s="2072"/>
      <c r="AM548" s="2073"/>
      <c r="AN548" s="631"/>
      <c r="AP548" s="2127">
        <f>AP545+(AP539*AP543)</f>
        <v>112779720</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1423</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2335</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1447</v>
      </c>
      <c r="AG567" s="1930"/>
      <c r="AH567" s="1930"/>
      <c r="AI567" s="1930"/>
      <c r="AJ567" s="1930"/>
      <c r="AK567" s="1930"/>
      <c r="AL567" s="1930"/>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1505</v>
      </c>
      <c r="AG574" s="1930"/>
      <c r="AH574" s="1930"/>
      <c r="AI574" s="1930"/>
      <c r="AJ574" s="1930"/>
      <c r="AK574" s="1930"/>
      <c r="AL574" s="1930"/>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1487</v>
      </c>
      <c r="AG580" s="1930"/>
      <c r="AH580" s="1930"/>
      <c r="AI580" s="1930"/>
      <c r="AJ580" s="1930"/>
      <c r="AK580" s="1930"/>
      <c r="AL580" s="1930"/>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1508</v>
      </c>
      <c r="AG586" s="1930"/>
      <c r="AH586" s="1930"/>
      <c r="AI586" s="1930"/>
      <c r="AJ586" s="1930"/>
      <c r="AK586" s="1930"/>
      <c r="AL586" s="1930"/>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5" t="s">
        <v>1290</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1461</v>
      </c>
      <c r="AG592" s="1930"/>
      <c r="AH592" s="1930"/>
      <c r="AI592" s="1930"/>
      <c r="AJ592" s="1930"/>
      <c r="AK592" s="1930"/>
      <c r="AL592" s="1930"/>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3" t="s">
        <v>696</v>
      </c>
      <c r="I595" s="2013"/>
      <c r="J595" s="971"/>
      <c r="K595" s="971"/>
      <c r="L595" s="971"/>
      <c r="N595" s="22"/>
      <c r="O595" s="22"/>
      <c r="P595" s="22"/>
      <c r="Q595" s="1195" t="s">
        <v>2537</v>
      </c>
      <c r="R595" s="2016" t="s">
        <v>2538</v>
      </c>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4" t="s">
        <v>599</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7" t="s">
        <v>599</v>
      </c>
      <c r="C605" s="1957"/>
      <c r="D605" s="676"/>
      <c r="E605" s="1984" t="s">
        <v>1512</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2" t="s">
        <v>1882</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1461</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7" t="s">
        <v>599</v>
      </c>
      <c r="Y623" s="195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1517</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3" t="s">
        <v>696</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4">
        <f>VLOOKUP($H$627,$AO$594:$AP$596,2,FALSE)</f>
        <v>3</v>
      </c>
      <c r="AK629" s="196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4" t="s">
        <v>2414</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1461</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1517</v>
      </c>
      <c r="AG636" s="1930"/>
      <c r="AH636" s="1930"/>
      <c r="AI636" s="1930"/>
      <c r="AJ636" s="1930"/>
      <c r="AK636" s="1930"/>
      <c r="AL636" s="1930"/>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3" t="s">
        <v>599</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4">
        <f>VLOOKUP(H639,AT594:AU596,2,FALSE)</f>
        <v>0</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4" t="s">
        <v>1527</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1487</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4" t="s">
        <v>1528</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1508</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1529</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1461</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599</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4" t="s">
        <v>1530</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1508</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4" t="s">
        <v>1531</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1461</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4" t="s">
        <v>1532</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1517</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4" t="s">
        <v>1533</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1534</v>
      </c>
      <c r="AG670" s="1930"/>
      <c r="AH670" s="1930"/>
      <c r="AI670" s="1930"/>
      <c r="AJ670" s="1930"/>
      <c r="AK670" s="1930"/>
      <c r="AL670" s="1930"/>
      <c r="AM670" s="630"/>
      <c r="AN670" s="631"/>
      <c r="AO670" s="645" t="s">
        <v>696</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3" t="s">
        <v>517</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4">
        <f>VLOOKUP($H$674,$AO$622:$AP$629,2,FALSE)</f>
        <v>4</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58</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116</v>
      </c>
    </row>
    <row r="680" spans="1:51" s="584" customFormat="1" ht="12.75" customHeight="1">
      <c r="A680" s="713"/>
      <c r="B680" s="570"/>
      <c r="C680" s="983"/>
      <c r="D680" s="697" t="s">
        <v>696</v>
      </c>
      <c r="E680" s="2020" t="s">
        <v>2550</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1461</v>
      </c>
      <c r="AG680" s="1930"/>
      <c r="AH680" s="1930"/>
      <c r="AI680" s="1930"/>
      <c r="AJ680" s="1930"/>
      <c r="AK680" s="1930"/>
      <c r="AL680" s="1930"/>
      <c r="AN680" s="631"/>
      <c r="AW680" s="22" t="s">
        <v>2545</v>
      </c>
      <c r="AX680" s="584">
        <f>Application!CC632</f>
        <v>0</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4" t="s">
        <v>2451</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1461</v>
      </c>
      <c r="AG683" s="1930"/>
      <c r="AH683" s="1930"/>
      <c r="AI683" s="1930"/>
      <c r="AJ683" s="1930"/>
      <c r="AK683" s="1930"/>
      <c r="AL683" s="1930"/>
      <c r="AN683" s="631"/>
      <c r="AW683" s="22" t="s">
        <v>2548</v>
      </c>
      <c r="AX683" s="584">
        <f>AX680+AX681+AX682</f>
        <v>0</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2549</v>
      </c>
      <c r="AX684" s="584">
        <f>IFERROR(AX683/AX679,0)</f>
        <v>0</v>
      </c>
      <c r="AY684" s="584">
        <f>IFERROR(AX683/(AX679-AX678),0)</f>
        <v>0</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4" t="s">
        <v>2452</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1517</v>
      </c>
      <c r="AG688" s="1930"/>
      <c r="AH688" s="1930"/>
      <c r="AI688" s="1930"/>
      <c r="AJ688" s="1930"/>
      <c r="AK688" s="1930"/>
      <c r="AL688" s="1930"/>
      <c r="AN688" s="631"/>
      <c r="AO688" s="645" t="s">
        <v>517</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4" t="s">
        <v>1881</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3" t="s">
        <v>696</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4">
        <f>VLOOKUP($H$698,$AO$692:$AP$695,2,FALSE)</f>
        <v>3</v>
      </c>
      <c r="AK700" s="196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1461</v>
      </c>
      <c r="AG704" s="1930"/>
      <c r="AH704" s="1930"/>
      <c r="AI704" s="1930"/>
      <c r="AJ704" s="1930"/>
      <c r="AK704" s="1930"/>
      <c r="AL704" s="1930"/>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4.1"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4.1" customHeight="1">
      <c r="A708" s="584"/>
      <c r="B708" s="570"/>
      <c r="C708" s="966"/>
      <c r="D708" s="697" t="s">
        <v>517</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1517</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4.1"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 customHeight="1">
      <c r="A712" s="584"/>
      <c r="B712" s="570"/>
      <c r="C712" s="968"/>
      <c r="D712" s="570" t="s">
        <v>1509</v>
      </c>
      <c r="E712" s="971"/>
      <c r="F712" s="971"/>
      <c r="G712" s="971"/>
      <c r="H712" s="2013" t="s">
        <v>599</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4" t="s">
        <v>1884</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1461</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4" t="s">
        <v>1548</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1517</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3" t="s">
        <v>517</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4">
        <f>VLOOKUP($H$724,$AO$655:$AP$657,2,FALSE)</f>
        <v>2</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4" t="s">
        <v>1551</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1461</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4" t="s">
        <v>1552</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1517</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3" t="s">
        <v>517</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4">
        <f>VLOOKUP($H$740,$AO$669:$AP$671,2,FALSE)</f>
        <v>2</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4" t="s">
        <v>1554</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1517</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4" t="s">
        <v>1555</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1534</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3" t="s">
        <v>696</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4" t="s">
        <v>1880</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1517</v>
      </c>
      <c r="AG758" s="1930"/>
      <c r="AH758" s="1930"/>
      <c r="AI758" s="1930"/>
      <c r="AJ758" s="1930"/>
      <c r="AK758" s="1930"/>
      <c r="AL758" s="1930"/>
      <c r="AM758" s="647"/>
      <c r="AN758" s="718"/>
      <c r="AO758" s="584" t="s">
        <v>599</v>
      </c>
      <c r="AP758" s="707">
        <v>0</v>
      </c>
    </row>
    <row r="759" spans="1:74" s="604" customFormat="1" ht="13.7"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3" t="s">
        <v>1885</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1461</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3" t="s">
        <v>599</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4" t="s">
        <v>2345</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1461</v>
      </c>
      <c r="AG774" s="1930"/>
      <c r="AH774" s="1930"/>
      <c r="AI774" s="1930"/>
      <c r="AJ774" s="1930"/>
      <c r="AK774" s="1930"/>
      <c r="AL774" s="193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3" t="s">
        <v>553</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4">
        <f>VLOOKUP($H$779,$AO$773:$AP$774,2,FALSE)</f>
        <v>3</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1678</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1679</v>
      </c>
      <c r="U791" s="2078"/>
      <c r="V791" s="2078"/>
      <c r="W791" s="2078"/>
      <c r="X791" s="2078"/>
      <c r="Y791" s="2079"/>
      <c r="Z791" s="2077" t="s">
        <v>1680</v>
      </c>
      <c r="AA791" s="2078"/>
      <c r="AB791" s="2078"/>
      <c r="AC791" s="2078"/>
      <c r="AD791" s="2078"/>
      <c r="AE791" s="2079"/>
      <c r="AF791" s="2077" t="s">
        <v>1681</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766</v>
      </c>
      <c r="B793" s="2057" t="s">
        <v>1413</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1651</v>
      </c>
      <c r="B794" s="2057" t="s">
        <v>1422</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1660</v>
      </c>
      <c r="B795" s="2057" t="s">
        <v>1432</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1682</v>
      </c>
      <c r="B796" s="2057" t="s">
        <v>1442</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1683</v>
      </c>
      <c r="B797" s="2057" t="s">
        <v>1684</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1685</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1686</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1470</v>
      </c>
      <c r="B800" s="2057" t="s">
        <v>1687</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1479</v>
      </c>
      <c r="B801" s="2057" t="s">
        <v>1480</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597</v>
      </c>
      <c r="B802" s="2057" t="s">
        <v>1688</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7" t="s">
        <v>1689</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7" t="s">
        <v>1490</v>
      </c>
      <c r="C804" s="2057"/>
      <c r="D804" s="2057"/>
      <c r="E804" s="2057"/>
      <c r="F804" s="2057"/>
      <c r="G804" s="2057"/>
      <c r="H804" s="2057"/>
      <c r="I804" s="2057"/>
      <c r="J804" s="2057"/>
      <c r="K804" s="2057"/>
      <c r="L804" s="2057"/>
      <c r="M804" s="2057"/>
      <c r="N804" s="2057"/>
      <c r="O804" s="2057"/>
      <c r="P804" s="2057"/>
      <c r="Q804" s="2057"/>
      <c r="R804" s="2057"/>
      <c r="S804" s="2058"/>
      <c r="T804" s="2083">
        <f>AK327</f>
        <v>10</v>
      </c>
      <c r="U804" s="2083"/>
      <c r="V804" s="2083"/>
      <c r="W804" s="2083"/>
      <c r="X804" s="2083"/>
      <c r="Y804" s="2083"/>
      <c r="Z804" s="2089">
        <v>10</v>
      </c>
      <c r="AA804" s="2090"/>
      <c r="AB804" s="2090"/>
      <c r="AC804" s="2090"/>
      <c r="AD804" s="2090"/>
      <c r="AE804" s="2091"/>
      <c r="AF804" s="2089">
        <f>IF(T804&gt;Z804,Z804,T804)</f>
        <v>10</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9">
        <f>AK327</f>
        <v>10</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7" t="s">
        <v>856</v>
      </c>
      <c r="C806" s="2057"/>
      <c r="D806" s="2057"/>
      <c r="E806" s="2057"/>
      <c r="F806" s="2057"/>
      <c r="G806" s="2057"/>
      <c r="H806" s="2057"/>
      <c r="I806" s="2057"/>
      <c r="J806" s="2057"/>
      <c r="K806" s="2057"/>
      <c r="L806" s="2057"/>
      <c r="M806" s="2057"/>
      <c r="N806" s="2057"/>
      <c r="O806" s="2057"/>
      <c r="P806" s="2057"/>
      <c r="Q806" s="2057"/>
      <c r="R806" s="2057"/>
      <c r="S806" s="2058"/>
      <c r="T806" s="2083">
        <f>AK458</f>
        <v>15</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7" t="s">
        <v>1669</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7" t="s">
        <v>1691</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1692</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1693</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2" t="s">
        <v>1694</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120</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27" sqref="I27"/>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1" t="s">
        <v>1695</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32410064</v>
      </c>
      <c r="I3" s="1145"/>
    </row>
    <row r="4" spans="1:13" s="1086" customFormat="1" ht="20.100000000000001" customHeight="1">
      <c r="B4" s="1134"/>
      <c r="D4" s="1148"/>
      <c r="F4" s="1132" t="s">
        <v>2300</v>
      </c>
      <c r="G4" s="1131" t="s">
        <v>2299</v>
      </c>
      <c r="H4" s="1133">
        <f>I16</f>
        <v>37565359.477124184</v>
      </c>
      <c r="I4" s="1135"/>
      <c r="K4" s="1090"/>
    </row>
    <row r="5" spans="1:13" s="1086" customFormat="1" ht="20.100000000000001" customHeight="1" thickBot="1">
      <c r="B5" s="1136"/>
      <c r="C5" s="1137"/>
      <c r="D5" s="1149"/>
      <c r="E5" s="1138"/>
      <c r="F5" s="1149" t="s">
        <v>2240</v>
      </c>
      <c r="G5" s="1150"/>
      <c r="H5" s="1146">
        <f>H3/H4</f>
        <v>0.86276464410613307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2238</v>
      </c>
      <c r="C8" s="2154"/>
      <c r="D8" s="2154"/>
      <c r="E8" s="2155"/>
      <c r="G8" s="2156" t="s">
        <v>2239</v>
      </c>
      <c r="H8" s="2157"/>
      <c r="I8" s="2158"/>
      <c r="K8" s="1092"/>
    </row>
    <row r="9" spans="1:13" ht="15" customHeight="1">
      <c r="A9" s="1081"/>
      <c r="B9" s="2152" t="s">
        <v>2277</v>
      </c>
      <c r="C9" s="2152"/>
      <c r="D9" s="2152"/>
      <c r="E9" s="1094">
        <f>G31</f>
        <v>5575000</v>
      </c>
      <c r="G9" s="2161" t="s">
        <v>2275</v>
      </c>
      <c r="H9" s="2161"/>
      <c r="I9" s="1095">
        <f>Application!AM554</f>
        <v>40000000</v>
      </c>
      <c r="K9" s="1096"/>
      <c r="M9" s="1097"/>
    </row>
    <row r="10" spans="1:13" ht="15" customHeight="1" thickBot="1">
      <c r="A10" s="1081"/>
      <c r="B10" s="2152" t="s">
        <v>2278</v>
      </c>
      <c r="C10" s="2152"/>
      <c r="D10" s="2152"/>
      <c r="E10" s="1095">
        <f>G40</f>
        <v>14502564</v>
      </c>
      <c r="G10" s="2161" t="s">
        <v>2241</v>
      </c>
      <c r="H10" s="2161"/>
      <c r="I10" s="1182">
        <f>'Basis &amp; Credits'!AB78</f>
        <v>0</v>
      </c>
      <c r="M10" s="1097"/>
    </row>
    <row r="11" spans="1:13" ht="15" customHeight="1">
      <c r="A11" s="1098"/>
      <c r="B11" s="2152" t="s">
        <v>2279</v>
      </c>
      <c r="C11" s="2152"/>
      <c r="D11" s="2152"/>
      <c r="E11" s="1095">
        <f>G49</f>
        <v>580000</v>
      </c>
      <c r="G11" s="2161" t="s">
        <v>2290</v>
      </c>
      <c r="H11" s="2161"/>
      <c r="I11" s="1181">
        <f>I9+I10</f>
        <v>40000000</v>
      </c>
      <c r="M11" s="1097"/>
    </row>
    <row r="12" spans="1:13" ht="15" customHeight="1">
      <c r="A12" s="1084"/>
      <c r="B12" s="2152" t="s">
        <v>2280</v>
      </c>
      <c r="C12" s="2152"/>
      <c r="D12" s="2152"/>
      <c r="E12" s="1095">
        <f>G58</f>
        <v>1160000</v>
      </c>
      <c r="G12" s="1183" t="s">
        <v>2315</v>
      </c>
      <c r="H12" s="1184"/>
      <c r="M12" s="1097"/>
    </row>
    <row r="13" spans="1:13" ht="15" customHeight="1">
      <c r="A13" s="1081"/>
      <c r="B13" s="2152" t="s">
        <v>2281</v>
      </c>
      <c r="C13" s="2152"/>
      <c r="D13" s="2152"/>
      <c r="E13" s="1100">
        <f>G83</f>
        <v>7247500</v>
      </c>
      <c r="G13" s="2162" t="s">
        <v>139</v>
      </c>
      <c r="H13" s="2162"/>
      <c r="I13" s="1099">
        <f>15%*(AND(G111="Yes",G113&lt;&gt;""))</f>
        <v>0</v>
      </c>
      <c r="M13" s="1097"/>
    </row>
    <row r="14" spans="1:13" ht="15" customHeight="1">
      <c r="A14" s="1081"/>
      <c r="B14" s="2152" t="s">
        <v>2282</v>
      </c>
      <c r="C14" s="2152"/>
      <c r="D14" s="2152"/>
      <c r="E14" s="1095">
        <f>IF(G96&gt;G106,G96,0)</f>
        <v>3345000</v>
      </c>
      <c r="G14" s="1179" t="s">
        <v>2291</v>
      </c>
      <c r="H14" s="1179"/>
      <c r="I14" s="1099">
        <f>IF(Application!AJ1031&gt;0,10%,IF(Application!AJ1035&gt;0,5%,0))</f>
        <v>0</v>
      </c>
      <c r="M14" s="1097"/>
    </row>
    <row r="15" spans="1:13" ht="15" customHeight="1" thickBot="1">
      <c r="A15" s="1081"/>
      <c r="B15" s="2159" t="s">
        <v>2301</v>
      </c>
      <c r="C15" s="2159"/>
      <c r="D15" s="2159"/>
      <c r="E15" s="1151">
        <f>IF(E14&gt;0,0,G106)</f>
        <v>0</v>
      </c>
      <c r="G15" s="2165" t="s">
        <v>2292</v>
      </c>
      <c r="H15" s="2166"/>
      <c r="I15" s="1153">
        <f>G123</f>
        <v>6.0866013071895424E-2</v>
      </c>
      <c r="M15" s="1097"/>
    </row>
    <row r="16" spans="1:13" ht="15" customHeight="1">
      <c r="A16" s="1081"/>
      <c r="B16" s="2160" t="s">
        <v>2237</v>
      </c>
      <c r="C16" s="2160"/>
      <c r="D16" s="2160"/>
      <c r="E16" s="1152">
        <f>SUM(E9:E15)</f>
        <v>32410064</v>
      </c>
      <c r="G16" s="1180" t="s">
        <v>2276</v>
      </c>
      <c r="H16" s="1180"/>
      <c r="I16" s="1154">
        <f>I11-((I11*I13)+(I11*I14)+(I11*I15))</f>
        <v>37565359.477124184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116</v>
      </c>
      <c r="O18" s="1124" t="s">
        <v>590</v>
      </c>
      <c r="P18" s="1079">
        <f>MATCH(Application!T189,Application!BV490:BV547,0)</f>
        <v>19</v>
      </c>
      <c r="S18" s="1101">
        <f>SUM(Cdlac[Population])</f>
        <v>58</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3" t="s">
        <v>2294</v>
      </c>
      <c r="D20" s="2163" t="s">
        <v>2295</v>
      </c>
      <c r="E20" s="2163" t="s">
        <v>2296</v>
      </c>
      <c r="F20" s="2163" t="s">
        <v>2297</v>
      </c>
      <c r="G20" s="2163" t="s">
        <v>2293</v>
      </c>
      <c r="H20" s="1108"/>
      <c r="I20" s="1107"/>
      <c r="L20" s="1079">
        <f>IFERROR(MIN(4,MATCH(Application!B718,UnitSizes,0)-1),"")</f>
        <v>0</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9</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0</v>
      </c>
      <c r="M21" s="1101">
        <f>Application!G719</f>
        <v>17</v>
      </c>
      <c r="N21" s="1109">
        <f>Application!AC719</f>
        <v>0.6</v>
      </c>
      <c r="O21" s="1109">
        <f>IF(Cdlac[[#This Row],[Quantity]]&gt;0,IF(Cdlac[[#This Row],[Federal]],30%,IF($G$36,40%,Cdlac[[#This Row],[iAMI]])),"")</f>
        <v>0.6</v>
      </c>
      <c r="P21" s="1101" cm="1">
        <f t="array" ref="P21">IF(Cdlac[[#This Row],[Quantity]]&gt;0,INDEX(TcacRents,$P$18,Cdlac[[#This Row],[Bedrooms]]+1)*Cdlac[[#This Row],[AMI]],"")</f>
        <v>1455.6</v>
      </c>
      <c r="Q21" s="1101" cm="1">
        <f t="array" ref="Q21">IF(Cdlac[[#This Row],[Quantity]]&gt;0,INDEX(HudFmrs,$P$18,Cdlac[[#This Row],[Bedrooms]]+1),"")</f>
        <v>1777</v>
      </c>
      <c r="R21" s="1101">
        <f>IF(Cdlac[[#This Row],[Quantity]]&gt;0,MAX(0,Cdlac[[#This Row],[Fair Market Rent]]-Cdlac[[#This Row],[Restricted Rent]]),"")</f>
        <v>321.40000000000009</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45</v>
      </c>
      <c r="F22" s="1110">
        <f>E22</f>
        <v>45</v>
      </c>
      <c r="G22" s="1110">
        <f>D22*F22</f>
        <v>40.5</v>
      </c>
      <c r="L22" s="1079">
        <f>IFERROR(MIN(4,MATCH(Application!B720,UnitSizes,0)-1),"")</f>
        <v>0</v>
      </c>
      <c r="M22" s="1101">
        <f>Application!G720</f>
        <v>19</v>
      </c>
      <c r="N22" s="1109">
        <f>Application!AC720</f>
        <v>0.7</v>
      </c>
      <c r="O22" s="1109">
        <f>IF(Cdlac[[#This Row],[Quantity]]&gt;0,IF(Cdlac[[#This Row],[Federal]],30%,IF($G$36,40%,Cdlac[[#This Row],[iAMI]])),"")</f>
        <v>0.7</v>
      </c>
      <c r="P22" s="1101" cm="1">
        <f t="array" ref="P22">IF(Cdlac[[#This Row],[Quantity]]&gt;0,INDEX(TcacRents,$P$18,Cdlac[[#This Row],[Bedrooms]]+1)*Cdlac[[#This Row],[AMI]],"")</f>
        <v>1698.1999999999998</v>
      </c>
      <c r="Q22" s="1101" cm="1">
        <f t="array" ref="Q22">IF(Cdlac[[#This Row],[Quantity]]&gt;0,INDEX(HudFmrs,$P$18,Cdlac[[#This Row],[Bedrooms]]+1),"")</f>
        <v>1777</v>
      </c>
      <c r="R22" s="1101">
        <f>IF(Cdlac[[#This Row],[Quantity]]&gt;0,MAX(0,Cdlac[[#This Row],[Fair Market Rent]]-Cdlac[[#This Row],[Restricted Rent]]),"")</f>
        <v>78.800000000000182</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71</v>
      </c>
      <c r="F23" s="1110">
        <f>E23</f>
        <v>71</v>
      </c>
      <c r="G23" s="1110">
        <f>D23*F23</f>
        <v>71</v>
      </c>
      <c r="L23" s="1079">
        <f>IFERROR(MIN(4,MATCH(Application!B721,UnitSizes,0)-1),"")</f>
        <v>1</v>
      </c>
      <c r="M23" s="1101">
        <f>Application!G721</f>
        <v>49</v>
      </c>
      <c r="N23" s="1109">
        <f>Application!AC721</f>
        <v>0.3</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49</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22</v>
      </c>
      <c r="N24" s="1109">
        <f>Application!AC722</f>
        <v>0.7</v>
      </c>
      <c r="O24" s="1109">
        <f>IF(Cdlac[[#This Row],[Quantity]]&gt;0,IF(Cdlac[[#This Row],[Federal]],30%,IF($G$36,40%,Cdlac[[#This Row],[iAMI]])),"")</f>
        <v>0.7</v>
      </c>
      <c r="P24" s="1101" cm="1">
        <f t="array" ref="P24">IF(Cdlac[[#This Row],[Quantity]]&gt;0,INDEX(TcacRents,$P$18,Cdlac[[#This Row],[Bedrooms]]+1)*Cdlac[[#This Row],[AMI]],"")</f>
        <v>1819.9999999999998</v>
      </c>
      <c r="Q24" s="1101" cm="1">
        <f t="array" ref="Q24">IF(Cdlac[[#This Row],[Quantity]]&gt;0,INDEX(HudFmrs,$P$18,Cdlac[[#This Row],[Bedrooms]]+1),"")</f>
        <v>2006</v>
      </c>
      <c r="R24" s="1101">
        <f>IF(Cdlac[[#This Row],[Quantity]]&gt;0,MAX(0,Cdlac[[#This Row],[Fair Market Rent]]-Cdlac[[#This Row],[Restricted Rent]]),"")</f>
        <v>186.00000000000023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1696</v>
      </c>
      <c r="D27" s="2148"/>
      <c r="E27" s="1129">
        <f>SUM(E22:E26)</f>
        <v>116</v>
      </c>
      <c r="F27" s="1129">
        <f>SUM(F22:F26)</f>
        <v>116</v>
      </c>
      <c r="G27" s="1130">
        <f>SUMPRODUCT(D22:D26,F22:F26)</f>
        <v>111.5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111.5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5575000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0.48534482758620678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80569.8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14502564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58</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58</v>
      </c>
    </row>
    <row r="46" spans="2:20" ht="15" customHeight="1">
      <c r="E46" s="1159"/>
      <c r="G46" s="1167"/>
    </row>
    <row r="47" spans="2:20" ht="15" customHeight="1">
      <c r="E47" s="1159" t="s">
        <v>2255</v>
      </c>
      <c r="G47" s="1156">
        <f>MIN(G44:G45)</f>
        <v>58</v>
      </c>
    </row>
    <row r="48" spans="2:20" ht="15" customHeight="1">
      <c r="E48" s="1159" t="s">
        <v>2245</v>
      </c>
      <c r="F48" s="1155" t="s">
        <v>2302</v>
      </c>
      <c r="G48" s="1166">
        <v>10000</v>
      </c>
    </row>
    <row r="49" spans="2:14" ht="15" customHeight="1">
      <c r="E49" s="1160" t="s">
        <v>2285</v>
      </c>
      <c r="F49" s="1081"/>
      <c r="G49" s="1165">
        <f>G47*G48</f>
        <v>580000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58</v>
      </c>
    </row>
    <row r="54" spans="2:14" ht="15" customHeight="1">
      <c r="E54" s="1159" t="s">
        <v>2304</v>
      </c>
      <c r="G54" s="1117">
        <f>ROUNDDOWN(E27*50%,0)</f>
        <v>58</v>
      </c>
    </row>
    <row r="55" spans="2:14" ht="15" customHeight="1">
      <c r="E55" s="1159"/>
      <c r="G55" s="1117"/>
    </row>
    <row r="56" spans="2:14" ht="15" customHeight="1">
      <c r="E56" s="1159" t="s">
        <v>2255</v>
      </c>
      <c r="G56" s="1156">
        <f>MIN(G53:G54)</f>
        <v>58</v>
      </c>
    </row>
    <row r="57" spans="2:14" ht="15" customHeight="1">
      <c r="E57" s="1159" t="s">
        <v>2245</v>
      </c>
      <c r="F57" s="1155" t="s">
        <v>2302</v>
      </c>
      <c r="G57" s="1166">
        <v>20000</v>
      </c>
    </row>
    <row r="58" spans="2:14" ht="15" customHeight="1">
      <c r="E58" s="1160" t="s">
        <v>2284</v>
      </c>
      <c r="F58" s="1081"/>
      <c r="G58" s="1165">
        <f>G56*G57</f>
        <v>1160000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49" t="s">
        <v>1514</v>
      </c>
      <c r="N62" s="2150"/>
    </row>
    <row r="63" spans="2:14" ht="15" customHeight="1">
      <c r="E63" s="1124" t="s">
        <v>2245</v>
      </c>
      <c r="F63" s="1155" t="s">
        <v>2302</v>
      </c>
      <c r="G63" s="1114">
        <v>4000</v>
      </c>
      <c r="L63" s="1170" t="str">
        <f>'Points System'!H639</f>
        <v>N/A</v>
      </c>
      <c r="M63" s="2141" t="s">
        <v>2259</v>
      </c>
      <c r="N63" s="2142"/>
    </row>
    <row r="64" spans="2:14" ht="15" customHeight="1">
      <c r="E64" s="1124" t="s">
        <v>2306</v>
      </c>
      <c r="F64" s="1155" t="s">
        <v>2302</v>
      </c>
      <c r="G64" s="1168">
        <f>G27</f>
        <v>111.5</v>
      </c>
      <c r="L64" s="1170" t="str">
        <f>'Points System'!H674</f>
        <v>(ii)</v>
      </c>
      <c r="M64" s="2141" t="s">
        <v>2260</v>
      </c>
      <c r="N64" s="2142"/>
    </row>
    <row r="65" spans="2:14" ht="15" customHeight="1">
      <c r="E65" s="1160" t="s">
        <v>2264</v>
      </c>
      <c r="F65" s="1081"/>
      <c r="G65" s="1165">
        <f>G62*G63*G64</f>
        <v>3122000</v>
      </c>
      <c r="L65" s="1170" t="str">
        <f>IF(OR('Points System'!H698="(ii)",'Points System'!H698="(i)"),"(i)","N/A")</f>
        <v>(i)</v>
      </c>
      <c r="M65" s="2141" t="s">
        <v>2261</v>
      </c>
      <c r="N65" s="2142"/>
    </row>
    <row r="66" spans="2:14" ht="15" customHeight="1">
      <c r="C66" s="1115"/>
      <c r="G66" s="1156"/>
      <c r="L66" s="1171" t="str">
        <f>'Points System'!H712</f>
        <v>N/A</v>
      </c>
      <c r="M66" s="2141" t="s">
        <v>1540</v>
      </c>
      <c r="N66" s="2142"/>
    </row>
    <row r="67" spans="2:14" ht="15" customHeight="1">
      <c r="E67" s="1124" t="s">
        <v>2307</v>
      </c>
      <c r="G67" s="1168">
        <f>COUNTIFS(L62:L69,"(i)")</f>
        <v>3</v>
      </c>
      <c r="L67" s="1170" t="str">
        <f>'Points System'!H724</f>
        <v>(ii)</v>
      </c>
      <c r="M67" s="2141" t="s">
        <v>2262</v>
      </c>
      <c r="N67" s="2142"/>
    </row>
    <row r="68" spans="2:14" ht="15" customHeight="1">
      <c r="E68" s="1124" t="s">
        <v>2245</v>
      </c>
      <c r="F68" s="1155" t="s">
        <v>2302</v>
      </c>
      <c r="G68" s="1166">
        <v>4000</v>
      </c>
      <c r="L68" s="1170" t="str">
        <f>'Points System'!H740</f>
        <v>(ii)</v>
      </c>
      <c r="M68" s="2141" t="s">
        <v>2263</v>
      </c>
      <c r="N68" s="2142"/>
    </row>
    <row r="69" spans="2:14" ht="15" customHeight="1" thickBot="1">
      <c r="E69" s="1160" t="s">
        <v>2265</v>
      </c>
      <c r="F69" s="1081"/>
      <c r="G69" s="1165">
        <f>G64*G67*G68</f>
        <v>1338000</v>
      </c>
      <c r="L69" s="1172" t="str">
        <f>'Points System'!H752</f>
        <v>(i)</v>
      </c>
      <c r="M69" s="2143" t="s">
        <v>1543</v>
      </c>
      <c r="N69" s="2144"/>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111.5</v>
      </c>
    </row>
    <row r="80" spans="2:14" ht="15" customHeight="1">
      <c r="E80" s="1124" t="s">
        <v>2245</v>
      </c>
      <c r="F80" s="1155" t="s">
        <v>2302</v>
      </c>
      <c r="G80" s="1166">
        <v>25000</v>
      </c>
    </row>
    <row r="81" spans="2:14" ht="15" customHeight="1">
      <c r="E81" s="1160" t="s">
        <v>2266</v>
      </c>
      <c r="F81" s="1081"/>
      <c r="G81" s="1165">
        <f>G77*G80*G64</f>
        <v>2787500</v>
      </c>
    </row>
    <row r="82" spans="2:14" ht="15" customHeight="1">
      <c r="C82" s="1115"/>
      <c r="E82" s="1115"/>
    </row>
    <row r="83" spans="2:14" ht="15" customHeight="1">
      <c r="E83" s="1160" t="s">
        <v>2243</v>
      </c>
      <c r="G83" s="1165">
        <f>G81+G69+G65</f>
        <v>7247500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45" t="s">
        <v>2272</v>
      </c>
      <c r="M87" s="2146"/>
      <c r="N87" s="1173">
        <v>30000</v>
      </c>
    </row>
    <row r="88" spans="2:14" ht="15" customHeight="1">
      <c r="C88" s="1115" t="s">
        <v>2289</v>
      </c>
      <c r="G88" s="1119" t="str">
        <f>IF(Application!D211="Large Family","Yes","No")</f>
        <v>No</v>
      </c>
      <c r="L88" s="2137" t="s">
        <v>2236</v>
      </c>
      <c r="M88" s="2138"/>
      <c r="N88" s="1174">
        <v>20000</v>
      </c>
    </row>
    <row r="89" spans="2:14" ht="15" customHeight="1" thickBot="1">
      <c r="C89" s="1115" t="s">
        <v>2270</v>
      </c>
      <c r="G89" s="1078" t="s">
        <v>553</v>
      </c>
      <c r="L89" s="2139" t="s">
        <v>2273</v>
      </c>
      <c r="M89" s="2140"/>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111.5</v>
      </c>
    </row>
    <row r="96" spans="2:14" ht="15" customHeight="1">
      <c r="D96" s="1081"/>
      <c r="E96" s="1160" t="s">
        <v>2244</v>
      </c>
      <c r="F96" s="1081"/>
      <c r="G96" s="1165">
        <f>G95*G94*G92</f>
        <v>3345000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677</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111.5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2637</v>
      </c>
      <c r="D110" s="2134"/>
      <c r="E110" s="2134"/>
      <c r="F110" s="2134"/>
    </row>
    <row r="111" spans="2:9" ht="15" customHeight="1">
      <c r="C111" s="2134"/>
      <c r="D111" s="2134"/>
      <c r="E111" s="2134"/>
      <c r="F111" s="2134"/>
      <c r="G111" s="1078"/>
    </row>
    <row r="112" spans="2:9" ht="15" customHeight="1"/>
    <row r="113" spans="2:9" ht="15" customHeight="1">
      <c r="C113" s="1079" t="s">
        <v>2640</v>
      </c>
      <c r="G113" s="2135"/>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2310</v>
      </c>
      <c r="G122" s="1116">
        <f>MEDIAN((Application!BR806:BR863))</f>
        <v>489600</v>
      </c>
    </row>
    <row r="123" spans="2:9" ht="15" customHeight="1">
      <c r="D123" s="1081"/>
      <c r="E123" s="1160" t="s">
        <v>2312</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7" priority="1">
      <formula>$M20=0</formula>
    </cfRule>
  </conditionalFormatting>
  <conditionalFormatting sqref="T20:T44">
    <cfRule type="cellIs" dxfId="6"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227" t="s">
        <v>2411</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2458</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3" t="str">
        <f>IF(Application!H18="","",Application!H18)</f>
        <v>Oaks on Balboa</v>
      </c>
      <c r="M4" s="2234"/>
      <c r="N4" s="2234"/>
      <c r="O4" s="2234"/>
      <c r="P4" s="2234"/>
      <c r="Q4" s="2234"/>
      <c r="R4" s="2234"/>
      <c r="S4" s="2234"/>
      <c r="T4" s="2234"/>
      <c r="U4" s="2234"/>
      <c r="V4" s="2234"/>
      <c r="W4" s="2234"/>
      <c r="X4" s="2234"/>
      <c r="Y4" s="2234"/>
      <c r="Z4" s="2234"/>
      <c r="AA4" s="2234"/>
      <c r="AB4" s="2234"/>
      <c r="AC4" s="2235"/>
      <c r="AD4" s="1206"/>
      <c r="AE4" s="1206"/>
      <c r="AF4" s="2236" t="s">
        <v>2459</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2460</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3" t="str">
        <f>IF(Application!H16="","",Application!H16)</f>
        <v>5435 Balboa, LP</v>
      </c>
      <c r="M6" s="2234"/>
      <c r="N6" s="2234"/>
      <c r="O6" s="2234"/>
      <c r="P6" s="2234"/>
      <c r="Q6" s="2234"/>
      <c r="R6" s="2234"/>
      <c r="S6" s="2234"/>
      <c r="T6" s="2234"/>
      <c r="U6" s="2234"/>
      <c r="V6" s="2234"/>
      <c r="W6" s="2234"/>
      <c r="X6" s="2234"/>
      <c r="Y6" s="2234"/>
      <c r="Z6" s="2234"/>
      <c r="AA6" s="2234"/>
      <c r="AB6" s="2234"/>
      <c r="AC6" s="2235"/>
      <c r="AD6" s="1206"/>
      <c r="AE6" s="1206"/>
      <c r="AF6" s="2239" t="s">
        <v>2461</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2462</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2463</v>
      </c>
      <c r="AG8" s="2239"/>
      <c r="AH8" s="2239"/>
      <c r="AI8" s="2239"/>
      <c r="AJ8" s="2239"/>
      <c r="AK8" s="2239"/>
      <c r="AL8" s="2239"/>
      <c r="AM8" s="2239"/>
      <c r="AN8" s="2239"/>
      <c r="AO8" s="2239"/>
      <c r="AP8" s="2226" t="s">
        <v>2415</v>
      </c>
      <c r="AQ8" s="2226"/>
      <c r="AR8" s="2226"/>
      <c r="AS8" s="2226"/>
      <c r="AT8" s="2226"/>
      <c r="AU8" s="2226"/>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2621</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1">
        <f>Application!AO627</f>
        <v>29541951</v>
      </c>
      <c r="O10" s="2251"/>
      <c r="P10" s="2251"/>
      <c r="Q10" s="2251"/>
      <c r="R10" s="2251"/>
      <c r="S10" s="2251"/>
      <c r="T10" s="2251"/>
      <c r="U10" s="1206"/>
      <c r="V10" s="1206"/>
      <c r="W10" s="1206"/>
      <c r="X10" s="1255"/>
      <c r="Y10" s="1255"/>
      <c r="Z10" s="1255"/>
      <c r="AA10" s="1255"/>
      <c r="AB10" s="1255"/>
      <c r="AC10" s="1255"/>
      <c r="AD10" s="1255"/>
      <c r="AE10" s="1255"/>
      <c r="AF10" s="2236" t="s">
        <v>2620</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2619</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8" t="s">
        <v>1792</v>
      </c>
      <c r="C13" s="2259"/>
      <c r="D13" s="2259"/>
      <c r="E13" s="2259"/>
      <c r="F13" s="2259"/>
      <c r="G13" s="2259"/>
      <c r="H13" s="2259"/>
      <c r="I13" s="2259"/>
      <c r="J13" s="2259"/>
      <c r="K13" s="2259"/>
      <c r="L13" s="2259"/>
      <c r="M13" s="2259"/>
      <c r="N13" s="2259"/>
      <c r="O13" s="2259"/>
      <c r="P13" s="2260"/>
      <c r="Q13" s="2261" t="s">
        <v>677</v>
      </c>
      <c r="R13" s="2262"/>
      <c r="S13" s="2262"/>
      <c r="T13" s="2263"/>
      <c r="U13" s="1255"/>
      <c r="V13" s="1206"/>
      <c r="W13" s="1206"/>
      <c r="X13" s="1206"/>
      <c r="Y13" s="1206"/>
      <c r="Z13" s="1206"/>
      <c r="AA13" s="2252" t="s">
        <v>2465</v>
      </c>
      <c r="AB13" s="2252"/>
      <c r="AC13" s="2252"/>
      <c r="AD13" s="2252"/>
      <c r="AE13" s="2252"/>
      <c r="AF13" s="2252"/>
      <c r="AG13" s="2252"/>
      <c r="AH13" s="2252"/>
      <c r="AI13" s="2252"/>
      <c r="AJ13" s="2252"/>
      <c r="AK13" s="2252"/>
      <c r="AL13" s="2252"/>
      <c r="AM13" s="2252"/>
      <c r="AN13" s="2252"/>
      <c r="AO13" s="2253">
        <f>Application!W473</f>
        <v>29</v>
      </c>
      <c r="AP13" s="2254"/>
      <c r="AQ13" s="2254"/>
      <c r="AR13" s="2254"/>
      <c r="AS13" s="2254"/>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2467</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1793</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2468</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1794</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1795</v>
      </c>
      <c r="C18" s="2273"/>
      <c r="D18" s="2273"/>
      <c r="E18" s="2273"/>
      <c r="F18" s="2273"/>
      <c r="G18" s="2273"/>
      <c r="H18" s="2273"/>
      <c r="I18" s="2274"/>
      <c r="J18" s="2275" t="s">
        <v>1696</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1796</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58</v>
      </c>
      <c r="K19" s="2283"/>
      <c r="L19" s="2283"/>
      <c r="M19" s="2283"/>
      <c r="N19" s="2283"/>
      <c r="O19" s="2284"/>
      <c r="P19" s="2282" cm="1">
        <f t="array" ref="P19">SUMPRODUCT((Application!$B$718:$B$752 = 'CalHFA Addendum'!P$18)*(Application!$AC$718:$AC$752 = 'CalHFA Addendum'!$B19),Application!$G$718:$G$752)</f>
        <v>9</v>
      </c>
      <c r="Q19" s="2283"/>
      <c r="R19" s="2283"/>
      <c r="S19" s="2283"/>
      <c r="T19" s="2283"/>
      <c r="U19" s="2284"/>
      <c r="V19" s="2282" cm="1">
        <f t="array" ref="V19">SUMPRODUCT((Application!$B$714:$B$738 = 'CalHFA Addendum'!V$18)*(Application!$AC$714:$AC$738 = 'CalHFA Addendum'!$B19),Application!$G$714:$G$738)</f>
        <v>49</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0.5</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17</v>
      </c>
      <c r="K22" s="2283"/>
      <c r="L22" s="2283"/>
      <c r="M22" s="2283"/>
      <c r="N22" s="2283"/>
      <c r="O22" s="2284"/>
      <c r="P22" s="2282" cm="1">
        <f t="array" ref="P22">SUMPRODUCT((Application!$B$714:$B$738 = 'CalHFA Addendum'!P$18)*(Application!$AC$714:$AC$738 = 'CalHFA Addendum'!$B22),Application!$G$714:$G$738)</f>
        <v>17</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0.14655172413793102</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41</v>
      </c>
      <c r="K23" s="2283"/>
      <c r="L23" s="2283"/>
      <c r="M23" s="2283"/>
      <c r="N23" s="2283"/>
      <c r="O23" s="2284"/>
      <c r="P23" s="2282" cm="1">
        <f t="array" ref="P23">SUMPRODUCT((Application!$B$714:$B$738 = 'CalHFA Addendum'!P$18)*(Application!$AC$714:$AC$738 = 'CalHFA Addendum'!$B23),Application!$G$714:$G$738)</f>
        <v>19</v>
      </c>
      <c r="Q23" s="2283"/>
      <c r="R23" s="2283"/>
      <c r="S23" s="2283"/>
      <c r="T23" s="2283"/>
      <c r="U23" s="2284"/>
      <c r="V23" s="2282" cm="1">
        <f t="array" ref="V23">SUMPRODUCT((Application!$B$714:$B$738 = 'CalHFA Addendum'!V$18)*(Application!$AC$714:$AC$738 = 'CalHFA Addendum'!$B23),Application!$G$714:$G$738)</f>
        <v>22</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0.35344827586206895</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1797</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1696</v>
      </c>
      <c r="C29" s="2314"/>
      <c r="D29" s="2314"/>
      <c r="E29" s="2314"/>
      <c r="F29" s="2314"/>
      <c r="G29" s="2314"/>
      <c r="H29" s="2314"/>
      <c r="I29" s="2315"/>
      <c r="J29" s="2316">
        <f>SUM(J19:O28)</f>
        <v>116</v>
      </c>
      <c r="K29" s="2314"/>
      <c r="L29" s="2314"/>
      <c r="M29" s="2314"/>
      <c r="N29" s="2314"/>
      <c r="O29" s="2315"/>
      <c r="P29" s="2316">
        <f>SUM(P19:U28)</f>
        <v>45</v>
      </c>
      <c r="Q29" s="2314"/>
      <c r="R29" s="2314"/>
      <c r="S29" s="2314"/>
      <c r="T29" s="2314"/>
      <c r="U29" s="2315"/>
      <c r="V29" s="2316">
        <f>SUM(V19:AA28)</f>
        <v>71</v>
      </c>
      <c r="W29" s="2314"/>
      <c r="X29" s="2314"/>
      <c r="Y29" s="2314"/>
      <c r="Z29" s="2314"/>
      <c r="AA29" s="2315"/>
      <c r="AB29" s="2316">
        <f>SUM(AB19:AG28)</f>
        <v>0</v>
      </c>
      <c r="AC29" s="2314"/>
      <c r="AD29" s="2314"/>
      <c r="AE29" s="2314"/>
      <c r="AF29" s="2314"/>
      <c r="AG29" s="2315"/>
      <c r="AH29" s="2316">
        <f>SUM(AH19:AM28)</f>
        <v>0</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1798</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2471</v>
      </c>
      <c r="C32" s="2337"/>
      <c r="D32" s="2337"/>
      <c r="E32" s="2337"/>
      <c r="F32" s="2337"/>
      <c r="G32" s="2337"/>
      <c r="H32" s="2337"/>
      <c r="I32" s="2337"/>
      <c r="J32" s="2307" t="s">
        <v>2472</v>
      </c>
      <c r="K32" s="2308"/>
      <c r="L32" s="2308"/>
      <c r="M32" s="2308"/>
      <c r="N32" s="2307" t="s">
        <v>1799</v>
      </c>
      <c r="O32" s="2308"/>
      <c r="P32" s="2308"/>
      <c r="Q32" s="2310"/>
      <c r="R32" s="2330" t="s">
        <v>1800</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1801</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1802</v>
      </c>
      <c r="AT35" s="2295"/>
      <c r="AU35" s="2295"/>
      <c r="AV35" s="2295"/>
      <c r="AW35" s="2295"/>
      <c r="AX35" s="2296"/>
      <c r="AY35" s="2294" t="s">
        <v>1803</v>
      </c>
      <c r="AZ35" s="2295"/>
      <c r="BA35" s="2295"/>
      <c r="BB35" s="2295"/>
      <c r="BC35" s="2295"/>
      <c r="BD35" s="2297"/>
      <c r="BE35" s="1202"/>
    </row>
    <row r="36" spans="1:58" ht="15.75" customHeight="1">
      <c r="A36" s="1206"/>
      <c r="B36" s="2317" t="s">
        <v>1804</v>
      </c>
      <c r="C36" s="2318"/>
      <c r="D36" s="2318"/>
      <c r="E36" s="2318"/>
      <c r="F36" s="2318"/>
      <c r="G36" s="2318"/>
      <c r="H36" s="2318"/>
      <c r="I36" s="2318"/>
      <c r="J36" s="2319" t="s">
        <v>1805</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0.43103448275862066</v>
      </c>
      <c r="AZ36" s="2347"/>
      <c r="BA36" s="2347"/>
      <c r="BB36" s="2347"/>
      <c r="BC36" s="2347"/>
      <c r="BD36" s="2348"/>
      <c r="BE36" s="1202"/>
    </row>
    <row r="37" spans="1:58" ht="15.75" customHeight="1">
      <c r="A37" s="1206"/>
      <c r="B37" s="2317" t="s">
        <v>2473</v>
      </c>
      <c r="C37" s="2318"/>
      <c r="D37" s="2318"/>
      <c r="E37" s="2318"/>
      <c r="F37" s="2318"/>
      <c r="G37" s="2318"/>
      <c r="H37" s="2318"/>
      <c r="I37" s="2318"/>
      <c r="J37" s="2319" t="s">
        <v>1806</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8.6206896551724144E-2</v>
      </c>
      <c r="AZ37" s="2347"/>
      <c r="BA37" s="2347"/>
      <c r="BB37" s="2347"/>
      <c r="BC37" s="2347"/>
      <c r="BD37" s="2348"/>
      <c r="BE37" s="1202"/>
    </row>
    <row r="38" spans="1:58" ht="15.75" customHeight="1">
      <c r="A38" s="1206"/>
      <c r="B38" s="2317" t="s">
        <v>2412</v>
      </c>
      <c r="C38" s="2318"/>
      <c r="D38" s="2318"/>
      <c r="E38" s="2318"/>
      <c r="F38" s="2318"/>
      <c r="G38" s="2318"/>
      <c r="H38" s="2318"/>
      <c r="I38" s="2318"/>
      <c r="J38" s="2319" t="s">
        <v>1807</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1808</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1808</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1809</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1809</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1810</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1811</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1812</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1813</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1814</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1815</v>
      </c>
      <c r="C51" s="2203"/>
      <c r="D51" s="2203"/>
      <c r="E51" s="2203"/>
      <c r="F51" s="2203"/>
      <c r="G51" s="2203"/>
      <c r="H51" s="2203"/>
      <c r="I51" s="2203"/>
      <c r="J51" s="2203" t="s">
        <v>2475</v>
      </c>
      <c r="K51" s="2203"/>
      <c r="L51" s="2203"/>
      <c r="M51" s="2203"/>
      <c r="N51" s="2203"/>
      <c r="O51" s="2203"/>
      <c r="P51" s="2203"/>
      <c r="Q51" s="2203"/>
      <c r="R51" s="2360" t="s">
        <v>2476</v>
      </c>
      <c r="S51" s="2360"/>
      <c r="T51" s="2360"/>
      <c r="U51" s="2360"/>
      <c r="V51" s="2360"/>
      <c r="W51" s="2360"/>
      <c r="X51" s="2360"/>
      <c r="Y51" s="2360"/>
      <c r="Z51" s="2360" t="s">
        <v>1816</v>
      </c>
      <c r="AA51" s="2360"/>
      <c r="AB51" s="2360"/>
      <c r="AC51" s="2360"/>
      <c r="AD51" s="2360"/>
      <c r="AE51" s="2360"/>
      <c r="AF51" s="2360"/>
      <c r="AG51" s="2360"/>
      <c r="AH51" s="2360" t="s">
        <v>1817</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2183</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2184</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1696</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1815</v>
      </c>
      <c r="C59" s="2385"/>
      <c r="D59" s="2385"/>
      <c r="E59" s="2385"/>
      <c r="F59" s="2385"/>
      <c r="G59" s="2385"/>
      <c r="H59" s="2385"/>
      <c r="I59" s="2386"/>
      <c r="J59" s="2270" t="s">
        <v>2477</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1819</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1820</v>
      </c>
      <c r="AD68" s="2463"/>
      <c r="AE68" s="2463"/>
      <c r="AF68" s="2463"/>
      <c r="AG68" s="2463"/>
      <c r="AH68" s="2463"/>
      <c r="AI68" s="2463"/>
      <c r="AJ68" s="2463"/>
      <c r="AK68" s="2463"/>
      <c r="AL68" s="2463"/>
      <c r="AM68" s="2463"/>
      <c r="AN68" s="2463"/>
      <c r="AO68" s="2463"/>
      <c r="AP68" s="2463"/>
      <c r="AQ68" s="2463"/>
      <c r="AR68" s="2463"/>
      <c r="AS68" s="2463"/>
      <c r="AT68" s="2463"/>
      <c r="AU68" s="2463"/>
      <c r="AV68" s="2589" t="s">
        <v>677</v>
      </c>
      <c r="AW68" s="2422"/>
      <c r="AX68" s="2422"/>
      <c r="AY68" s="2422"/>
      <c r="AZ68" s="2422"/>
      <c r="BA68" s="2422"/>
      <c r="BB68" s="2422"/>
      <c r="BC68" s="2423"/>
      <c r="BD68" s="1206"/>
      <c r="BE68" s="1202"/>
      <c r="BM68" s="1251" t="s">
        <v>2478</v>
      </c>
    </row>
    <row r="69" spans="1:65" ht="15.75" customHeight="1" thickTop="1" thickBot="1">
      <c r="A69" s="1206"/>
      <c r="B69" s="2590" t="s">
        <v>1821</v>
      </c>
      <c r="C69" s="2591"/>
      <c r="D69" s="2591"/>
      <c r="E69" s="2591"/>
      <c r="F69" s="2591"/>
      <c r="G69" s="2591"/>
      <c r="H69" s="2591"/>
      <c r="I69" s="2591"/>
      <c r="J69" s="2591"/>
      <c r="K69" s="2591"/>
      <c r="L69" s="2591"/>
      <c r="M69" s="2591"/>
      <c r="N69" s="2591"/>
      <c r="O69" s="2592" t="s">
        <v>1822</v>
      </c>
      <c r="P69" s="2593"/>
      <c r="Q69" s="2593"/>
      <c r="R69" s="2593"/>
      <c r="S69" s="2593"/>
      <c r="T69" s="2593"/>
      <c r="U69" s="2593"/>
      <c r="V69" s="2593"/>
      <c r="W69" s="2593"/>
      <c r="X69" s="2593"/>
      <c r="Y69" s="2593"/>
      <c r="Z69" s="2593"/>
      <c r="AA69" s="2594"/>
      <c r="AB69" s="1206"/>
      <c r="AC69" s="2595" t="s">
        <v>1823</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553</v>
      </c>
    </row>
    <row r="70" spans="1:65" ht="15.75" customHeight="1">
      <c r="A70" s="1206"/>
      <c r="B70" s="2317" t="s">
        <v>2479</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1824</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677</v>
      </c>
    </row>
    <row r="71" spans="1:65" ht="15.75" customHeight="1" thickBot="1">
      <c r="A71" s="1206"/>
      <c r="B71" s="2317" t="s">
        <v>2480</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1825</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2481</v>
      </c>
    </row>
    <row r="72" spans="1:65" ht="15.75" customHeight="1">
      <c r="A72" s="1206"/>
      <c r="B72" s="2317" t="s">
        <v>2482</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2483</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2484</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2185</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0" t="s">
        <v>2549</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2168</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2616</v>
      </c>
      <c r="AK83" s="2244"/>
      <c r="AL83" s="2244"/>
      <c r="AM83" s="2244"/>
      <c r="AN83" s="2244"/>
      <c r="AO83" s="2244"/>
      <c r="AP83" s="2244"/>
      <c r="AQ83" s="2244"/>
      <c r="AR83" s="2244"/>
      <c r="AS83" s="2244"/>
      <c r="AT83" s="2244"/>
      <c r="AU83" s="2244"/>
      <c r="AV83" s="2244"/>
      <c r="AW83" s="2244"/>
      <c r="AX83" s="2244"/>
      <c r="AY83" s="2247" t="s">
        <v>553</v>
      </c>
      <c r="AZ83" s="2247"/>
      <c r="BA83" s="2247"/>
      <c r="BB83" s="2248"/>
      <c r="BC83" s="1206"/>
      <c r="BD83" s="1206"/>
      <c r="BE83" s="1202"/>
    </row>
    <row r="84" spans="1:70" ht="15.75" customHeight="1">
      <c r="A84" s="1206"/>
      <c r="B84" s="2202"/>
      <c r="C84" s="2203"/>
      <c r="D84" s="2203"/>
      <c r="E84" s="2203"/>
      <c r="F84" s="2203"/>
      <c r="G84" s="2203"/>
      <c r="H84" s="2203"/>
      <c r="I84" s="2203" t="s">
        <v>1826</v>
      </c>
      <c r="J84" s="2203"/>
      <c r="K84" s="2203"/>
      <c r="L84" s="2203"/>
      <c r="M84" s="2203"/>
      <c r="N84" s="2203"/>
      <c r="O84" s="2203" t="s">
        <v>1827</v>
      </c>
      <c r="P84" s="2203"/>
      <c r="Q84" s="2203"/>
      <c r="R84" s="2203"/>
      <c r="S84" s="2203"/>
      <c r="T84" s="2203"/>
      <c r="U84" s="2203"/>
      <c r="V84" s="2199" t="s">
        <v>2186</v>
      </c>
      <c r="W84" s="2199"/>
      <c r="X84" s="2199"/>
      <c r="Y84" s="2199"/>
      <c r="Z84" s="2199"/>
      <c r="AA84" s="2199"/>
      <c r="AB84" s="2200" t="s">
        <v>1828</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2169</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2170</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2485</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1829</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0" t="s">
        <v>2549</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2613</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2612</v>
      </c>
      <c r="AK96" s="2244"/>
      <c r="AL96" s="2244"/>
      <c r="AM96" s="2244"/>
      <c r="AN96" s="2244"/>
      <c r="AO96" s="2244"/>
      <c r="AP96" s="2244"/>
      <c r="AQ96" s="2244"/>
      <c r="AR96" s="2244"/>
      <c r="AS96" s="2244"/>
      <c r="AT96" s="2244"/>
      <c r="AU96" s="2244"/>
      <c r="AV96" s="2244"/>
      <c r="AW96" s="2244"/>
      <c r="AX96" s="2244"/>
      <c r="AY96" s="2247" t="s">
        <v>553</v>
      </c>
      <c r="AZ96" s="2247"/>
      <c r="BA96" s="2247"/>
      <c r="BB96" s="2248"/>
      <c r="BC96" s="1206"/>
      <c r="BD96" s="1206"/>
      <c r="BE96" s="1202"/>
      <c r="BQ96" s="1245" t="str">
        <f>Application!M243</f>
        <v>Las Palmas Housing and Development Corporation</v>
      </c>
      <c r="BR96" s="1245">
        <f>Application!AH245</f>
        <v>0</v>
      </c>
    </row>
    <row r="97" spans="1:70" ht="15.75" customHeight="1">
      <c r="A97" s="1206"/>
      <c r="B97" s="2202"/>
      <c r="C97" s="2203"/>
      <c r="D97" s="2203"/>
      <c r="E97" s="2203"/>
      <c r="F97" s="2203"/>
      <c r="G97" s="2203"/>
      <c r="H97" s="2203"/>
      <c r="I97" s="2203" t="s">
        <v>1826</v>
      </c>
      <c r="J97" s="2203"/>
      <c r="K97" s="2203"/>
      <c r="L97" s="2203"/>
      <c r="M97" s="2203"/>
      <c r="N97" s="2203"/>
      <c r="O97" s="2203" t="s">
        <v>1827</v>
      </c>
      <c r="P97" s="2203"/>
      <c r="Q97" s="2203"/>
      <c r="R97" s="2203"/>
      <c r="S97" s="2203"/>
      <c r="T97" s="2203"/>
      <c r="U97" s="2203"/>
      <c r="V97" s="2199" t="s">
        <v>2186</v>
      </c>
      <c r="W97" s="2199"/>
      <c r="X97" s="2199"/>
      <c r="Y97" s="2199"/>
      <c r="Z97" s="2199"/>
      <c r="AA97" s="2199"/>
      <c r="AB97" s="2200" t="s">
        <v>1828</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Elysian Balboa, LLC</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2169</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2170</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2485</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1829</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2609</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1826</v>
      </c>
      <c r="J108" s="2203"/>
      <c r="K108" s="2203"/>
      <c r="L108" s="2203"/>
      <c r="M108" s="2203"/>
      <c r="N108" s="2203"/>
      <c r="O108" s="2203" t="s">
        <v>1827</v>
      </c>
      <c r="P108" s="2203"/>
      <c r="Q108" s="2203"/>
      <c r="R108" s="2203"/>
      <c r="S108" s="2203"/>
      <c r="T108" s="2203"/>
      <c r="U108" s="2203"/>
      <c r="V108" s="2199" t="s">
        <v>2186</v>
      </c>
      <c r="W108" s="2199"/>
      <c r="X108" s="2199"/>
      <c r="Y108" s="2199"/>
      <c r="Z108" s="2199"/>
      <c r="AA108" s="2199"/>
      <c r="AB108" s="2200" t="s">
        <v>1828</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2169</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2170</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1829</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2486</v>
      </c>
      <c r="C117" s="2244"/>
      <c r="D117" s="2244"/>
      <c r="E117" s="2244"/>
      <c r="F117" s="2244"/>
      <c r="G117" s="2244"/>
      <c r="H117" s="2244"/>
      <c r="I117" s="2244"/>
      <c r="J117" s="2244"/>
      <c r="K117" s="2244"/>
      <c r="L117" s="2244"/>
      <c r="M117" s="2244"/>
      <c r="N117" s="2244"/>
      <c r="O117" s="2244"/>
      <c r="P117" s="2244"/>
      <c r="Q117" s="2247" t="s">
        <v>553</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2187</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2171</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1686</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2172</v>
      </c>
      <c r="J127" s="2203"/>
      <c r="K127" s="2203"/>
      <c r="L127" s="2203"/>
      <c r="M127" s="2203"/>
      <c r="N127" s="2203"/>
      <c r="O127" s="2412" t="s">
        <v>2173</v>
      </c>
      <c r="P127" s="2412"/>
      <c r="Q127" s="2412"/>
      <c r="R127" s="2412"/>
      <c r="S127" s="2412"/>
      <c r="T127" s="2412"/>
      <c r="U127" s="2413"/>
      <c r="V127" s="1206"/>
      <c r="W127" s="1206"/>
      <c r="X127" s="2390" t="s">
        <v>2185</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2174</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2175</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1832</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1827</v>
      </c>
      <c r="J134" s="2434"/>
      <c r="K134" s="2434"/>
      <c r="L134" s="2434"/>
      <c r="M134" s="2434"/>
      <c r="N134" s="2434"/>
      <c r="O134" s="2434"/>
      <c r="P134" s="2434" t="s">
        <v>2186</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2174</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2175</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1833</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553</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1834</v>
      </c>
      <c r="C140" s="2425"/>
      <c r="D140" s="2425"/>
      <c r="E140" s="2425"/>
      <c r="F140" s="2425"/>
      <c r="G140" s="2425"/>
      <c r="H140" s="2425"/>
      <c r="I140" s="2425"/>
      <c r="J140" s="2425"/>
      <c r="K140" s="2425"/>
      <c r="L140" s="2425"/>
      <c r="M140" s="2425"/>
      <c r="N140" s="2425"/>
      <c r="O140" s="2425"/>
      <c r="P140" s="2425"/>
      <c r="Q140" s="2425"/>
      <c r="R140" s="2426" t="s">
        <v>2188</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2189</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1836</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2191</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1827</v>
      </c>
      <c r="J155" s="2434"/>
      <c r="K155" s="2434"/>
      <c r="L155" s="2434"/>
      <c r="M155" s="2434"/>
      <c r="N155" s="2434"/>
      <c r="O155" s="2434"/>
      <c r="P155" s="2434" t="s">
        <v>2192</v>
      </c>
      <c r="Q155" s="2434"/>
      <c r="R155" s="2434"/>
      <c r="S155" s="2434"/>
      <c r="T155" s="2434"/>
      <c r="U155" s="2435"/>
      <c r="V155" s="1206"/>
      <c r="W155" s="1206"/>
      <c r="X155" s="2410"/>
      <c r="Y155" s="2411"/>
      <c r="Z155" s="2411"/>
      <c r="AA155" s="2411"/>
      <c r="AB155" s="2411"/>
      <c r="AC155" s="2411"/>
      <c r="AD155" s="2411"/>
      <c r="AE155" s="2434" t="s">
        <v>1827</v>
      </c>
      <c r="AF155" s="2434"/>
      <c r="AG155" s="2434"/>
      <c r="AH155" s="2434"/>
      <c r="AI155" s="2434"/>
      <c r="AJ155" s="2434"/>
      <c r="AK155" s="2434"/>
      <c r="AL155" s="2434" t="s">
        <v>2186</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2174</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2174</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2175</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2176</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1837</v>
      </c>
      <c r="D161" s="2411"/>
      <c r="E161" s="2411"/>
      <c r="F161" s="2411"/>
      <c r="G161" s="2411"/>
      <c r="H161" s="2411"/>
      <c r="I161" s="2411"/>
      <c r="J161" s="2411"/>
      <c r="K161" s="2411"/>
      <c r="L161" s="2411"/>
      <c r="M161" s="2411"/>
      <c r="N161" s="2411"/>
      <c r="O161" s="2411"/>
      <c r="P161" s="2411"/>
      <c r="Q161" s="2411" t="s">
        <v>1838</v>
      </c>
      <c r="R161" s="2411"/>
      <c r="S161" s="2411"/>
      <c r="T161" s="2200" t="s">
        <v>2177</v>
      </c>
      <c r="U161" s="2200"/>
      <c r="V161" s="2200"/>
      <c r="W161" s="2200"/>
      <c r="X161" s="2200"/>
      <c r="Y161" s="2200"/>
      <c r="Z161" s="2200"/>
      <c r="AA161" s="2200"/>
      <c r="AB161" s="2411" t="s">
        <v>1839</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1840</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1841</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1842</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1813</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1843</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1843</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1843</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1844</v>
      </c>
      <c r="D170" s="2463"/>
      <c r="E170" s="2463"/>
      <c r="F170" s="2463"/>
      <c r="G170" s="2463"/>
      <c r="H170" s="2463"/>
      <c r="I170" s="2463"/>
      <c r="J170" s="2463"/>
      <c r="K170" s="2463"/>
      <c r="L170" s="2463"/>
      <c r="M170" s="2463"/>
      <c r="N170" s="2464"/>
      <c r="O170" s="1206"/>
      <c r="P170" s="2420" t="s">
        <v>1845</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1846</v>
      </c>
      <c r="D171" s="2411"/>
      <c r="E171" s="2411"/>
      <c r="F171" s="2411"/>
      <c r="G171" s="2411"/>
      <c r="H171" s="2411"/>
      <c r="I171" s="2411" t="s">
        <v>1847</v>
      </c>
      <c r="J171" s="2411"/>
      <c r="K171" s="2411"/>
      <c r="L171" s="2411"/>
      <c r="M171" s="2411"/>
      <c r="N171" s="2436"/>
      <c r="O171" s="1206"/>
      <c r="P171" s="2390" t="s">
        <v>2185</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2487</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2602</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2623</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1837</v>
      </c>
      <c r="D182" s="2463"/>
      <c r="E182" s="2463"/>
      <c r="F182" s="2463"/>
      <c r="G182" s="2463"/>
      <c r="H182" s="2463"/>
      <c r="I182" s="2463"/>
      <c r="J182" s="2463"/>
      <c r="K182" s="2463"/>
      <c r="L182" s="2463"/>
      <c r="M182" s="2463"/>
      <c r="N182" s="2463" t="s">
        <v>1848</v>
      </c>
      <c r="O182" s="2463"/>
      <c r="P182" s="2463"/>
      <c r="Q182" s="2463"/>
      <c r="R182" s="2463"/>
      <c r="S182" s="2463"/>
      <c r="T182" s="2463"/>
      <c r="U182" s="2358" t="s">
        <v>1837</v>
      </c>
      <c r="V182" s="2358"/>
      <c r="W182" s="2358"/>
      <c r="X182" s="2358"/>
      <c r="Y182" s="2358"/>
      <c r="Z182" s="2358"/>
      <c r="AA182" s="2358"/>
      <c r="AB182" s="2358"/>
      <c r="AC182" s="2358"/>
      <c r="AD182" s="2358"/>
      <c r="AE182" s="2359"/>
      <c r="AF182" s="1206"/>
      <c r="AG182" s="1206"/>
      <c r="AH182" s="2215" t="s">
        <v>2607</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2488</v>
      </c>
      <c r="D183" s="2206"/>
      <c r="E183" s="2206"/>
      <c r="F183" s="2206"/>
      <c r="G183" s="2206"/>
      <c r="H183" s="2206"/>
      <c r="I183" s="2206"/>
      <c r="J183" s="2206"/>
      <c r="K183" s="2206"/>
      <c r="L183" s="2206"/>
      <c r="M183" s="2206"/>
      <c r="N183" s="2468">
        <f>'Sources and Uses Budget'!B105</f>
        <v>75243950</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2606</v>
      </c>
      <c r="AI183" s="2215"/>
      <c r="AJ183" s="2215"/>
      <c r="AK183" s="2215"/>
      <c r="AL183" s="2215"/>
      <c r="AM183" s="2215"/>
      <c r="AN183" s="2215"/>
      <c r="AO183" s="2215"/>
      <c r="AP183" s="2215"/>
      <c r="AQ183" s="2215"/>
      <c r="AR183" s="2215"/>
      <c r="AS183" s="2215"/>
      <c r="AT183" s="2215"/>
      <c r="AU183" s="2182">
        <f>MAX(0,Application!AG439-100)*20000</f>
        <v>320000</v>
      </c>
      <c r="AV183" s="2182"/>
      <c r="AW183" s="2182"/>
      <c r="AX183" s="2182"/>
      <c r="AY183" s="2182"/>
      <c r="AZ183" s="2182"/>
      <c r="BA183" s="2182"/>
      <c r="BB183" s="2182"/>
      <c r="BC183" s="2186"/>
      <c r="BD183" s="2187"/>
      <c r="BE183" s="2188"/>
    </row>
    <row r="184" spans="1:57" ht="15.75" customHeight="1">
      <c r="A184" s="1206"/>
      <c r="B184" s="1206"/>
      <c r="C184" s="2205" t="s">
        <v>2489</v>
      </c>
      <c r="D184" s="2206"/>
      <c r="E184" s="2206"/>
      <c r="F184" s="2206"/>
      <c r="G184" s="2206"/>
      <c r="H184" s="2206"/>
      <c r="I184" s="2206"/>
      <c r="J184" s="2206"/>
      <c r="K184" s="2206"/>
      <c r="L184" s="2206"/>
      <c r="M184" s="2206"/>
      <c r="N184" s="2468">
        <f>N183/J29</f>
        <v>648654.74137931038</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2605</v>
      </c>
      <c r="AI184" s="2192"/>
      <c r="AJ184" s="2192"/>
      <c r="AK184" s="2192"/>
      <c r="AL184" s="2192"/>
      <c r="AM184" s="2192"/>
      <c r="AN184" s="2192"/>
      <c r="AO184" s="2192"/>
      <c r="AP184" s="2192"/>
      <c r="AQ184" s="2192"/>
      <c r="AR184" s="2192"/>
      <c r="AS184" s="2192"/>
      <c r="AT184" s="2192"/>
      <c r="AU184" s="2183">
        <f>AU182+AU183</f>
        <v>2820000</v>
      </c>
      <c r="AV184" s="2183"/>
      <c r="AW184" s="2183"/>
      <c r="AX184" s="2183"/>
      <c r="AY184" s="2183"/>
      <c r="AZ184" s="2183"/>
      <c r="BA184" s="2183"/>
      <c r="BB184" s="2183"/>
      <c r="BC184" s="2186"/>
      <c r="BD184" s="2187"/>
      <c r="BE184" s="2188"/>
    </row>
    <row r="185" spans="1:57" ht="15.75" customHeight="1">
      <c r="A185" s="1206"/>
      <c r="B185" s="1206"/>
      <c r="C185" s="2471" t="s">
        <v>2490</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2604</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2491</v>
      </c>
      <c r="D186" s="2206"/>
      <c r="E186" s="2206"/>
      <c r="F186" s="2206"/>
      <c r="G186" s="2206"/>
      <c r="H186" s="2206"/>
      <c r="I186" s="2206"/>
      <c r="J186" s="2206"/>
      <c r="K186" s="2206"/>
      <c r="L186" s="2206"/>
      <c r="M186" s="2206"/>
      <c r="N186" s="2467">
        <f>SUM('Sources and Uses Budget'!B85:B86)</f>
        <v>1050000</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2492</v>
      </c>
      <c r="D187" s="2206"/>
      <c r="E187" s="2206"/>
      <c r="F187" s="2206"/>
      <c r="G187" s="2206"/>
      <c r="H187" s="2206"/>
      <c r="I187" s="2206"/>
      <c r="J187" s="2206"/>
      <c r="K187" s="2206"/>
      <c r="L187" s="2206"/>
      <c r="M187" s="2206"/>
      <c r="N187" s="2467">
        <f>'Sources and Uses Budget'!B8</f>
        <v>386000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1849</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2493</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1849</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2494</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2603</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1843</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2602</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1843</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1843</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1850</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1851</v>
      </c>
      <c r="D193" s="2493"/>
      <c r="E193" s="2493"/>
      <c r="F193" s="2493"/>
      <c r="G193" s="2493"/>
      <c r="H193" s="2493"/>
      <c r="I193" s="2493"/>
      <c r="J193" s="2493"/>
      <c r="K193" s="2493"/>
      <c r="L193" s="2493"/>
      <c r="M193" s="2493"/>
      <c r="N193" s="2494">
        <f>SUM(N185:T192)</f>
        <v>1436000</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2601</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2495</v>
      </c>
      <c r="D194" s="2536"/>
      <c r="E194" s="2536"/>
      <c r="F194" s="2536"/>
      <c r="G194" s="2536"/>
      <c r="H194" s="2536"/>
      <c r="I194" s="2536"/>
      <c r="J194" s="2536"/>
      <c r="K194" s="2536"/>
      <c r="L194" s="2536"/>
      <c r="M194" s="2536"/>
      <c r="N194" s="2537">
        <f>(N183-N193)/J29</f>
        <v>636275.43103448278</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2600</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2599</v>
      </c>
      <c r="D198" s="2195"/>
      <c r="E198" s="2195"/>
      <c r="F198" s="2195"/>
      <c r="G198" s="2195"/>
      <c r="H198" s="2195"/>
      <c r="I198" s="2195"/>
      <c r="J198" s="2195"/>
      <c r="K198" s="2195"/>
      <c r="L198" s="2195"/>
      <c r="M198" s="2195"/>
      <c r="N198" s="2195"/>
      <c r="O198" s="2196" t="s">
        <v>2598</v>
      </c>
      <c r="P198" s="2196"/>
      <c r="Q198" s="2196"/>
      <c r="R198" s="2196"/>
      <c r="S198" s="2196"/>
      <c r="T198" s="2196"/>
      <c r="U198" s="2196"/>
      <c r="V198" s="2196"/>
      <c r="W198" s="2196"/>
      <c r="X198" s="2196" t="s">
        <v>2597</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2596</v>
      </c>
      <c r="D199" s="2193"/>
      <c r="E199" s="2193"/>
      <c r="F199" s="2193"/>
      <c r="G199" s="2193"/>
      <c r="H199" s="2193"/>
      <c r="I199" s="2193"/>
      <c r="J199" s="2193"/>
      <c r="K199" s="2193"/>
      <c r="L199" s="2193"/>
      <c r="M199" s="2193"/>
      <c r="N199" s="2193"/>
      <c r="O199" s="2488" t="s">
        <v>2595</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865</v>
      </c>
      <c r="D200" s="2193"/>
      <c r="E200" s="2193"/>
      <c r="F200" s="2193"/>
      <c r="G200" s="2193"/>
      <c r="H200" s="2193"/>
      <c r="I200" s="2193"/>
      <c r="J200" s="2193"/>
      <c r="K200" s="2193"/>
      <c r="L200" s="2193"/>
      <c r="M200" s="2193"/>
      <c r="N200" s="2193"/>
      <c r="O200" s="2488" t="s">
        <v>2595</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2594</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2593</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2592</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2591</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2590</v>
      </c>
      <c r="D205" s="2514"/>
      <c r="E205" s="2514"/>
      <c r="F205" s="2515"/>
      <c r="G205" s="2519" t="s">
        <v>2589</v>
      </c>
      <c r="H205" s="2514"/>
      <c r="I205" s="2514"/>
      <c r="J205" s="2514"/>
      <c r="K205" s="2514"/>
      <c r="L205" s="2514"/>
      <c r="M205" s="2514"/>
      <c r="N205" s="2514"/>
      <c r="O205" s="2515"/>
      <c r="P205" s="2521" t="s">
        <v>2588</v>
      </c>
      <c r="Q205" s="2522"/>
      <c r="R205" s="2522"/>
      <c r="S205" s="2522"/>
      <c r="T205" s="2523"/>
      <c r="U205" s="2527" t="s">
        <v>2587</v>
      </c>
      <c r="V205" s="2528"/>
      <c r="W205" s="2528"/>
      <c r="X205" s="2529"/>
      <c r="Y205" s="2527" t="s">
        <v>2586</v>
      </c>
      <c r="Z205" s="2528"/>
      <c r="AA205" s="2528"/>
      <c r="AB205" s="2529"/>
      <c r="AC205" s="2527" t="s">
        <v>2585</v>
      </c>
      <c r="AD205" s="2528"/>
      <c r="AE205" s="2528"/>
      <c r="AF205" s="2529"/>
      <c r="AG205" s="2519" t="s">
        <v>2584</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2152</v>
      </c>
      <c r="H207" s="2174"/>
      <c r="I207" s="2174"/>
      <c r="J207" s="2174"/>
      <c r="K207" s="2174"/>
      <c r="L207" s="2174"/>
      <c r="M207" s="2174"/>
      <c r="N207" s="2174"/>
      <c r="O207" s="2174"/>
      <c r="P207" s="2175"/>
      <c r="Q207" s="2579"/>
      <c r="R207" s="2579"/>
      <c r="S207" s="2579"/>
      <c r="T207" s="2579"/>
      <c r="U207" s="2176" t="s">
        <v>2152</v>
      </c>
      <c r="V207" s="2176"/>
      <c r="W207" s="2176"/>
      <c r="X207" s="2176"/>
      <c r="Y207" s="2176" t="s">
        <v>2152</v>
      </c>
      <c r="Z207" s="2176"/>
      <c r="AA207" s="2176"/>
      <c r="AB207" s="2176"/>
      <c r="AC207" s="2177" t="s">
        <v>2152</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2152</v>
      </c>
      <c r="H208" s="2174"/>
      <c r="I208" s="2174"/>
      <c r="J208" s="2174"/>
      <c r="K208" s="2174"/>
      <c r="L208" s="2174"/>
      <c r="M208" s="2174"/>
      <c r="N208" s="2174"/>
      <c r="O208" s="2174"/>
      <c r="P208" s="2175"/>
      <c r="Q208" s="2175"/>
      <c r="R208" s="2175"/>
      <c r="S208" s="2175"/>
      <c r="T208" s="2175"/>
      <c r="U208" s="2176" t="s">
        <v>2152</v>
      </c>
      <c r="V208" s="2176"/>
      <c r="W208" s="2176"/>
      <c r="X208" s="2176"/>
      <c r="Y208" s="2176" t="s">
        <v>2152</v>
      </c>
      <c r="Z208" s="2176"/>
      <c r="AA208" s="2176"/>
      <c r="AB208" s="2176"/>
      <c r="AC208" s="2177" t="s">
        <v>2152</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2152</v>
      </c>
      <c r="H209" s="2174"/>
      <c r="I209" s="2174"/>
      <c r="J209" s="2174"/>
      <c r="K209" s="2174"/>
      <c r="L209" s="2174"/>
      <c r="M209" s="2174"/>
      <c r="N209" s="2174"/>
      <c r="O209" s="2174"/>
      <c r="P209" s="2175"/>
      <c r="Q209" s="2175"/>
      <c r="R209" s="2175"/>
      <c r="S209" s="2175"/>
      <c r="T209" s="2175"/>
      <c r="U209" s="2176" t="s">
        <v>2152</v>
      </c>
      <c r="V209" s="2176"/>
      <c r="W209" s="2176"/>
      <c r="X209" s="2176"/>
      <c r="Y209" s="2176" t="s">
        <v>2152</v>
      </c>
      <c r="Z209" s="2176"/>
      <c r="AA209" s="2176"/>
      <c r="AB209" s="2176"/>
      <c r="AC209" s="2177" t="s">
        <v>2152</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2152</v>
      </c>
      <c r="H210" s="2174"/>
      <c r="I210" s="2174"/>
      <c r="J210" s="2174"/>
      <c r="K210" s="2174"/>
      <c r="L210" s="2174"/>
      <c r="M210" s="2174"/>
      <c r="N210" s="2174"/>
      <c r="O210" s="2174"/>
      <c r="P210" s="2175"/>
      <c r="Q210" s="2175"/>
      <c r="R210" s="2175"/>
      <c r="S210" s="2175"/>
      <c r="T210" s="2175"/>
      <c r="U210" s="2176" t="s">
        <v>2152</v>
      </c>
      <c r="V210" s="2176"/>
      <c r="W210" s="2176"/>
      <c r="X210" s="2176"/>
      <c r="Y210" s="2176" t="s">
        <v>2152</v>
      </c>
      <c r="Z210" s="2176"/>
      <c r="AA210" s="2176"/>
      <c r="AB210" s="2176"/>
      <c r="AC210" s="2177" t="s">
        <v>2152</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2152</v>
      </c>
      <c r="V211" s="2176"/>
      <c r="W211" s="2176"/>
      <c r="X211" s="2176"/>
      <c r="Y211" s="2176" t="s">
        <v>2152</v>
      </c>
      <c r="Z211" s="2176"/>
      <c r="AA211" s="2176"/>
      <c r="AB211" s="2176"/>
      <c r="AC211" s="2177" t="s">
        <v>2152</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2152</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2152</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2152</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2583</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1852</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1853</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1854</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1855</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1857</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2496</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1858</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1859</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1860</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443</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1861</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1862</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Sources and Basis Breakdown</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2024-08-27T03:50:41Z</cp:lastPrinted>
  <dcterms:created xsi:type="dcterms:W3CDTF">2007-12-27T18:26:28Z</dcterms:created>
  <dcterms:modified xsi:type="dcterms:W3CDTF">2024-08-27T03:51:15Z</dcterms:modified>
</cp:coreProperties>
</file>